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vml" ContentType="application/vnd.openxmlformats-officedocument.vmlDrawing"/>
  <Default Extension="jpg" ContentType="image/jpeg"/>
  <Default Extension="png" ContentType="image/png"/>
  <Default Extension="wmf" ContentType="image/x-w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filterPrivacy="1" showInkAnnotation="0" saveExternalLinkValues="0" codeName="ThisWorkbook" autoCompressPictures="0"/>
  <workbookProtection workbookPassword="DC85" lockStructure="1"/>
  <bookViews>
    <workbookView xWindow="0" yWindow="0" windowWidth="25600" windowHeight="15620" tabRatio="643"/>
  </bookViews>
  <sheets>
    <sheet name="Circ Model" sheetId="1" r:id="rId1"/>
    <sheet name="Instructions" sheetId="15" r:id="rId2"/>
    <sheet name="Motor Data" sheetId="11" r:id="rId3"/>
    <sheet name="WBS Std Port Sizes" sheetId="14" r:id="rId4"/>
    <sheet name="Tempress Nozzle Sizes" sheetId="12" r:id="rId5"/>
    <sheet name="Dropdown Lists" sheetId="8" state="hidden" r:id="rId6"/>
    <sheet name="Calculations" sheetId="5" state="hidden" r:id="rId7"/>
    <sheet name="Circulation" sheetId="4" state="hidden" r:id="rId8"/>
    <sheet name="Bernoulli Integration" sheetId="7" state="hidden" r:id="rId9"/>
  </sheets>
  <definedNames>
    <definedName name="Aa">Circulation!$F$9:$F$119</definedName>
    <definedName name="Ab">Calculations!$G$100</definedName>
    <definedName name="Abha">Calculations!$G$101</definedName>
    <definedName name="Ag">Calculations!$G$98</definedName>
    <definedName name="Ags">Calculations!$G$120</definedName>
    <definedName name="Agss">Calculations!$G$124</definedName>
    <definedName name="AHPeq">Calculations!$G$96</definedName>
    <definedName name="Ai">'Bernoulli Integration'!$8:$8</definedName>
    <definedName name="alphai">'Bernoulli Integration'!$12:$12</definedName>
    <definedName name="Av">Calculations!$G$99</definedName>
    <definedName name="Aw">Calculations!$G$97</definedName>
    <definedName name="BB">Calculations!$G$11</definedName>
    <definedName name="beta">Calculations!$G$111</definedName>
    <definedName name="Cbrine">'Circ Model'!$H$23</definedName>
    <definedName name="CCC">Calculations!$G$12</definedName>
    <definedName name="Cd.2" localSheetId="3">'WBS Std Port Sizes'!#REF!</definedName>
    <definedName name="Cdb">Calculations!$G$34</definedName>
    <definedName name="Cdg">Calculations!$G$33</definedName>
    <definedName name="Cdw">Calculations!$G$32</definedName>
    <definedName name="cp">Calculations!$G$16</definedName>
    <definedName name="cpm">Calculations!$G$131</definedName>
    <definedName name="cpw">Calculations!$G$20</definedName>
    <definedName name="ctp">'Bernoulli Integration'!$16:$16</definedName>
    <definedName name="CustomDrilled">'Dropdown Lists'!$H$27:$H$29</definedName>
    <definedName name="D">'Circ Model'!$H$9</definedName>
    <definedName name="dbit">'Circ Model'!$F$15</definedName>
    <definedName name="dcase">'Circ Model'!$F$5</definedName>
    <definedName name="dci">Circulation!$E$9:$E$119</definedName>
    <definedName name="DD">Calculations!$G$13</definedName>
    <definedName name="dg">'Circ Model'!$F$29</definedName>
    <definedName name="dgor">Calculations!$G$127</definedName>
    <definedName name="dgs">Calculations!$G$121</definedName>
    <definedName name="dgss">Calculations!$G$125</definedName>
    <definedName name="dhor">'Circ Model'!$F$6</definedName>
    <definedName name="dHPeq">'Dropdown Lists'!$N$10</definedName>
    <definedName name="do.2" localSheetId="3">'WBS Std Port Sizes'!#REF!</definedName>
    <definedName name="DP">Calculations!$G$24</definedName>
    <definedName name="dPb">Calculations!$G$87</definedName>
    <definedName name="dPbha">'Circ Model'!$F$31</definedName>
    <definedName name="dPhp">Calculations!$G$83</definedName>
    <definedName name="dPi">'Bernoulli Integration'!$D$5</definedName>
    <definedName name="dPm">Calculations!$G$86</definedName>
    <definedName name="dPm0">Calculations!$G$84</definedName>
    <definedName name="dPv">Calculations!$G$81</definedName>
    <definedName name="dPw">Calculations!$G$82</definedName>
    <definedName name="dT">'Circ Model'!$F$7</definedName>
    <definedName name="dti">Calculations!$G$26</definedName>
    <definedName name="dto">'Circ Model'!$F$9</definedName>
    <definedName name="dv">'Circ Model'!$F$11</definedName>
    <definedName name="dw">Calculations!$G$30</definedName>
    <definedName name="fg">Calculations!$G$114</definedName>
    <definedName name="fga">Calculations!$G$52</definedName>
    <definedName name="fgc">Calculations!$G$54</definedName>
    <definedName name="fgm">Calculations!$G$55</definedName>
    <definedName name="fgp">Calculations!$G$56</definedName>
    <definedName name="fgr">Calculations!$G$57</definedName>
    <definedName name="fgs">Calculations!$G$58</definedName>
    <definedName name="fi">Circulation!$M:$M</definedName>
    <definedName name="fL">Circulation!$Q:$Q</definedName>
    <definedName name="flost">'Circ Model'!$H$24</definedName>
    <definedName name="g">Calculations!$G$4</definedName>
    <definedName name="Gflux">Calculations!$G$136</definedName>
    <definedName name="GSList">'Dropdown Lists'!$B$5:$B$9</definedName>
    <definedName name="HeadList">'Dropdown Lists'!#REF!</definedName>
    <definedName name="HPeqOrifice">'Dropdown Lists'!$M$4:$N$4</definedName>
    <definedName name="HPList">'Dropdown Lists'!$D$16:$D$17</definedName>
    <definedName name="hVs">'Bernoulli Integration'!$14:$14</definedName>
    <definedName name="i">Circulation!$C:$C</definedName>
    <definedName name="InsertType">'Dropdown Lists'!$J$16:$J$17</definedName>
    <definedName name="k">Calculations!$G$8</definedName>
    <definedName name="Kfr">'Circ Model'!$H$22</definedName>
    <definedName name="kh">Calculations!$G$113</definedName>
    <definedName name="khs">Calculations!$G$17</definedName>
    <definedName name="ks">'Bernoulli Integration'!$D$3</definedName>
    <definedName name="Kw">Calculations!$G$19</definedName>
    <definedName name="L">'Circ Model'!$F$4</definedName>
    <definedName name="lt">'Circ Model'!$F$8</definedName>
    <definedName name="mb">Calculations!$G$77</definedName>
    <definedName name="mc">Calculations!$G$71</definedName>
    <definedName name="MD">Circulation!$D$9:$D$222</definedName>
    <definedName name="Me">Calculations!$G$119</definedName>
    <definedName name="mg">Calculations!$G$69</definedName>
    <definedName name="mgb">Calculations!$G$75</definedName>
    <definedName name="mgc">Calculations!$G$115</definedName>
    <definedName name="mgr">Calculations!$G$74</definedName>
    <definedName name="MGS">'Circ Model'!$H$13</definedName>
    <definedName name="MGS™">'Dropdown Lists'!$H$23</definedName>
    <definedName name="ml">Calculations!$G$78</definedName>
    <definedName name="MotorList">'Dropdown Lists'!#REF!</definedName>
    <definedName name="mr">Calculations!$G$137</definedName>
    <definedName name="mu">Circulation!$U:$U</definedName>
    <definedName name="mug">Circulation!$T:$T</definedName>
    <definedName name="muw">Circulation!$S:$S</definedName>
    <definedName name="mw">Calculations!$G$68</definedName>
    <definedName name="mwb">Calculations!$G$73</definedName>
    <definedName name="mwr">Calculations!$G$72</definedName>
    <definedName name="mwt">Calculations!$G$14</definedName>
    <definedName name="mx">Calculations!$G$70</definedName>
    <definedName name="N">Circulation!$D$3</definedName>
    <definedName name="Nb">'Circ Model'!$F$28</definedName>
    <definedName name="ni">'Bernoulli Integration'!$D$4</definedName>
    <definedName name="nn">'Circ Model'!$F$16</definedName>
    <definedName name="Num_Ports">'Dropdown Lists'!$H$16:$H$19</definedName>
    <definedName name="nw">Calculations!$G$31</definedName>
    <definedName name="ONOFFlist">'Dropdown Lists'!$B$16:$B$17</definedName>
    <definedName name="OrificeList">'Dropdown Lists'!$B$5:$G$9</definedName>
    <definedName name="P.3" localSheetId="3">'WBS Std Port Sizes'!#REF!</definedName>
    <definedName name="P.4" localSheetId="3">'WBS Std Port Sizes'!#REF!</definedName>
    <definedName name="Pa">Calculations!$G$94</definedName>
    <definedName name="Pb">Calculations!$G$93</definedName>
    <definedName name="Pchoke">'Circ Model'!$F$21</definedName>
    <definedName name="Pcrit">Calculations!$G$9</definedName>
    <definedName name="Pi">Circulation!$H:$H</definedName>
    <definedName name="Pm">Calculations!$G$92</definedName>
    <definedName name="Poi">'Bernoulli Integration'!$7:$7</definedName>
    <definedName name="Pp">Calculations!$G$89</definedName>
    <definedName name="Ppm">Calculations!$G$85</definedName>
    <definedName name="_xlnm.Print_Area" localSheetId="0">'Circ Model'!$A$1:$T$42</definedName>
    <definedName name="_xlnm.Print_Area" localSheetId="4">'Tempress Nozzle Sizes'!$A$1:$I$25</definedName>
    <definedName name="_xlnm.Print_Area" localSheetId="3">'WBS Std Port Sizes'!$A$1:$O$45</definedName>
    <definedName name="Ps">Calculations!$G$91</definedName>
    <definedName name="Pstd">Calculations!$G$6</definedName>
    <definedName name="Pv">Calculations!$G$90</definedName>
    <definedName name="Qb">Calculations!$G$79</definedName>
    <definedName name="Qg">'Circ Model'!$F$17</definedName>
    <definedName name="qmax">'Dropdown Lists'!#REF!</definedName>
    <definedName name="qmjr">'Dropdown Lists'!#REF!</definedName>
    <definedName name="Qn">Circulation!$W:$W</definedName>
    <definedName name="Qo">'Circ Model'!$F$18</definedName>
    <definedName name="Qw">Circulation!$V:$V</definedName>
    <definedName name="Rgas">Calculations!$G$15</definedName>
    <definedName name="rho">Circulation!$R:$R</definedName>
    <definedName name="rhoga">Calculations!$G$36</definedName>
    <definedName name="rhogb">Calculations!$G$37</definedName>
    <definedName name="rhogc">Calculations!$G$38</definedName>
    <definedName name="rhogi">'Bernoulli Integration'!$9:$9</definedName>
    <definedName name="rhogm">Calculations!$G$39</definedName>
    <definedName name="rhogo">Calculations!$G$28</definedName>
    <definedName name="rhogp">Calculations!$G$40</definedName>
    <definedName name="rhogr">Calculations!$G$41</definedName>
    <definedName name="rhogri">'Bernoulli Integration'!$19:$19</definedName>
    <definedName name="rhogs">Calculations!$G$42</definedName>
    <definedName name="rhogstd">Calculations!$G$28</definedName>
    <definedName name="rhogt">Calculations!$G$133</definedName>
    <definedName name="rhoi">Circulation!$L:$L</definedName>
    <definedName name="rhoma">Calculations!$G$60</definedName>
    <definedName name="rhomb">Calculations!$G$61</definedName>
    <definedName name="rhomc">Calculations!$G$62</definedName>
    <definedName name="rhomi">'Bernoulli Integration'!$13:$13</definedName>
    <definedName name="rhomm">Calculations!$G$63</definedName>
    <definedName name="rhomp">Calculations!$G$65</definedName>
    <definedName name="rhomr">Calculations!$G$64</definedName>
    <definedName name="rhoms">Calculations!$G$66</definedName>
    <definedName name="rhorock">Calculations!$G$25</definedName>
    <definedName name="rhotS">Calculations!$G$135</definedName>
    <definedName name="rhow">Circulation!$K:$K</definedName>
    <definedName name="rhowa">Calculations!$G$44</definedName>
    <definedName name="rhowb">Calculations!$G$45</definedName>
    <definedName name="rhowc">Calculations!$G$46</definedName>
    <definedName name="rhowi">'Bernoulli Integration'!$10:$10</definedName>
    <definedName name="rhowm">Calculations!$G$47</definedName>
    <definedName name="rhowo">Calculations!$G$27</definedName>
    <definedName name="rhowp">Calculations!$G$48</definedName>
    <definedName name="rhowr">Calculations!$G$49</definedName>
    <definedName name="rhows">Calculations!$G$50</definedName>
    <definedName name="rhwo">Calculations!$G$27</definedName>
    <definedName name="RP">Calculations!$G$118</definedName>
    <definedName name="RPc">Calculations!$G$117</definedName>
    <definedName name="Runiv">Calculations!$G$7</definedName>
    <definedName name="Si">'Bernoulli Integration'!$11:$11</definedName>
    <definedName name="sighVs">'Bernoulli Integration'!$15:$15</definedName>
    <definedName name="sigmaL">Circulation!$AJ$9:$AJ$119</definedName>
    <definedName name="sigmaw">Calculations!$G$18</definedName>
    <definedName name="sizelist">'Dropdown Lists'!#REF!</definedName>
    <definedName name="solver_adj" localSheetId="0" hidden="1">'Circ Model'!$H$29</definedName>
    <definedName name="solver_cvg" localSheetId="0" hidden="1">0.0001</definedName>
    <definedName name="solver_drv" localSheetId="0" hidden="1">2</definedName>
    <definedName name="solver_eng" localSheetId="0" hidden="1">3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'Circ Model'!$H$43</definedName>
    <definedName name="solver_pre" localSheetId="0" hidden="1">0.000001</definedName>
    <definedName name="solver_rbv" localSheetId="0" hidden="1">2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</definedName>
    <definedName name="solver_ver" localSheetId="0" hidden="1">3</definedName>
    <definedName name="StandardCarbide">'Dropdown Lists'!$I$27:$I$30</definedName>
    <definedName name="T">Circulation!$G:$G</definedName>
    <definedName name="T0">Calculations!$G$22</definedName>
    <definedName name="Tb">Calculations!$G$23</definedName>
    <definedName name="Tcrit">Calculations!$G$10</definedName>
    <definedName name="Te">Calculations!$G$123</definedName>
    <definedName name="Tei">'Bernoulli Integration'!$20:$20</definedName>
    <definedName name="toollist">'Dropdown Lists'!$F$16:$F$18</definedName>
    <definedName name="tsf">Calculations!$G$134</definedName>
    <definedName name="Tstd">Calculations!$G$5</definedName>
    <definedName name="TVD">'Circ Model'!$F$3</definedName>
    <definedName name="va">Circulation!$Z:$Z</definedName>
    <definedName name="vm">Calculations!#REF!</definedName>
    <definedName name="vp">'Bernoulli Integration'!$17:$17</definedName>
    <definedName name="vr">'Bernoulli Integration'!$18:$18</definedName>
    <definedName name="vsg">Circulation!$Y:$Y</definedName>
    <definedName name="vsl">Calculations!$G$104</definedName>
    <definedName name="vsw">Circulation!$X:$X</definedName>
    <definedName name="vt">Calculations!$G$132</definedName>
    <definedName name="WBS">'Dropdown Lists'!$H$16:$H$19</definedName>
    <definedName name="WBS_MGS_Port">'Dropdown Lists'!$H$16:$H$19</definedName>
    <definedName name="xg">Calculations!$G$130</definedName>
    <definedName name="Xlm">Circulation!#REF!</definedName>
    <definedName name="xrat">Circulation!$AD:$AD</definedName>
    <definedName name="Z">Circulation!$J:$J</definedName>
    <definedName name="Za">Calculations!$G$109</definedName>
    <definedName name="Zc">Calculations!$G$110</definedName>
    <definedName name="Zp">Calculations!$G$107</definedName>
    <definedName name="Zs">Calculations!$G$108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6" i="1" l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55" i="1"/>
  <c r="H31" i="1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K134" i="5"/>
  <c r="BL134" i="5"/>
  <c r="BM134" i="5"/>
  <c r="BN134" i="5"/>
  <c r="BO134" i="5"/>
  <c r="BP134" i="5"/>
  <c r="BQ134" i="5"/>
  <c r="BR134" i="5"/>
  <c r="BS134" i="5"/>
  <c r="BT134" i="5"/>
  <c r="BU134" i="5"/>
  <c r="BV134" i="5"/>
  <c r="BW134" i="5"/>
  <c r="BX134" i="5"/>
  <c r="BY134" i="5"/>
  <c r="BZ134" i="5"/>
  <c r="CA134" i="5"/>
  <c r="CB134" i="5"/>
  <c r="CC134" i="5"/>
  <c r="CD134" i="5"/>
  <c r="CE134" i="5"/>
  <c r="CF134" i="5"/>
  <c r="CG134" i="5"/>
  <c r="CH134" i="5"/>
  <c r="CI134" i="5"/>
  <c r="CJ134" i="5"/>
  <c r="CK134" i="5"/>
  <c r="CL134" i="5"/>
  <c r="CM134" i="5"/>
  <c r="CN134" i="5"/>
  <c r="CO134" i="5"/>
  <c r="CP134" i="5"/>
  <c r="CQ134" i="5"/>
  <c r="CR134" i="5"/>
  <c r="CS134" i="5"/>
  <c r="CT134" i="5"/>
  <c r="CU134" i="5"/>
  <c r="CV134" i="5"/>
  <c r="CW134" i="5"/>
  <c r="CX134" i="5"/>
  <c r="CY134" i="5"/>
  <c r="CZ134" i="5"/>
  <c r="DA134" i="5"/>
  <c r="DB134" i="5"/>
  <c r="DC134" i="5"/>
  <c r="DD134" i="5"/>
  <c r="DE134" i="5"/>
  <c r="DF134" i="5"/>
  <c r="DG134" i="5"/>
  <c r="DH134" i="5"/>
  <c r="DI134" i="5"/>
  <c r="DJ134" i="5"/>
  <c r="DK134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BJ135" i="5"/>
  <c r="BK135" i="5"/>
  <c r="BL135" i="5"/>
  <c r="BM135" i="5"/>
  <c r="BN135" i="5"/>
  <c r="BO135" i="5"/>
  <c r="BP135" i="5"/>
  <c r="BQ135" i="5"/>
  <c r="BR135" i="5"/>
  <c r="BS135" i="5"/>
  <c r="BT135" i="5"/>
  <c r="BU135" i="5"/>
  <c r="BV135" i="5"/>
  <c r="BW135" i="5"/>
  <c r="BX135" i="5"/>
  <c r="BY135" i="5"/>
  <c r="BZ135" i="5"/>
  <c r="CA135" i="5"/>
  <c r="CB135" i="5"/>
  <c r="CC135" i="5"/>
  <c r="CD135" i="5"/>
  <c r="CE135" i="5"/>
  <c r="CF135" i="5"/>
  <c r="CG135" i="5"/>
  <c r="CH135" i="5"/>
  <c r="CI135" i="5"/>
  <c r="CJ135" i="5"/>
  <c r="CK135" i="5"/>
  <c r="CL135" i="5"/>
  <c r="CM135" i="5"/>
  <c r="CN135" i="5"/>
  <c r="CO135" i="5"/>
  <c r="CP135" i="5"/>
  <c r="CQ135" i="5"/>
  <c r="CR135" i="5"/>
  <c r="CS135" i="5"/>
  <c r="CT135" i="5"/>
  <c r="CU135" i="5"/>
  <c r="CV135" i="5"/>
  <c r="CW135" i="5"/>
  <c r="CX135" i="5"/>
  <c r="CY135" i="5"/>
  <c r="CZ135" i="5"/>
  <c r="DA135" i="5"/>
  <c r="DB135" i="5"/>
  <c r="DC135" i="5"/>
  <c r="DD135" i="5"/>
  <c r="DE135" i="5"/>
  <c r="DF135" i="5"/>
  <c r="DG135" i="5"/>
  <c r="DH135" i="5"/>
  <c r="DI135" i="5"/>
  <c r="DJ135" i="5"/>
  <c r="DK135" i="5"/>
  <c r="G130" i="5"/>
  <c r="F28" i="1"/>
  <c r="J26" i="1"/>
  <c r="L29" i="1"/>
  <c r="J14" i="1"/>
  <c r="C31" i="8"/>
  <c r="R30" i="14"/>
  <c r="R22" i="14"/>
  <c r="R12" i="14"/>
  <c r="B10" i="14"/>
  <c r="K10" i="8"/>
  <c r="E60" i="14" a="1"/>
  <c r="E60" i="14"/>
  <c r="R49" i="14"/>
  <c r="R45" i="14"/>
  <c r="S49" i="14"/>
  <c r="T49" i="14"/>
  <c r="S45" i="14"/>
  <c r="T45" i="14"/>
  <c r="S30" i="14"/>
  <c r="T30" i="14"/>
  <c r="S22" i="14"/>
  <c r="T22" i="14"/>
  <c r="S12" i="14"/>
  <c r="T12" i="14"/>
  <c r="T50" i="14" a="1"/>
  <c r="T50" i="14"/>
  <c r="H26" i="14"/>
  <c r="H28" i="14"/>
  <c r="H29" i="14"/>
  <c r="N6" i="14"/>
  <c r="C38" i="14"/>
  <c r="C39" i="14"/>
  <c r="D38" i="14"/>
  <c r="D39" i="14"/>
  <c r="E38" i="14"/>
  <c r="E39" i="14"/>
  <c r="F38" i="14"/>
  <c r="F39" i="14"/>
  <c r="G38" i="14"/>
  <c r="G39" i="14"/>
  <c r="H38" i="14"/>
  <c r="H39" i="14"/>
  <c r="I38" i="14"/>
  <c r="I39" i="14"/>
  <c r="J38" i="14"/>
  <c r="J39" i="14"/>
  <c r="L38" i="14"/>
  <c r="L39" i="14"/>
  <c r="B48" i="14"/>
  <c r="B49" i="14"/>
  <c r="B38" i="14"/>
  <c r="B39" i="14"/>
  <c r="C28" i="14"/>
  <c r="C29" i="14"/>
  <c r="D28" i="14"/>
  <c r="D29" i="14"/>
  <c r="E28" i="14"/>
  <c r="E29" i="14"/>
  <c r="F28" i="14"/>
  <c r="F29" i="14"/>
  <c r="G28" i="14"/>
  <c r="G29" i="14"/>
  <c r="B28" i="14"/>
  <c r="B29" i="14"/>
  <c r="E19" i="14"/>
  <c r="E20" i="14"/>
  <c r="F19" i="14"/>
  <c r="F20" i="14"/>
  <c r="G19" i="14"/>
  <c r="G20" i="14"/>
  <c r="B19" i="14"/>
  <c r="B20" i="14"/>
  <c r="F10" i="14"/>
  <c r="D47" i="14"/>
  <c r="D48" i="14"/>
  <c r="D49" i="14"/>
  <c r="C47" i="14"/>
  <c r="C48" i="14"/>
  <c r="C49" i="14"/>
  <c r="D46" i="14"/>
  <c r="C46" i="14"/>
  <c r="B46" i="14"/>
  <c r="N37" i="14"/>
  <c r="N38" i="14"/>
  <c r="N39" i="14"/>
  <c r="M37" i="14"/>
  <c r="K37" i="14"/>
  <c r="K38" i="14"/>
  <c r="K39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36" i="14"/>
  <c r="G26" i="14"/>
  <c r="F26" i="14"/>
  <c r="E26" i="14"/>
  <c r="D26" i="14"/>
  <c r="C26" i="14"/>
  <c r="B26" i="14"/>
  <c r="H18" i="14"/>
  <c r="D18" i="14"/>
  <c r="D19" i="14"/>
  <c r="D20" i="14"/>
  <c r="C18" i="14"/>
  <c r="C19" i="14"/>
  <c r="C20" i="14"/>
  <c r="J17" i="14"/>
  <c r="I17" i="14"/>
  <c r="H17" i="14"/>
  <c r="G17" i="14"/>
  <c r="F17" i="14"/>
  <c r="E17" i="14"/>
  <c r="D17" i="14"/>
  <c r="C17" i="14"/>
  <c r="B17" i="14"/>
  <c r="G9" i="14"/>
  <c r="H9" i="14"/>
  <c r="I9" i="14"/>
  <c r="I10" i="14"/>
  <c r="C9" i="14"/>
  <c r="E9" i="14"/>
  <c r="E10" i="14"/>
  <c r="I8" i="14"/>
  <c r="H8" i="14"/>
  <c r="G8" i="14"/>
  <c r="F8" i="14"/>
  <c r="E8" i="14"/>
  <c r="D8" i="14"/>
  <c r="C8" i="14"/>
  <c r="B8" i="14"/>
  <c r="O37" i="14"/>
  <c r="O38" i="14"/>
  <c r="O39" i="14"/>
  <c r="M38" i="14"/>
  <c r="M39" i="14"/>
  <c r="I18" i="14"/>
  <c r="H19" i="14"/>
  <c r="H20" i="14"/>
  <c r="H10" i="14"/>
  <c r="G10" i="14"/>
  <c r="C10" i="14"/>
  <c r="D9" i="14"/>
  <c r="D10" i="14"/>
  <c r="J18" i="14"/>
  <c r="J19" i="14"/>
  <c r="J20" i="14"/>
  <c r="I19" i="14"/>
  <c r="I20" i="14"/>
  <c r="D13" i="1"/>
  <c r="D10" i="8"/>
  <c r="F47" i="11"/>
  <c r="F46" i="11"/>
  <c r="F45" i="11"/>
  <c r="F20" i="1"/>
  <c r="G85" i="5"/>
  <c r="F19" i="1"/>
  <c r="G84" i="5"/>
  <c r="E55" i="11"/>
  <c r="C55" i="11"/>
  <c r="B55" i="11"/>
  <c r="E54" i="11"/>
  <c r="C54" i="11"/>
  <c r="B54" i="11"/>
  <c r="E53" i="11"/>
  <c r="C53" i="11"/>
  <c r="B53" i="11"/>
  <c r="E47" i="11"/>
  <c r="E46" i="11"/>
  <c r="E45" i="11"/>
  <c r="J43" i="11"/>
  <c r="I43" i="11"/>
  <c r="H43" i="11"/>
  <c r="G43" i="11"/>
  <c r="E43" i="11"/>
  <c r="J42" i="11"/>
  <c r="I42" i="11"/>
  <c r="H42" i="11"/>
  <c r="G42" i="11"/>
  <c r="E42" i="11"/>
  <c r="J41" i="11"/>
  <c r="I41" i="11"/>
  <c r="H41" i="11"/>
  <c r="G41" i="11"/>
  <c r="E41" i="11"/>
  <c r="J39" i="11"/>
  <c r="I39" i="11"/>
  <c r="G39" i="11"/>
  <c r="E39" i="11"/>
  <c r="D39" i="11"/>
  <c r="C39" i="11"/>
  <c r="B39" i="11"/>
  <c r="J38" i="11"/>
  <c r="I38" i="11"/>
  <c r="G38" i="11"/>
  <c r="E38" i="11"/>
  <c r="D38" i="11"/>
  <c r="C38" i="11"/>
  <c r="B38" i="11"/>
  <c r="J37" i="11"/>
  <c r="I37" i="11"/>
  <c r="G37" i="11"/>
  <c r="E37" i="11"/>
  <c r="D37" i="11"/>
  <c r="C37" i="11"/>
  <c r="B37" i="11"/>
  <c r="E35" i="11"/>
  <c r="C35" i="11"/>
  <c r="B35" i="11"/>
  <c r="E34" i="11"/>
  <c r="C34" i="11"/>
  <c r="B34" i="11"/>
  <c r="E33" i="11"/>
  <c r="C33" i="11"/>
  <c r="B33" i="11"/>
  <c r="J31" i="11"/>
  <c r="I31" i="11"/>
  <c r="H31" i="11"/>
  <c r="G31" i="11"/>
  <c r="E31" i="11"/>
  <c r="D31" i="11"/>
  <c r="C31" i="11"/>
  <c r="B31" i="11"/>
  <c r="P132" i="5"/>
  <c r="N10" i="8"/>
  <c r="G96" i="5"/>
  <c r="C57" i="1"/>
  <c r="C58" i="1"/>
  <c r="D12" i="1"/>
  <c r="F7" i="1"/>
  <c r="J7" i="1"/>
  <c r="E22" i="5"/>
  <c r="G22" i="5"/>
  <c r="G14" i="5"/>
  <c r="G15" i="5"/>
  <c r="J17" i="1"/>
  <c r="F17" i="1"/>
  <c r="K138" i="5"/>
  <c r="G6" i="5"/>
  <c r="G5" i="5"/>
  <c r="J18" i="1"/>
  <c r="F18" i="1"/>
  <c r="J21" i="1"/>
  <c r="F21" i="1"/>
  <c r="H9" i="4"/>
  <c r="J9" i="4"/>
  <c r="F4" i="1"/>
  <c r="D9" i="4"/>
  <c r="D10" i="4"/>
  <c r="F3" i="1"/>
  <c r="J3" i="1"/>
  <c r="F5" i="1"/>
  <c r="F9" i="1"/>
  <c r="F6" i="1"/>
  <c r="F8" i="1"/>
  <c r="J8" i="1"/>
  <c r="F11" i="1"/>
  <c r="G99" i="5"/>
  <c r="F16" i="1"/>
  <c r="F15" i="1"/>
  <c r="I126" i="5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V6" i="7"/>
  <c r="W6" i="7"/>
  <c r="X6" i="7"/>
  <c r="Y6" i="7"/>
  <c r="Z6" i="7"/>
  <c r="AA6" i="7"/>
  <c r="AB6" i="7"/>
  <c r="AC6" i="7"/>
  <c r="AD6" i="7"/>
  <c r="AE6" i="7"/>
  <c r="AF6" i="7"/>
  <c r="AG6" i="7"/>
  <c r="AH6" i="7"/>
  <c r="AI6" i="7"/>
  <c r="AJ6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I5" i="5"/>
  <c r="E6" i="5"/>
  <c r="G9" i="5"/>
  <c r="G17" i="5"/>
  <c r="G18" i="5"/>
  <c r="G24" i="5"/>
  <c r="I24" i="5"/>
  <c r="G117" i="5"/>
  <c r="C20" i="4"/>
  <c r="C21" i="4"/>
  <c r="J9" i="1"/>
  <c r="F10" i="1"/>
  <c r="J10" i="1"/>
  <c r="J5" i="1"/>
  <c r="J6" i="1"/>
  <c r="L18" i="1"/>
  <c r="J29" i="1"/>
  <c r="Q132" i="5"/>
  <c r="R132" i="5"/>
  <c r="AH10" i="4"/>
  <c r="AC10" i="4"/>
  <c r="D11" i="4"/>
  <c r="G10" i="4"/>
  <c r="E10" i="4"/>
  <c r="F10" i="4"/>
  <c r="E11" i="4"/>
  <c r="F11" i="4"/>
  <c r="E9" i="4"/>
  <c r="F9" i="4"/>
  <c r="I30" i="5"/>
  <c r="G30" i="5"/>
  <c r="F10" i="8"/>
  <c r="G31" i="5"/>
  <c r="I13" i="1"/>
  <c r="J10" i="8"/>
  <c r="G27" i="5"/>
  <c r="G68" i="5"/>
  <c r="I9" i="4"/>
  <c r="D20" i="4"/>
  <c r="AC20" i="4"/>
  <c r="B9" i="4"/>
  <c r="J4" i="1"/>
  <c r="G26" i="5"/>
  <c r="E26" i="5"/>
  <c r="D124" i="4"/>
  <c r="A124" i="4"/>
  <c r="G100" i="5"/>
  <c r="C59" i="1"/>
  <c r="C60" i="1"/>
  <c r="C61" i="1"/>
  <c r="G86" i="5"/>
  <c r="I85" i="5"/>
  <c r="E85" i="5"/>
  <c r="E84" i="5"/>
  <c r="I84" i="5"/>
  <c r="AC9" i="4"/>
  <c r="D1" i="8"/>
  <c r="I10" i="8"/>
  <c r="G110" i="5"/>
  <c r="K38" i="5"/>
  <c r="G9" i="4"/>
  <c r="S9" i="4"/>
  <c r="S132" i="5"/>
  <c r="T132" i="5"/>
  <c r="A9" i="4"/>
  <c r="D121" i="4"/>
  <c r="G121" i="4"/>
  <c r="D123" i="4"/>
  <c r="G23" i="5"/>
  <c r="G223" i="4"/>
  <c r="K46" i="5"/>
  <c r="AH9" i="4"/>
  <c r="D21" i="4"/>
  <c r="C22" i="4"/>
  <c r="G16" i="5"/>
  <c r="G28" i="5"/>
  <c r="G69" i="5"/>
  <c r="S10" i="4"/>
  <c r="AJ10" i="4"/>
  <c r="G11" i="4"/>
  <c r="AC11" i="4"/>
  <c r="AH11" i="4"/>
  <c r="D12" i="4"/>
  <c r="L26" i="1"/>
  <c r="AJ9" i="4"/>
  <c r="A20" i="4"/>
  <c r="G20" i="4"/>
  <c r="AJ20" i="4"/>
  <c r="G124" i="4"/>
  <c r="S124" i="4"/>
  <c r="G97" i="5"/>
  <c r="G101" i="5"/>
  <c r="L9" i="4"/>
  <c r="G38" i="5"/>
  <c r="L38" i="5"/>
  <c r="E86" i="5"/>
  <c r="I86" i="5"/>
  <c r="T9" i="4"/>
  <c r="AB124" i="4"/>
  <c r="E20" i="4"/>
  <c r="F20" i="4"/>
  <c r="AH20" i="4"/>
  <c r="I26" i="5"/>
  <c r="K9" i="4"/>
  <c r="A121" i="4"/>
  <c r="A122" i="4"/>
  <c r="AB121" i="4"/>
  <c r="A123" i="4"/>
  <c r="AB123" i="4"/>
  <c r="U132" i="5"/>
  <c r="G123" i="4"/>
  <c r="S123" i="4"/>
  <c r="G78" i="5"/>
  <c r="S121" i="4"/>
  <c r="AC21" i="4"/>
  <c r="G21" i="4"/>
  <c r="A21" i="4"/>
  <c r="E21" i="4"/>
  <c r="F21" i="4"/>
  <c r="AH21" i="4"/>
  <c r="G70" i="5"/>
  <c r="E69" i="5"/>
  <c r="G111" i="5"/>
  <c r="E23" i="5"/>
  <c r="G113" i="5"/>
  <c r="I23" i="5"/>
  <c r="C62" i="1"/>
  <c r="D22" i="4"/>
  <c r="C23" i="4"/>
  <c r="D125" i="4"/>
  <c r="AH12" i="4"/>
  <c r="D13" i="4"/>
  <c r="AC12" i="4"/>
  <c r="G12" i="4"/>
  <c r="E12" i="4"/>
  <c r="F12" i="4"/>
  <c r="AJ11" i="4"/>
  <c r="S11" i="4"/>
  <c r="V9" i="4"/>
  <c r="X9" i="4"/>
  <c r="S20" i="4"/>
  <c r="W9" i="4"/>
  <c r="Y9" i="4"/>
  <c r="AI9" i="4"/>
  <c r="P9" i="4"/>
  <c r="K71" i="5"/>
  <c r="M9" i="4"/>
  <c r="G46" i="5"/>
  <c r="L46" i="5"/>
  <c r="O9" i="4"/>
  <c r="V132" i="5"/>
  <c r="G71" i="5"/>
  <c r="S21" i="4"/>
  <c r="AJ21" i="4"/>
  <c r="C63" i="1"/>
  <c r="G125" i="4"/>
  <c r="AB125" i="4"/>
  <c r="A125" i="4"/>
  <c r="D23" i="4"/>
  <c r="C24" i="4"/>
  <c r="D126" i="4"/>
  <c r="A22" i="4"/>
  <c r="E22" i="4"/>
  <c r="F22" i="4"/>
  <c r="AH22" i="4"/>
  <c r="G22" i="4"/>
  <c r="AC22" i="4"/>
  <c r="AJ12" i="4"/>
  <c r="S12" i="4"/>
  <c r="D14" i="4"/>
  <c r="AH13" i="4"/>
  <c r="AC13" i="4"/>
  <c r="G13" i="4"/>
  <c r="E13" i="4"/>
  <c r="F13" i="4"/>
  <c r="Z9" i="4"/>
  <c r="Q9" i="4"/>
  <c r="R9" i="4"/>
  <c r="L71" i="5"/>
  <c r="W132" i="5"/>
  <c r="G126" i="4"/>
  <c r="A126" i="4"/>
  <c r="AB126" i="4"/>
  <c r="C64" i="1"/>
  <c r="AJ22" i="4"/>
  <c r="S22" i="4"/>
  <c r="C25" i="4"/>
  <c r="D127" i="4"/>
  <c r="D24" i="4"/>
  <c r="S125" i="4"/>
  <c r="A23" i="4"/>
  <c r="AC23" i="4"/>
  <c r="AH23" i="4"/>
  <c r="E23" i="4"/>
  <c r="F23" i="4"/>
  <c r="G23" i="4"/>
  <c r="AJ13" i="4"/>
  <c r="S13" i="4"/>
  <c r="D15" i="4"/>
  <c r="G14" i="4"/>
  <c r="AC14" i="4"/>
  <c r="AH14" i="4"/>
  <c r="E14" i="4"/>
  <c r="F14" i="4"/>
  <c r="N9" i="4"/>
  <c r="AG9" i="4"/>
  <c r="AB9" i="4"/>
  <c r="G54" i="5"/>
  <c r="K62" i="5"/>
  <c r="U9" i="4"/>
  <c r="AA9" i="4"/>
  <c r="X132" i="5"/>
  <c r="C65" i="1"/>
  <c r="AH24" i="4"/>
  <c r="E24" i="4"/>
  <c r="F24" i="4"/>
  <c r="A24" i="4"/>
  <c r="G24" i="4"/>
  <c r="AC24" i="4"/>
  <c r="S126" i="4"/>
  <c r="G127" i="4"/>
  <c r="A127" i="4"/>
  <c r="AB127" i="4"/>
  <c r="S23" i="4"/>
  <c r="AJ23" i="4"/>
  <c r="D128" i="4"/>
  <c r="C26" i="4"/>
  <c r="D25" i="4"/>
  <c r="S14" i="4"/>
  <c r="AJ14" i="4"/>
  <c r="D16" i="4"/>
  <c r="AH15" i="4"/>
  <c r="AC15" i="4"/>
  <c r="G15" i="4"/>
  <c r="E15" i="4"/>
  <c r="F15" i="4"/>
  <c r="H10" i="4"/>
  <c r="T10" i="4"/>
  <c r="G62" i="5"/>
  <c r="L62" i="5"/>
  <c r="AD9" i="4"/>
  <c r="AE9" i="4"/>
  <c r="AF9" i="4"/>
  <c r="Y132" i="5"/>
  <c r="D26" i="4"/>
  <c r="D129" i="4"/>
  <c r="C27" i="4"/>
  <c r="AJ24" i="4"/>
  <c r="S24" i="4"/>
  <c r="E25" i="4"/>
  <c r="F25" i="4"/>
  <c r="AC25" i="4"/>
  <c r="AH25" i="4"/>
  <c r="G25" i="4"/>
  <c r="A25" i="4"/>
  <c r="A128" i="4"/>
  <c r="AB128" i="4"/>
  <c r="G128" i="4"/>
  <c r="S127" i="4"/>
  <c r="C66" i="1"/>
  <c r="AJ15" i="4"/>
  <c r="S15" i="4"/>
  <c r="AH16" i="4"/>
  <c r="D17" i="4"/>
  <c r="AC16" i="4"/>
  <c r="G16" i="4"/>
  <c r="E16" i="4"/>
  <c r="F16" i="4"/>
  <c r="K10" i="4"/>
  <c r="V10" i="4"/>
  <c r="I10" i="4"/>
  <c r="J10" i="4"/>
  <c r="L10" i="4"/>
  <c r="W10" i="4"/>
  <c r="Y10" i="4"/>
  <c r="Z132" i="5"/>
  <c r="S128" i="4"/>
  <c r="G129" i="4"/>
  <c r="A129" i="4"/>
  <c r="AB129" i="4"/>
  <c r="C67" i="1"/>
  <c r="AC26" i="4"/>
  <c r="AH26" i="4"/>
  <c r="E26" i="4"/>
  <c r="F26" i="4"/>
  <c r="A26" i="4"/>
  <c r="G26" i="4"/>
  <c r="AJ25" i="4"/>
  <c r="S25" i="4"/>
  <c r="C28" i="4"/>
  <c r="D27" i="4"/>
  <c r="D130" i="4"/>
  <c r="AJ16" i="4"/>
  <c r="S16" i="4"/>
  <c r="D18" i="4"/>
  <c r="AH17" i="4"/>
  <c r="AC17" i="4"/>
  <c r="G17" i="4"/>
  <c r="E17" i="4"/>
  <c r="F17" i="4"/>
  <c r="O10" i="4"/>
  <c r="P10" i="4"/>
  <c r="AI10" i="4"/>
  <c r="M10" i="4"/>
  <c r="X10" i="4"/>
  <c r="Z10" i="4"/>
  <c r="AA132" i="5"/>
  <c r="AC27" i="4"/>
  <c r="E27" i="4"/>
  <c r="F27" i="4"/>
  <c r="AH27" i="4"/>
  <c r="A27" i="4"/>
  <c r="G27" i="4"/>
  <c r="C29" i="4"/>
  <c r="D131" i="4"/>
  <c r="D28" i="4"/>
  <c r="S26" i="4"/>
  <c r="AJ26" i="4"/>
  <c r="C68" i="1"/>
  <c r="G130" i="4"/>
  <c r="A130" i="4"/>
  <c r="AB130" i="4"/>
  <c r="S129" i="4"/>
  <c r="S17" i="4"/>
  <c r="AJ17" i="4"/>
  <c r="G18" i="4"/>
  <c r="AC18" i="4"/>
  <c r="D19" i="4"/>
  <c r="AH18" i="4"/>
  <c r="E18" i="4"/>
  <c r="F18" i="4"/>
  <c r="Q10" i="4"/>
  <c r="R10" i="4"/>
  <c r="AB132" i="5"/>
  <c r="G131" i="4"/>
  <c r="A131" i="4"/>
  <c r="AB131" i="4"/>
  <c r="S130" i="4"/>
  <c r="E28" i="4"/>
  <c r="F28" i="4"/>
  <c r="AC28" i="4"/>
  <c r="A28" i="4"/>
  <c r="AH28" i="4"/>
  <c r="G28" i="4"/>
  <c r="D132" i="4"/>
  <c r="C30" i="4"/>
  <c r="D29" i="4"/>
  <c r="C69" i="1"/>
  <c r="AJ27" i="4"/>
  <c r="S27" i="4"/>
  <c r="AH19" i="4"/>
  <c r="AC19" i="4"/>
  <c r="G19" i="4"/>
  <c r="E19" i="4"/>
  <c r="F19" i="4"/>
  <c r="S18" i="4"/>
  <c r="AJ18" i="4"/>
  <c r="AG10" i="4"/>
  <c r="N10" i="4"/>
  <c r="U10" i="4"/>
  <c r="AA10" i="4"/>
  <c r="AB10" i="4"/>
  <c r="AD10" i="4"/>
  <c r="AC132" i="5"/>
  <c r="C70" i="1"/>
  <c r="A132" i="4"/>
  <c r="G132" i="4"/>
  <c r="AB132" i="4"/>
  <c r="S131" i="4"/>
  <c r="AC29" i="4"/>
  <c r="AH29" i="4"/>
  <c r="A29" i="4"/>
  <c r="E29" i="4"/>
  <c r="F29" i="4"/>
  <c r="G29" i="4"/>
  <c r="D133" i="4"/>
  <c r="D30" i="4"/>
  <c r="C31" i="4"/>
  <c r="S28" i="4"/>
  <c r="AJ28" i="4"/>
  <c r="AJ19" i="4"/>
  <c r="S19" i="4"/>
  <c r="AE10" i="4"/>
  <c r="AF10" i="4"/>
  <c r="H11" i="4"/>
  <c r="T11" i="4"/>
  <c r="AD132" i="5"/>
  <c r="S132" i="4"/>
  <c r="A30" i="4"/>
  <c r="AC30" i="4"/>
  <c r="AH30" i="4"/>
  <c r="E30" i="4"/>
  <c r="F30" i="4"/>
  <c r="G30" i="4"/>
  <c r="C32" i="4"/>
  <c r="D31" i="4"/>
  <c r="D134" i="4"/>
  <c r="G133" i="4"/>
  <c r="A133" i="4"/>
  <c r="AB133" i="4"/>
  <c r="C71" i="1"/>
  <c r="S29" i="4"/>
  <c r="AJ29" i="4"/>
  <c r="I11" i="4"/>
  <c r="K11" i="4"/>
  <c r="V11" i="4"/>
  <c r="J11" i="4"/>
  <c r="L11" i="4"/>
  <c r="AE132" i="5"/>
  <c r="C72" i="1"/>
  <c r="D32" i="4"/>
  <c r="D135" i="4"/>
  <c r="C33" i="4"/>
  <c r="S133" i="4"/>
  <c r="S30" i="4"/>
  <c r="AJ30" i="4"/>
  <c r="A134" i="4"/>
  <c r="G134" i="4"/>
  <c r="E31" i="4"/>
  <c r="F31" i="4"/>
  <c r="A31" i="4"/>
  <c r="AC31" i="4"/>
  <c r="AH31" i="4"/>
  <c r="G31" i="4"/>
  <c r="P11" i="4"/>
  <c r="W11" i="4"/>
  <c r="Y11" i="4"/>
  <c r="AI11" i="4"/>
  <c r="M11" i="4"/>
  <c r="O11" i="4"/>
  <c r="X11" i="4"/>
  <c r="AF132" i="5"/>
  <c r="S31" i="4"/>
  <c r="AJ31" i="4"/>
  <c r="S134" i="4"/>
  <c r="AH32" i="4"/>
  <c r="E32" i="4"/>
  <c r="F32" i="4"/>
  <c r="AC32" i="4"/>
  <c r="A32" i="4"/>
  <c r="G32" i="4"/>
  <c r="C73" i="1"/>
  <c r="D136" i="4"/>
  <c r="D33" i="4"/>
  <c r="C34" i="4"/>
  <c r="A135" i="4"/>
  <c r="G135" i="4"/>
  <c r="Z11" i="4"/>
  <c r="Q11" i="4"/>
  <c r="R11" i="4"/>
  <c r="AG132" i="5"/>
  <c r="S135" i="4"/>
  <c r="C74" i="1"/>
  <c r="D34" i="4"/>
  <c r="C35" i="4"/>
  <c r="D137" i="4"/>
  <c r="A33" i="4"/>
  <c r="G33" i="4"/>
  <c r="AC33" i="4"/>
  <c r="AH33" i="4"/>
  <c r="E33" i="4"/>
  <c r="F33" i="4"/>
  <c r="AJ32" i="4"/>
  <c r="S32" i="4"/>
  <c r="A136" i="4"/>
  <c r="G136" i="4"/>
  <c r="U11" i="4"/>
  <c r="AA11" i="4"/>
  <c r="AG11" i="4"/>
  <c r="N11" i="4"/>
  <c r="AB11" i="4"/>
  <c r="AD11" i="4"/>
  <c r="AH132" i="5"/>
  <c r="C75" i="1"/>
  <c r="S136" i="4"/>
  <c r="S33" i="4"/>
  <c r="AJ33" i="4"/>
  <c r="A137" i="4"/>
  <c r="G137" i="4"/>
  <c r="C36" i="4"/>
  <c r="D138" i="4"/>
  <c r="D35" i="4"/>
  <c r="E34" i="4"/>
  <c r="F34" i="4"/>
  <c r="AC34" i="4"/>
  <c r="AH34" i="4"/>
  <c r="A34" i="4"/>
  <c r="G34" i="4"/>
  <c r="AE11" i="4"/>
  <c r="AF11" i="4"/>
  <c r="H12" i="4"/>
  <c r="T12" i="4"/>
  <c r="AI132" i="5"/>
  <c r="A138" i="4"/>
  <c r="G138" i="4"/>
  <c r="C76" i="1"/>
  <c r="AC35" i="4"/>
  <c r="AH35" i="4"/>
  <c r="E35" i="4"/>
  <c r="F35" i="4"/>
  <c r="G35" i="4"/>
  <c r="A35" i="4"/>
  <c r="S137" i="4"/>
  <c r="AJ34" i="4"/>
  <c r="S34" i="4"/>
  <c r="C37" i="4"/>
  <c r="D36" i="4"/>
  <c r="D139" i="4"/>
  <c r="I12" i="4"/>
  <c r="J12" i="4"/>
  <c r="L12" i="4"/>
  <c r="K12" i="4"/>
  <c r="V12" i="4"/>
  <c r="AJ132" i="5"/>
  <c r="C38" i="4"/>
  <c r="D140" i="4"/>
  <c r="D37" i="4"/>
  <c r="A139" i="4"/>
  <c r="G139" i="4"/>
  <c r="C77" i="1"/>
  <c r="A36" i="4"/>
  <c r="AH36" i="4"/>
  <c r="AC36" i="4"/>
  <c r="E36" i="4"/>
  <c r="F36" i="4"/>
  <c r="G36" i="4"/>
  <c r="S138" i="4"/>
  <c r="S35" i="4"/>
  <c r="AJ35" i="4"/>
  <c r="M12" i="4"/>
  <c r="P12" i="4"/>
  <c r="O12" i="4"/>
  <c r="W12" i="4"/>
  <c r="Y12" i="4"/>
  <c r="AI12" i="4"/>
  <c r="X12" i="4"/>
  <c r="AK132" i="5"/>
  <c r="C78" i="1"/>
  <c r="S36" i="4"/>
  <c r="AJ36" i="4"/>
  <c r="AC37" i="4"/>
  <c r="E37" i="4"/>
  <c r="F37" i="4"/>
  <c r="A37" i="4"/>
  <c r="AH37" i="4"/>
  <c r="G37" i="4"/>
  <c r="A140" i="4"/>
  <c r="G140" i="4"/>
  <c r="S139" i="4"/>
  <c r="C39" i="4"/>
  <c r="D38" i="4"/>
  <c r="D141" i="4"/>
  <c r="Z12" i="4"/>
  <c r="Q12" i="4"/>
  <c r="R12" i="4"/>
  <c r="AL132" i="5"/>
  <c r="S140" i="4"/>
  <c r="C79" i="1"/>
  <c r="D39" i="4"/>
  <c r="C40" i="4"/>
  <c r="D142" i="4"/>
  <c r="A38" i="4"/>
  <c r="E38" i="4"/>
  <c r="F38" i="4"/>
  <c r="G38" i="4"/>
  <c r="AC38" i="4"/>
  <c r="AH38" i="4"/>
  <c r="S37" i="4"/>
  <c r="AJ37" i="4"/>
  <c r="A141" i="4"/>
  <c r="G141" i="4"/>
  <c r="U12" i="4"/>
  <c r="AA12" i="4"/>
  <c r="AG12" i="4"/>
  <c r="N12" i="4"/>
  <c r="AB12" i="4"/>
  <c r="AD12" i="4"/>
  <c r="AM132" i="5"/>
  <c r="C41" i="4"/>
  <c r="D40" i="4"/>
  <c r="D143" i="4"/>
  <c r="A39" i="4"/>
  <c r="E39" i="4"/>
  <c r="F39" i="4"/>
  <c r="AH39" i="4"/>
  <c r="AC39" i="4"/>
  <c r="G39" i="4"/>
  <c r="C80" i="1"/>
  <c r="AJ38" i="4"/>
  <c r="S38" i="4"/>
  <c r="S141" i="4"/>
  <c r="G142" i="4"/>
  <c r="A142" i="4"/>
  <c r="AE12" i="4"/>
  <c r="AF12" i="4"/>
  <c r="H13" i="4"/>
  <c r="K13" i="4"/>
  <c r="AN132" i="5"/>
  <c r="S39" i="4"/>
  <c r="AJ39" i="4"/>
  <c r="AH40" i="4"/>
  <c r="A40" i="4"/>
  <c r="E40" i="4"/>
  <c r="F40" i="4"/>
  <c r="G40" i="4"/>
  <c r="AC40" i="4"/>
  <c r="A143" i="4"/>
  <c r="G143" i="4"/>
  <c r="D144" i="4"/>
  <c r="C42" i="4"/>
  <c r="D41" i="4"/>
  <c r="S142" i="4"/>
  <c r="C81" i="1"/>
  <c r="T13" i="4"/>
  <c r="I13" i="4"/>
  <c r="J13" i="4"/>
  <c r="L13" i="4"/>
  <c r="M13" i="4"/>
  <c r="V13" i="4"/>
  <c r="AO132" i="5"/>
  <c r="C82" i="1"/>
  <c r="A41" i="4"/>
  <c r="AH41" i="4"/>
  <c r="G41" i="4"/>
  <c r="E41" i="4"/>
  <c r="F41" i="4"/>
  <c r="AC41" i="4"/>
  <c r="G144" i="4"/>
  <c r="A144" i="4"/>
  <c r="S143" i="4"/>
  <c r="S40" i="4"/>
  <c r="AJ40" i="4"/>
  <c r="D42" i="4"/>
  <c r="C43" i="4"/>
  <c r="D145" i="4"/>
  <c r="O13" i="4"/>
  <c r="P13" i="4"/>
  <c r="W13" i="4"/>
  <c r="Y13" i="4"/>
  <c r="AI13" i="4"/>
  <c r="X13" i="4"/>
  <c r="AP132" i="5"/>
  <c r="S144" i="4"/>
  <c r="S41" i="4"/>
  <c r="AJ41" i="4"/>
  <c r="C83" i="1"/>
  <c r="A42" i="4"/>
  <c r="AH42" i="4"/>
  <c r="E42" i="4"/>
  <c r="F42" i="4"/>
  <c r="AC42" i="4"/>
  <c r="G42" i="4"/>
  <c r="A145" i="4"/>
  <c r="G145" i="4"/>
  <c r="C44" i="4"/>
  <c r="D146" i="4"/>
  <c r="D43" i="4"/>
  <c r="Z13" i="4"/>
  <c r="Q13" i="4"/>
  <c r="R13" i="4"/>
  <c r="AQ132" i="5"/>
  <c r="C84" i="1"/>
  <c r="A146" i="4"/>
  <c r="G146" i="4"/>
  <c r="S42" i="4"/>
  <c r="AJ42" i="4"/>
  <c r="C45" i="4"/>
  <c r="D147" i="4"/>
  <c r="D44" i="4"/>
  <c r="AH43" i="4"/>
  <c r="A43" i="4"/>
  <c r="E43" i="4"/>
  <c r="F43" i="4"/>
  <c r="G43" i="4"/>
  <c r="AC43" i="4"/>
  <c r="S145" i="4"/>
  <c r="AG13" i="4"/>
  <c r="N13" i="4"/>
  <c r="U13" i="4"/>
  <c r="AE13" i="4"/>
  <c r="AF13" i="4"/>
  <c r="AB13" i="4"/>
  <c r="AD13" i="4"/>
  <c r="AR132" i="5"/>
  <c r="AH44" i="4"/>
  <c r="A44" i="4"/>
  <c r="E44" i="4"/>
  <c r="F44" i="4"/>
  <c r="G44" i="4"/>
  <c r="AC44" i="4"/>
  <c r="C85" i="1"/>
  <c r="A147" i="4"/>
  <c r="G147" i="4"/>
  <c r="AJ43" i="4"/>
  <c r="S43" i="4"/>
  <c r="S146" i="4"/>
  <c r="C46" i="4"/>
  <c r="D148" i="4"/>
  <c r="D45" i="4"/>
  <c r="AA13" i="4"/>
  <c r="H14" i="4"/>
  <c r="J14" i="4"/>
  <c r="L14" i="4"/>
  <c r="AS132" i="5"/>
  <c r="S44" i="4"/>
  <c r="AJ44" i="4"/>
  <c r="AH45" i="4"/>
  <c r="G45" i="4"/>
  <c r="AC45" i="4"/>
  <c r="E45" i="4"/>
  <c r="F45" i="4"/>
  <c r="A45" i="4"/>
  <c r="C86" i="1"/>
  <c r="A148" i="4"/>
  <c r="G148" i="4"/>
  <c r="D46" i="4"/>
  <c r="C47" i="4"/>
  <c r="D149" i="4"/>
  <c r="S147" i="4"/>
  <c r="I14" i="4"/>
  <c r="T14" i="4"/>
  <c r="K14" i="4"/>
  <c r="P14" i="4"/>
  <c r="W14" i="4"/>
  <c r="Y14" i="4"/>
  <c r="AT132" i="5"/>
  <c r="S148" i="4"/>
  <c r="G149" i="4"/>
  <c r="A149" i="4"/>
  <c r="AJ45" i="4"/>
  <c r="S45" i="4"/>
  <c r="C87" i="1"/>
  <c r="D150" i="4"/>
  <c r="D47" i="4"/>
  <c r="C48" i="4"/>
  <c r="AH46" i="4"/>
  <c r="A46" i="4"/>
  <c r="AC46" i="4"/>
  <c r="E46" i="4"/>
  <c r="F46" i="4"/>
  <c r="G46" i="4"/>
  <c r="V14" i="4"/>
  <c r="Z14" i="4"/>
  <c r="O14" i="4"/>
  <c r="M14" i="4"/>
  <c r="AI14" i="4"/>
  <c r="AU132" i="5"/>
  <c r="A150" i="4"/>
  <c r="G150" i="4"/>
  <c r="AH47" i="4"/>
  <c r="E47" i="4"/>
  <c r="F47" i="4"/>
  <c r="G47" i="4"/>
  <c r="A47" i="4"/>
  <c r="AC47" i="4"/>
  <c r="C88" i="1"/>
  <c r="S46" i="4"/>
  <c r="AJ46" i="4"/>
  <c r="C49" i="4"/>
  <c r="D151" i="4"/>
  <c r="D48" i="4"/>
  <c r="S149" i="4"/>
  <c r="Q14" i="4"/>
  <c r="X14" i="4"/>
  <c r="U14" i="4"/>
  <c r="R14" i="4"/>
  <c r="N14" i="4"/>
  <c r="AG14" i="4"/>
  <c r="AV132" i="5"/>
  <c r="C89" i="1"/>
  <c r="S150" i="4"/>
  <c r="G151" i="4"/>
  <c r="A151" i="4"/>
  <c r="E48" i="4"/>
  <c r="F48" i="4"/>
  <c r="A48" i="4"/>
  <c r="AH48" i="4"/>
  <c r="AC48" i="4"/>
  <c r="G48" i="4"/>
  <c r="D152" i="4"/>
  <c r="C50" i="4"/>
  <c r="D49" i="4"/>
  <c r="AJ47" i="4"/>
  <c r="S47" i="4"/>
  <c r="AA14" i="4"/>
  <c r="AB14" i="4"/>
  <c r="AD14" i="4"/>
  <c r="AE14" i="4"/>
  <c r="AF14" i="4"/>
  <c r="AW132" i="5"/>
  <c r="S151" i="4"/>
  <c r="AJ48" i="4"/>
  <c r="S48" i="4"/>
  <c r="C90" i="1"/>
  <c r="C51" i="4"/>
  <c r="D153" i="4"/>
  <c r="D50" i="4"/>
  <c r="A152" i="4"/>
  <c r="G152" i="4"/>
  <c r="A49" i="4"/>
  <c r="G49" i="4"/>
  <c r="AH49" i="4"/>
  <c r="E49" i="4"/>
  <c r="F49" i="4"/>
  <c r="AC49" i="4"/>
  <c r="H15" i="4"/>
  <c r="T15" i="4"/>
  <c r="AX132" i="5"/>
  <c r="A153" i="4"/>
  <c r="G153" i="4"/>
  <c r="S152" i="4"/>
  <c r="AH50" i="4"/>
  <c r="E50" i="4"/>
  <c r="F50" i="4"/>
  <c r="A50" i="4"/>
  <c r="AC50" i="4"/>
  <c r="G50" i="4"/>
  <c r="C52" i="4"/>
  <c r="D154" i="4"/>
  <c r="D51" i="4"/>
  <c r="S49" i="4"/>
  <c r="AJ49" i="4"/>
  <c r="C91" i="1"/>
  <c r="I15" i="4"/>
  <c r="K15" i="4"/>
  <c r="V15" i="4"/>
  <c r="J15" i="4"/>
  <c r="L15" i="4"/>
  <c r="AY132" i="5"/>
  <c r="S50" i="4"/>
  <c r="AJ50" i="4"/>
  <c r="C92" i="1"/>
  <c r="G154" i="4"/>
  <c r="A154" i="4"/>
  <c r="S153" i="4"/>
  <c r="G51" i="4"/>
  <c r="A51" i="4"/>
  <c r="E51" i="4"/>
  <c r="F51" i="4"/>
  <c r="AH51" i="4"/>
  <c r="AC51" i="4"/>
  <c r="C53" i="4"/>
  <c r="D155" i="4"/>
  <c r="D52" i="4"/>
  <c r="O15" i="4"/>
  <c r="M15" i="4"/>
  <c r="W15" i="4"/>
  <c r="Y15" i="4"/>
  <c r="AI15" i="4"/>
  <c r="P15" i="4"/>
  <c r="X15" i="4"/>
  <c r="AZ132" i="5"/>
  <c r="E52" i="4"/>
  <c r="F52" i="4"/>
  <c r="A52" i="4"/>
  <c r="AH52" i="4"/>
  <c r="AC52" i="4"/>
  <c r="G52" i="4"/>
  <c r="C93" i="1"/>
  <c r="S51" i="4"/>
  <c r="AJ51" i="4"/>
  <c r="S154" i="4"/>
  <c r="A155" i="4"/>
  <c r="G155" i="4"/>
  <c r="D53" i="4"/>
  <c r="C54" i="4"/>
  <c r="D156" i="4"/>
  <c r="Z15" i="4"/>
  <c r="Q15" i="4"/>
  <c r="R15" i="4"/>
  <c r="BA132" i="5"/>
  <c r="C94" i="1"/>
  <c r="A156" i="4"/>
  <c r="G156" i="4"/>
  <c r="S155" i="4"/>
  <c r="S52" i="4"/>
  <c r="AJ52" i="4"/>
  <c r="D54" i="4"/>
  <c r="D157" i="4"/>
  <c r="C55" i="4"/>
  <c r="A53" i="4"/>
  <c r="G53" i="4"/>
  <c r="AC53" i="4"/>
  <c r="E53" i="4"/>
  <c r="F53" i="4"/>
  <c r="AH53" i="4"/>
  <c r="AG15" i="4"/>
  <c r="U15" i="4"/>
  <c r="AE15" i="4"/>
  <c r="AF15" i="4"/>
  <c r="N15" i="4"/>
  <c r="AB15" i="4"/>
  <c r="AD15" i="4"/>
  <c r="BB132" i="5"/>
  <c r="D158" i="4"/>
  <c r="D55" i="4"/>
  <c r="C56" i="4"/>
  <c r="A157" i="4"/>
  <c r="G157" i="4"/>
  <c r="C95" i="1"/>
  <c r="S156" i="4"/>
  <c r="A54" i="4"/>
  <c r="G54" i="4"/>
  <c r="E54" i="4"/>
  <c r="F54" i="4"/>
  <c r="AH54" i="4"/>
  <c r="AC54" i="4"/>
  <c r="S53" i="4"/>
  <c r="AJ53" i="4"/>
  <c r="AA15" i="4"/>
  <c r="H16" i="4"/>
  <c r="BC132" i="5"/>
  <c r="C57" i="4"/>
  <c r="D159" i="4"/>
  <c r="D56" i="4"/>
  <c r="C96" i="1"/>
  <c r="A158" i="4"/>
  <c r="G158" i="4"/>
  <c r="S157" i="4"/>
  <c r="AJ54" i="4"/>
  <c r="S54" i="4"/>
  <c r="AH55" i="4"/>
  <c r="E55" i="4"/>
  <c r="F55" i="4"/>
  <c r="A55" i="4"/>
  <c r="AC55" i="4"/>
  <c r="G55" i="4"/>
  <c r="T16" i="4"/>
  <c r="K16" i="4"/>
  <c r="J16" i="4"/>
  <c r="L16" i="4"/>
  <c r="I16" i="4"/>
  <c r="BD132" i="5"/>
  <c r="S55" i="4"/>
  <c r="AJ55" i="4"/>
  <c r="S158" i="4"/>
  <c r="A56" i="4"/>
  <c r="AC56" i="4"/>
  <c r="E56" i="4"/>
  <c r="F56" i="4"/>
  <c r="AH56" i="4"/>
  <c r="G56" i="4"/>
  <c r="A159" i="4"/>
  <c r="G159" i="4"/>
  <c r="C97" i="1"/>
  <c r="D160" i="4"/>
  <c r="C58" i="4"/>
  <c r="D57" i="4"/>
  <c r="M16" i="4"/>
  <c r="W16" i="4"/>
  <c r="Y16" i="4"/>
  <c r="O16" i="4"/>
  <c r="P16" i="4"/>
  <c r="V16" i="4"/>
  <c r="BE132" i="5"/>
  <c r="D58" i="4"/>
  <c r="D161" i="4"/>
  <c r="C59" i="4"/>
  <c r="A160" i="4"/>
  <c r="G160" i="4"/>
  <c r="S56" i="4"/>
  <c r="AJ56" i="4"/>
  <c r="AH57" i="4"/>
  <c r="E57" i="4"/>
  <c r="F57" i="4"/>
  <c r="A57" i="4"/>
  <c r="G57" i="4"/>
  <c r="AC57" i="4"/>
  <c r="C98" i="1"/>
  <c r="S159" i="4"/>
  <c r="Z16" i="4"/>
  <c r="Q16" i="4"/>
  <c r="X16" i="4"/>
  <c r="AI16" i="4"/>
  <c r="BF132" i="5"/>
  <c r="C60" i="4"/>
  <c r="D59" i="4"/>
  <c r="D162" i="4"/>
  <c r="A161" i="4"/>
  <c r="G161" i="4"/>
  <c r="S57" i="4"/>
  <c r="AJ57" i="4"/>
  <c r="C99" i="1"/>
  <c r="A58" i="4"/>
  <c r="AH58" i="4"/>
  <c r="E58" i="4"/>
  <c r="F58" i="4"/>
  <c r="G58" i="4"/>
  <c r="AC58" i="4"/>
  <c r="S160" i="4"/>
  <c r="U16" i="4"/>
  <c r="R16" i="4"/>
  <c r="N16" i="4"/>
  <c r="AG16" i="4"/>
  <c r="BG132" i="5"/>
  <c r="A162" i="4"/>
  <c r="G162" i="4"/>
  <c r="C61" i="4"/>
  <c r="D60" i="4"/>
  <c r="D163" i="4"/>
  <c r="S161" i="4"/>
  <c r="AJ58" i="4"/>
  <c r="S58" i="4"/>
  <c r="A59" i="4"/>
  <c r="AH59" i="4"/>
  <c r="AC59" i="4"/>
  <c r="E59" i="4"/>
  <c r="F59" i="4"/>
  <c r="G59" i="4"/>
  <c r="C100" i="1"/>
  <c r="AB16" i="4"/>
  <c r="AA16" i="4"/>
  <c r="AE16" i="4"/>
  <c r="AF16" i="4"/>
  <c r="AD16" i="4"/>
  <c r="BH132" i="5"/>
  <c r="A60" i="4"/>
  <c r="E60" i="4"/>
  <c r="F60" i="4"/>
  <c r="AH60" i="4"/>
  <c r="AC60" i="4"/>
  <c r="G60" i="4"/>
  <c r="D164" i="4"/>
  <c r="C62" i="4"/>
  <c r="D61" i="4"/>
  <c r="A163" i="4"/>
  <c r="G163" i="4"/>
  <c r="S162" i="4"/>
  <c r="AJ59" i="4"/>
  <c r="S59" i="4"/>
  <c r="C101" i="1"/>
  <c r="H17" i="4"/>
  <c r="K17" i="4"/>
  <c r="BI132" i="5"/>
  <c r="S60" i="4"/>
  <c r="AJ60" i="4"/>
  <c r="E61" i="4"/>
  <c r="F61" i="4"/>
  <c r="A61" i="4"/>
  <c r="AH61" i="4"/>
  <c r="G61" i="4"/>
  <c r="AC61" i="4"/>
  <c r="C63" i="4"/>
  <c r="D62" i="4"/>
  <c r="D165" i="4"/>
  <c r="S163" i="4"/>
  <c r="A164" i="4"/>
  <c r="G164" i="4"/>
  <c r="C102" i="1"/>
  <c r="I17" i="4"/>
  <c r="T17" i="4"/>
  <c r="J17" i="4"/>
  <c r="L17" i="4"/>
  <c r="M17" i="4"/>
  <c r="V17" i="4"/>
  <c r="BJ132" i="5"/>
  <c r="S164" i="4"/>
  <c r="D166" i="4"/>
  <c r="C64" i="4"/>
  <c r="D63" i="4"/>
  <c r="A62" i="4"/>
  <c r="E62" i="4"/>
  <c r="F62" i="4"/>
  <c r="G62" i="4"/>
  <c r="AH62" i="4"/>
  <c r="AC62" i="4"/>
  <c r="A165" i="4"/>
  <c r="G165" i="4"/>
  <c r="C103" i="1"/>
  <c r="AJ61" i="4"/>
  <c r="S61" i="4"/>
  <c r="P17" i="4"/>
  <c r="O17" i="4"/>
  <c r="W17" i="4"/>
  <c r="Y17" i="4"/>
  <c r="AI17" i="4"/>
  <c r="X17" i="4"/>
  <c r="BK132" i="5"/>
  <c r="S165" i="4"/>
  <c r="A166" i="4"/>
  <c r="G166" i="4"/>
  <c r="AJ62" i="4"/>
  <c r="S62" i="4"/>
  <c r="C104" i="1"/>
  <c r="G63" i="4"/>
  <c r="A63" i="4"/>
  <c r="AH63" i="4"/>
  <c r="AC63" i="4"/>
  <c r="E63" i="4"/>
  <c r="F63" i="4"/>
  <c r="C65" i="4"/>
  <c r="D167" i="4"/>
  <c r="D64" i="4"/>
  <c r="Z17" i="4"/>
  <c r="Q17" i="4"/>
  <c r="R17" i="4"/>
  <c r="BL132" i="5"/>
  <c r="A64" i="4"/>
  <c r="AH64" i="4"/>
  <c r="E64" i="4"/>
  <c r="F64" i="4"/>
  <c r="AC64" i="4"/>
  <c r="G64" i="4"/>
  <c r="D65" i="4"/>
  <c r="C66" i="4"/>
  <c r="D168" i="4"/>
  <c r="G167" i="4"/>
  <c r="A167" i="4"/>
  <c r="S63" i="4"/>
  <c r="AJ63" i="4"/>
  <c r="S166" i="4"/>
  <c r="C105" i="1"/>
  <c r="AG17" i="4"/>
  <c r="U17" i="4"/>
  <c r="AE17" i="4"/>
  <c r="AF17" i="4"/>
  <c r="N17" i="4"/>
  <c r="AB17" i="4"/>
  <c r="AA17" i="4"/>
  <c r="AD17" i="4"/>
  <c r="BM132" i="5"/>
  <c r="S167" i="4"/>
  <c r="D66" i="4"/>
  <c r="D169" i="4"/>
  <c r="C67" i="4"/>
  <c r="A168" i="4"/>
  <c r="G168" i="4"/>
  <c r="C106" i="1"/>
  <c r="E65" i="4"/>
  <c r="F65" i="4"/>
  <c r="AH65" i="4"/>
  <c r="A65" i="4"/>
  <c r="AC65" i="4"/>
  <c r="G65" i="4"/>
  <c r="S64" i="4"/>
  <c r="AJ64" i="4"/>
  <c r="H18" i="4"/>
  <c r="BN132" i="5"/>
  <c r="S168" i="4"/>
  <c r="C107" i="1"/>
  <c r="S65" i="4"/>
  <c r="AJ65" i="4"/>
  <c r="E66" i="4"/>
  <c r="F66" i="4"/>
  <c r="G66" i="4"/>
  <c r="AH66" i="4"/>
  <c r="A66" i="4"/>
  <c r="AC66" i="4"/>
  <c r="C68" i="4"/>
  <c r="D67" i="4"/>
  <c r="D170" i="4"/>
  <c r="A169" i="4"/>
  <c r="G169" i="4"/>
  <c r="T18" i="4"/>
  <c r="I18" i="4"/>
  <c r="K18" i="4"/>
  <c r="J18" i="4"/>
  <c r="L18" i="4"/>
  <c r="BO132" i="5"/>
  <c r="S169" i="4"/>
  <c r="C69" i="4"/>
  <c r="D171" i="4"/>
  <c r="D68" i="4"/>
  <c r="C108" i="1"/>
  <c r="E67" i="4"/>
  <c r="F67" i="4"/>
  <c r="A67" i="4"/>
  <c r="AH67" i="4"/>
  <c r="AC67" i="4"/>
  <c r="G67" i="4"/>
  <c r="AJ66" i="4"/>
  <c r="S66" i="4"/>
  <c r="A170" i="4"/>
  <c r="G170" i="4"/>
  <c r="W18" i="4"/>
  <c r="Y18" i="4"/>
  <c r="M18" i="4"/>
  <c r="O18" i="4"/>
  <c r="V18" i="4"/>
  <c r="P18" i="4"/>
  <c r="BP132" i="5"/>
  <c r="C70" i="4"/>
  <c r="D172" i="4"/>
  <c r="D69" i="4"/>
  <c r="S170" i="4"/>
  <c r="A171" i="4"/>
  <c r="G171" i="4"/>
  <c r="C109" i="1"/>
  <c r="E68" i="4"/>
  <c r="F68" i="4"/>
  <c r="A68" i="4"/>
  <c r="G68" i="4"/>
  <c r="AH68" i="4"/>
  <c r="AC68" i="4"/>
  <c r="AJ67" i="4"/>
  <c r="S67" i="4"/>
  <c r="X18" i="4"/>
  <c r="Z18" i="4"/>
  <c r="Q18" i="4"/>
  <c r="AI18" i="4"/>
  <c r="BQ132" i="5"/>
  <c r="C110" i="1"/>
  <c r="S171" i="4"/>
  <c r="A172" i="4"/>
  <c r="G172" i="4"/>
  <c r="S68" i="4"/>
  <c r="AJ68" i="4"/>
  <c r="C71" i="4"/>
  <c r="D173" i="4"/>
  <c r="D70" i="4"/>
  <c r="G69" i="4"/>
  <c r="E69" i="4"/>
  <c r="F69" i="4"/>
  <c r="AH69" i="4"/>
  <c r="A69" i="4"/>
  <c r="AC69" i="4"/>
  <c r="N18" i="4"/>
  <c r="U18" i="4"/>
  <c r="R18" i="4"/>
  <c r="AG18" i="4"/>
  <c r="BR132" i="5"/>
  <c r="S69" i="4"/>
  <c r="AJ69" i="4"/>
  <c r="A70" i="4"/>
  <c r="E70" i="4"/>
  <c r="F70" i="4"/>
  <c r="AH70" i="4"/>
  <c r="AC70" i="4"/>
  <c r="G70" i="4"/>
  <c r="A173" i="4"/>
  <c r="G173" i="4"/>
  <c r="D71" i="4"/>
  <c r="C72" i="4"/>
  <c r="D174" i="4"/>
  <c r="S172" i="4"/>
  <c r="C111" i="1"/>
  <c r="AA18" i="4"/>
  <c r="AB18" i="4"/>
  <c r="AD18" i="4"/>
  <c r="AE18" i="4"/>
  <c r="AF18" i="4"/>
  <c r="BS132" i="5"/>
  <c r="C112" i="1"/>
  <c r="AJ70" i="4"/>
  <c r="S70" i="4"/>
  <c r="D72" i="4"/>
  <c r="AC72" i="4"/>
  <c r="D175" i="4"/>
  <c r="C73" i="4"/>
  <c r="G174" i="4"/>
  <c r="A174" i="4"/>
  <c r="A71" i="4"/>
  <c r="E71" i="4"/>
  <c r="F71" i="4"/>
  <c r="AH71" i="4"/>
  <c r="AC71" i="4"/>
  <c r="G71" i="4"/>
  <c r="S173" i="4"/>
  <c r="H19" i="4"/>
  <c r="BT132" i="5"/>
  <c r="S71" i="4"/>
  <c r="AJ71" i="4"/>
  <c r="C113" i="1"/>
  <c r="C74" i="4"/>
  <c r="D73" i="4"/>
  <c r="D176" i="4"/>
  <c r="S174" i="4"/>
  <c r="G175" i="4"/>
  <c r="A175" i="4"/>
  <c r="E72" i="4"/>
  <c r="F72" i="4"/>
  <c r="A72" i="4"/>
  <c r="AH72" i="4"/>
  <c r="G72" i="4"/>
  <c r="I19" i="4"/>
  <c r="J19" i="4"/>
  <c r="L19" i="4"/>
  <c r="T19" i="4"/>
  <c r="K19" i="4"/>
  <c r="BU132" i="5"/>
  <c r="C114" i="1"/>
  <c r="A176" i="4"/>
  <c r="G176" i="4"/>
  <c r="AJ72" i="4"/>
  <c r="S72" i="4"/>
  <c r="E73" i="4"/>
  <c r="F73" i="4"/>
  <c r="A73" i="4"/>
  <c r="AH73" i="4"/>
  <c r="G73" i="4"/>
  <c r="S175" i="4"/>
  <c r="D177" i="4"/>
  <c r="D74" i="4"/>
  <c r="C75" i="4"/>
  <c r="W19" i="4"/>
  <c r="Y19" i="4"/>
  <c r="M19" i="4"/>
  <c r="O19" i="4"/>
  <c r="P19" i="4"/>
  <c r="V19" i="4"/>
  <c r="BV132" i="5"/>
  <c r="C76" i="4"/>
  <c r="D75" i="4"/>
  <c r="D178" i="4"/>
  <c r="A177" i="4"/>
  <c r="G177" i="4"/>
  <c r="S73" i="4"/>
  <c r="AJ73" i="4"/>
  <c r="C115" i="1"/>
  <c r="AH74" i="4"/>
  <c r="A74" i="4"/>
  <c r="E74" i="4"/>
  <c r="F74" i="4"/>
  <c r="G74" i="4"/>
  <c r="S176" i="4"/>
  <c r="X19" i="4"/>
  <c r="Z19" i="4"/>
  <c r="Q19" i="4"/>
  <c r="AI19" i="4"/>
  <c r="BW132" i="5"/>
  <c r="C116" i="1"/>
  <c r="A178" i="4"/>
  <c r="G178" i="4"/>
  <c r="S177" i="4"/>
  <c r="AJ74" i="4"/>
  <c r="S74" i="4"/>
  <c r="A75" i="4"/>
  <c r="E75" i="4"/>
  <c r="F75" i="4"/>
  <c r="AH75" i="4"/>
  <c r="G75" i="4"/>
  <c r="D179" i="4"/>
  <c r="C77" i="4"/>
  <c r="D76" i="4"/>
  <c r="R19" i="4"/>
  <c r="U19" i="4"/>
  <c r="N19" i="4"/>
  <c r="AG19" i="4"/>
  <c r="BX132" i="5"/>
  <c r="A76" i="4"/>
  <c r="G76" i="4"/>
  <c r="E76" i="4"/>
  <c r="F76" i="4"/>
  <c r="AH76" i="4"/>
  <c r="S178" i="4"/>
  <c r="A179" i="4"/>
  <c r="G179" i="4"/>
  <c r="S75" i="4"/>
  <c r="AJ75" i="4"/>
  <c r="C78" i="4"/>
  <c r="D77" i="4"/>
  <c r="D180" i="4"/>
  <c r="C117" i="1"/>
  <c r="AE19" i="4"/>
  <c r="AF19" i="4"/>
  <c r="AB19" i="4"/>
  <c r="AA19" i="4"/>
  <c r="AD19" i="4"/>
  <c r="BY132" i="5"/>
  <c r="D78" i="4"/>
  <c r="C79" i="4"/>
  <c r="D181" i="4"/>
  <c r="AJ76" i="4"/>
  <c r="S76" i="4"/>
  <c r="G180" i="4"/>
  <c r="A180" i="4"/>
  <c r="E77" i="4"/>
  <c r="F77" i="4"/>
  <c r="A77" i="4"/>
  <c r="AH77" i="4"/>
  <c r="G77" i="4"/>
  <c r="C118" i="1"/>
  <c r="S179" i="4"/>
  <c r="H20" i="4"/>
  <c r="I20" i="4"/>
  <c r="BZ132" i="5"/>
  <c r="AJ77" i="4"/>
  <c r="S77" i="4"/>
  <c r="C119" i="1"/>
  <c r="S180" i="4"/>
  <c r="D79" i="4"/>
  <c r="C80" i="4"/>
  <c r="D182" i="4"/>
  <c r="A181" i="4"/>
  <c r="G181" i="4"/>
  <c r="E78" i="4"/>
  <c r="F78" i="4"/>
  <c r="AH78" i="4"/>
  <c r="A78" i="4"/>
  <c r="G78" i="4"/>
  <c r="K20" i="4"/>
  <c r="J20" i="4"/>
  <c r="L20" i="4"/>
  <c r="B20" i="4"/>
  <c r="T20" i="4"/>
  <c r="V20" i="4"/>
  <c r="CA132" i="5"/>
  <c r="C120" i="1"/>
  <c r="S181" i="4"/>
  <c r="C81" i="4"/>
  <c r="D183" i="4"/>
  <c r="D80" i="4"/>
  <c r="AH79" i="4"/>
  <c r="E79" i="4"/>
  <c r="F79" i="4"/>
  <c r="A79" i="4"/>
  <c r="G79" i="4"/>
  <c r="A182" i="4"/>
  <c r="G182" i="4"/>
  <c r="AJ78" i="4"/>
  <c r="S78" i="4"/>
  <c r="O20" i="4"/>
  <c r="M20" i="4"/>
  <c r="W20" i="4"/>
  <c r="Y20" i="4"/>
  <c r="AI20" i="4"/>
  <c r="P20" i="4"/>
  <c r="X20" i="4"/>
  <c r="Z20" i="4"/>
  <c r="Q20" i="4"/>
  <c r="CB132" i="5"/>
  <c r="C82" i="4"/>
  <c r="D81" i="4"/>
  <c r="D184" i="4"/>
  <c r="AJ79" i="4"/>
  <c r="S79" i="4"/>
  <c r="C121" i="1"/>
  <c r="S182" i="4"/>
  <c r="AH80" i="4"/>
  <c r="E80" i="4"/>
  <c r="F80" i="4"/>
  <c r="G80" i="4"/>
  <c r="A80" i="4"/>
  <c r="A183" i="4"/>
  <c r="G183" i="4"/>
  <c r="R20" i="4"/>
  <c r="U20" i="4"/>
  <c r="N20" i="4"/>
  <c r="AG20" i="4"/>
  <c r="CC132" i="5"/>
  <c r="S183" i="4"/>
  <c r="C122" i="1"/>
  <c r="A184" i="4"/>
  <c r="G184" i="4"/>
  <c r="A81" i="4"/>
  <c r="AH81" i="4"/>
  <c r="E81" i="4"/>
  <c r="F81" i="4"/>
  <c r="G81" i="4"/>
  <c r="AJ80" i="4"/>
  <c r="S80" i="4"/>
  <c r="D185" i="4"/>
  <c r="D82" i="4"/>
  <c r="C83" i="4"/>
  <c r="AE20" i="4"/>
  <c r="AF20" i="4"/>
  <c r="AD20" i="4"/>
  <c r="AB20" i="4"/>
  <c r="AA20" i="4"/>
  <c r="CD132" i="5"/>
  <c r="AJ81" i="4"/>
  <c r="S81" i="4"/>
  <c r="AH82" i="4"/>
  <c r="E82" i="4"/>
  <c r="F82" i="4"/>
  <c r="A82" i="4"/>
  <c r="G82" i="4"/>
  <c r="C84" i="4"/>
  <c r="D186" i="4"/>
  <c r="D83" i="4"/>
  <c r="A185" i="4"/>
  <c r="G185" i="4"/>
  <c r="S184" i="4"/>
  <c r="C123" i="1"/>
  <c r="H21" i="4"/>
  <c r="J21" i="4"/>
  <c r="L21" i="4"/>
  <c r="T21" i="4"/>
  <c r="CE132" i="5"/>
  <c r="S82" i="4"/>
  <c r="AJ82" i="4"/>
  <c r="S185" i="4"/>
  <c r="C124" i="1"/>
  <c r="A186" i="4"/>
  <c r="G186" i="4"/>
  <c r="D84" i="4"/>
  <c r="C85" i="4"/>
  <c r="D187" i="4"/>
  <c r="E83" i="4"/>
  <c r="F83" i="4"/>
  <c r="A83" i="4"/>
  <c r="G83" i="4"/>
  <c r="AH83" i="4"/>
  <c r="B21" i="4"/>
  <c r="K21" i="4"/>
  <c r="V21" i="4"/>
  <c r="I21" i="4"/>
  <c r="W21" i="4"/>
  <c r="Y21" i="4"/>
  <c r="M21" i="4"/>
  <c r="CF132" i="5"/>
  <c r="A187" i="4"/>
  <c r="G187" i="4"/>
  <c r="D188" i="4"/>
  <c r="C86" i="4"/>
  <c r="D85" i="4"/>
  <c r="AH84" i="4"/>
  <c r="A84" i="4"/>
  <c r="E84" i="4"/>
  <c r="F84" i="4"/>
  <c r="G84" i="4"/>
  <c r="C125" i="1"/>
  <c r="S83" i="4"/>
  <c r="AJ83" i="4"/>
  <c r="S186" i="4"/>
  <c r="O21" i="4"/>
  <c r="P21" i="4"/>
  <c r="AI21" i="4"/>
  <c r="Z21" i="4"/>
  <c r="Q21" i="4"/>
  <c r="X21" i="4"/>
  <c r="CG132" i="5"/>
  <c r="S187" i="4"/>
  <c r="C126" i="1"/>
  <c r="A188" i="4"/>
  <c r="G188" i="4"/>
  <c r="AJ84" i="4"/>
  <c r="S84" i="4"/>
  <c r="E85" i="4"/>
  <c r="F85" i="4"/>
  <c r="AH85" i="4"/>
  <c r="A85" i="4"/>
  <c r="G85" i="4"/>
  <c r="D189" i="4"/>
  <c r="D86" i="4"/>
  <c r="C87" i="4"/>
  <c r="U21" i="4"/>
  <c r="N21" i="4"/>
  <c r="R21" i="4"/>
  <c r="AG21" i="4"/>
  <c r="CH132" i="5"/>
  <c r="A86" i="4"/>
  <c r="E86" i="4"/>
  <c r="F86" i="4"/>
  <c r="AH86" i="4"/>
  <c r="G86" i="4"/>
  <c r="D190" i="4"/>
  <c r="C88" i="4"/>
  <c r="D87" i="4"/>
  <c r="AJ85" i="4"/>
  <c r="S85" i="4"/>
  <c r="C127" i="1"/>
  <c r="S188" i="4"/>
  <c r="A189" i="4"/>
  <c r="G189" i="4"/>
  <c r="AB21" i="4"/>
  <c r="AA21" i="4"/>
  <c r="AD21" i="4"/>
  <c r="AE21" i="4"/>
  <c r="AF21" i="4"/>
  <c r="CI132" i="5"/>
  <c r="S189" i="4"/>
  <c r="S86" i="4"/>
  <c r="AJ86" i="4"/>
  <c r="A190" i="4"/>
  <c r="G190" i="4"/>
  <c r="G87" i="4"/>
  <c r="A87" i="4"/>
  <c r="E87" i="4"/>
  <c r="F87" i="4"/>
  <c r="AH87" i="4"/>
  <c r="C128" i="1"/>
  <c r="C89" i="4"/>
  <c r="D88" i="4"/>
  <c r="D191" i="4"/>
  <c r="H22" i="4"/>
  <c r="J22" i="4"/>
  <c r="L22" i="4"/>
  <c r="CJ132" i="5"/>
  <c r="AJ87" i="4"/>
  <c r="S87" i="4"/>
  <c r="S190" i="4"/>
  <c r="AH88" i="4"/>
  <c r="G88" i="4"/>
  <c r="A88" i="4"/>
  <c r="E88" i="4"/>
  <c r="F88" i="4"/>
  <c r="C90" i="4"/>
  <c r="D192" i="4"/>
  <c r="D89" i="4"/>
  <c r="C129" i="1"/>
  <c r="A191" i="4"/>
  <c r="G191" i="4"/>
  <c r="I22" i="4"/>
  <c r="K22" i="4"/>
  <c r="M22" i="4"/>
  <c r="T22" i="4"/>
  <c r="B22" i="4"/>
  <c r="W22" i="4"/>
  <c r="Y22" i="4"/>
  <c r="AI22" i="4"/>
  <c r="CK132" i="5"/>
  <c r="A192" i="4"/>
  <c r="G192" i="4"/>
  <c r="E89" i="4"/>
  <c r="F89" i="4"/>
  <c r="A89" i="4"/>
  <c r="AH89" i="4"/>
  <c r="G89" i="4"/>
  <c r="C130" i="1"/>
  <c r="C91" i="4"/>
  <c r="D193" i="4"/>
  <c r="D90" i="4"/>
  <c r="S88" i="4"/>
  <c r="AJ88" i="4"/>
  <c r="S191" i="4"/>
  <c r="O22" i="4"/>
  <c r="V22" i="4"/>
  <c r="Z22" i="4"/>
  <c r="P22" i="4"/>
  <c r="CL132" i="5"/>
  <c r="C131" i="1"/>
  <c r="S192" i="4"/>
  <c r="G90" i="4"/>
  <c r="E90" i="4"/>
  <c r="F90" i="4"/>
  <c r="AH90" i="4"/>
  <c r="A90" i="4"/>
  <c r="A193" i="4"/>
  <c r="G193" i="4"/>
  <c r="C92" i="4"/>
  <c r="D194" i="4"/>
  <c r="D91" i="4"/>
  <c r="AJ89" i="4"/>
  <c r="S89" i="4"/>
  <c r="Q22" i="4"/>
  <c r="U22" i="4"/>
  <c r="X22" i="4"/>
  <c r="CM132" i="5"/>
  <c r="C93" i="4"/>
  <c r="D195" i="4"/>
  <c r="D92" i="4"/>
  <c r="C132" i="1"/>
  <c r="AJ90" i="4"/>
  <c r="S90" i="4"/>
  <c r="AH91" i="4"/>
  <c r="E91" i="4"/>
  <c r="F91" i="4"/>
  <c r="A91" i="4"/>
  <c r="G91" i="4"/>
  <c r="S193" i="4"/>
  <c r="A194" i="4"/>
  <c r="G194" i="4"/>
  <c r="AG22" i="4"/>
  <c r="N22" i="4"/>
  <c r="R22" i="4"/>
  <c r="AA22" i="4"/>
  <c r="AD22" i="4"/>
  <c r="CN132" i="5"/>
  <c r="C133" i="1"/>
  <c r="S194" i="4"/>
  <c r="A92" i="4"/>
  <c r="G92" i="4"/>
  <c r="AH92" i="4"/>
  <c r="E92" i="4"/>
  <c r="F92" i="4"/>
  <c r="G195" i="4"/>
  <c r="A195" i="4"/>
  <c r="AJ91" i="4"/>
  <c r="S91" i="4"/>
  <c r="C94" i="4"/>
  <c r="D196" i="4"/>
  <c r="D93" i="4"/>
  <c r="AB22" i="4"/>
  <c r="AE22" i="4"/>
  <c r="AF22" i="4"/>
  <c r="H23" i="4"/>
  <c r="CO132" i="5"/>
  <c r="A196" i="4"/>
  <c r="G196" i="4"/>
  <c r="D197" i="4"/>
  <c r="D94" i="4"/>
  <c r="C95" i="4"/>
  <c r="C134" i="1"/>
  <c r="AH93" i="4"/>
  <c r="A93" i="4"/>
  <c r="E93" i="4"/>
  <c r="F93" i="4"/>
  <c r="G93" i="4"/>
  <c r="S195" i="4"/>
  <c r="S92" i="4"/>
  <c r="AJ92" i="4"/>
  <c r="T23" i="4"/>
  <c r="K23" i="4"/>
  <c r="B23" i="4"/>
  <c r="J23" i="4"/>
  <c r="L23" i="4"/>
  <c r="I23" i="4"/>
  <c r="CP132" i="5"/>
  <c r="S196" i="4"/>
  <c r="C135" i="1"/>
  <c r="C96" i="4"/>
  <c r="D95" i="4"/>
  <c r="D198" i="4"/>
  <c r="G94" i="4"/>
  <c r="AH94" i="4"/>
  <c r="A94" i="4"/>
  <c r="E94" i="4"/>
  <c r="F94" i="4"/>
  <c r="A197" i="4"/>
  <c r="G197" i="4"/>
  <c r="S93" i="4"/>
  <c r="AJ93" i="4"/>
  <c r="V23" i="4"/>
  <c r="P23" i="4"/>
  <c r="O23" i="4"/>
  <c r="W23" i="4"/>
  <c r="Y23" i="4"/>
  <c r="M23" i="4"/>
  <c r="CQ132" i="5"/>
  <c r="E95" i="4"/>
  <c r="F95" i="4"/>
  <c r="AH95" i="4"/>
  <c r="G95" i="4"/>
  <c r="A95" i="4"/>
  <c r="C97" i="4"/>
  <c r="D96" i="4"/>
  <c r="D199" i="4"/>
  <c r="S197" i="4"/>
  <c r="A198" i="4"/>
  <c r="G198" i="4"/>
  <c r="AJ94" i="4"/>
  <c r="S94" i="4"/>
  <c r="C136" i="1"/>
  <c r="AI23" i="4"/>
  <c r="X23" i="4"/>
  <c r="Z23" i="4"/>
  <c r="Q23" i="4"/>
  <c r="CR132" i="5"/>
  <c r="E96" i="4"/>
  <c r="F96" i="4"/>
  <c r="A96" i="4"/>
  <c r="AH96" i="4"/>
  <c r="G96" i="4"/>
  <c r="AJ95" i="4"/>
  <c r="S95" i="4"/>
  <c r="S198" i="4"/>
  <c r="D97" i="4"/>
  <c r="D200" i="4"/>
  <c r="C98" i="4"/>
  <c r="C137" i="1"/>
  <c r="A199" i="4"/>
  <c r="G199" i="4"/>
  <c r="U23" i="4"/>
  <c r="R23" i="4"/>
  <c r="N23" i="4"/>
  <c r="AG23" i="4"/>
  <c r="CS132" i="5"/>
  <c r="S96" i="4"/>
  <c r="AJ96" i="4"/>
  <c r="AH97" i="4"/>
  <c r="E97" i="4"/>
  <c r="F97" i="4"/>
  <c r="A97" i="4"/>
  <c r="G97" i="4"/>
  <c r="S199" i="4"/>
  <c r="C138" i="1"/>
  <c r="D201" i="4"/>
  <c r="C99" i="4"/>
  <c r="D98" i="4"/>
  <c r="A200" i="4"/>
  <c r="G200" i="4"/>
  <c r="AB23" i="4"/>
  <c r="AA23" i="4"/>
  <c r="AD23" i="4"/>
  <c r="AE23" i="4"/>
  <c r="AF23" i="4"/>
  <c r="CT132" i="5"/>
  <c r="S200" i="4"/>
  <c r="E98" i="4"/>
  <c r="F98" i="4"/>
  <c r="G98" i="4"/>
  <c r="AH98" i="4"/>
  <c r="A98" i="4"/>
  <c r="C100" i="4"/>
  <c r="D202" i="4"/>
  <c r="D99" i="4"/>
  <c r="A201" i="4"/>
  <c r="G201" i="4"/>
  <c r="C139" i="1"/>
  <c r="AJ97" i="4"/>
  <c r="S97" i="4"/>
  <c r="H24" i="4"/>
  <c r="T24" i="4"/>
  <c r="CU132" i="5"/>
  <c r="E99" i="4"/>
  <c r="F99" i="4"/>
  <c r="AH99" i="4"/>
  <c r="G99" i="4"/>
  <c r="AD99" i="4"/>
  <c r="A99" i="4"/>
  <c r="AB99" i="4"/>
  <c r="O99" i="4"/>
  <c r="P99" i="4"/>
  <c r="S98" i="4"/>
  <c r="AJ98" i="4"/>
  <c r="A202" i="4"/>
  <c r="G202" i="4"/>
  <c r="D203" i="4"/>
  <c r="C101" i="4"/>
  <c r="D100" i="4"/>
  <c r="S201" i="4"/>
  <c r="C140" i="1"/>
  <c r="B24" i="4"/>
  <c r="K24" i="4"/>
  <c r="V24" i="4"/>
  <c r="I24" i="4"/>
  <c r="J24" i="4"/>
  <c r="L24" i="4"/>
  <c r="W24" i="4"/>
  <c r="Y24" i="4"/>
  <c r="CV132" i="5"/>
  <c r="AH100" i="4"/>
  <c r="A100" i="4"/>
  <c r="E100" i="4"/>
  <c r="F100" i="4"/>
  <c r="G100" i="4"/>
  <c r="AD100" i="4"/>
  <c r="O100" i="4"/>
  <c r="P100" i="4"/>
  <c r="AB100" i="4"/>
  <c r="AJ99" i="4"/>
  <c r="S99" i="4"/>
  <c r="A203" i="4"/>
  <c r="G203" i="4"/>
  <c r="S202" i="4"/>
  <c r="C141" i="1"/>
  <c r="C102" i="4"/>
  <c r="D204" i="4"/>
  <c r="D101" i="4"/>
  <c r="P24" i="4"/>
  <c r="O24" i="4"/>
  <c r="M24" i="4"/>
  <c r="Z24" i="4"/>
  <c r="X24" i="4"/>
  <c r="AI24" i="4"/>
  <c r="CW132" i="5"/>
  <c r="C103" i="4"/>
  <c r="D205" i="4"/>
  <c r="D102" i="4"/>
  <c r="AJ100" i="4"/>
  <c r="S100" i="4"/>
  <c r="A204" i="4"/>
  <c r="G204" i="4"/>
  <c r="A101" i="4"/>
  <c r="G101" i="4"/>
  <c r="AH101" i="4"/>
  <c r="O101" i="4"/>
  <c r="P101" i="4"/>
  <c r="AD101" i="4"/>
  <c r="AB101" i="4"/>
  <c r="E101" i="4"/>
  <c r="F101" i="4"/>
  <c r="C142" i="1"/>
  <c r="S203" i="4"/>
  <c r="Q24" i="4"/>
  <c r="R24" i="4"/>
  <c r="CX132" i="5"/>
  <c r="C143" i="1"/>
  <c r="A205" i="4"/>
  <c r="G205" i="4"/>
  <c r="S101" i="4"/>
  <c r="AJ101" i="4"/>
  <c r="E102" i="4"/>
  <c r="F102" i="4"/>
  <c r="G102" i="4"/>
  <c r="A102" i="4"/>
  <c r="AH102" i="4"/>
  <c r="O102" i="4"/>
  <c r="P102" i="4"/>
  <c r="AB102" i="4"/>
  <c r="AD102" i="4"/>
  <c r="D103" i="4"/>
  <c r="C104" i="4"/>
  <c r="D206" i="4"/>
  <c r="S204" i="4"/>
  <c r="AG24" i="4"/>
  <c r="U24" i="4"/>
  <c r="AE24" i="4"/>
  <c r="AF24" i="4"/>
  <c r="N24" i="4"/>
  <c r="AD24" i="4"/>
  <c r="AB24" i="4"/>
  <c r="AA24" i="4"/>
  <c r="CY132" i="5"/>
  <c r="S205" i="4"/>
  <c r="D104" i="4"/>
  <c r="D207" i="4"/>
  <c r="C105" i="4"/>
  <c r="S102" i="4"/>
  <c r="AJ102" i="4"/>
  <c r="A206" i="4"/>
  <c r="G206" i="4"/>
  <c r="AH103" i="4"/>
  <c r="G103" i="4"/>
  <c r="A103" i="4"/>
  <c r="E103" i="4"/>
  <c r="F103" i="4"/>
  <c r="O103" i="4"/>
  <c r="AD103" i="4"/>
  <c r="P103" i="4"/>
  <c r="AB103" i="4"/>
  <c r="C144" i="1"/>
  <c r="H25" i="4"/>
  <c r="J25" i="4"/>
  <c r="L25" i="4"/>
  <c r="CZ132" i="5"/>
  <c r="D105" i="4"/>
  <c r="D208" i="4"/>
  <c r="C106" i="4"/>
  <c r="A207" i="4"/>
  <c r="G207" i="4"/>
  <c r="S206" i="4"/>
  <c r="A104" i="4"/>
  <c r="AH104" i="4"/>
  <c r="E104" i="4"/>
  <c r="F104" i="4"/>
  <c r="G104" i="4"/>
  <c r="O104" i="4"/>
  <c r="AD104" i="4"/>
  <c r="P104" i="4"/>
  <c r="AB104" i="4"/>
  <c r="C145" i="1"/>
  <c r="AJ103" i="4"/>
  <c r="S103" i="4"/>
  <c r="B25" i="4"/>
  <c r="T25" i="4"/>
  <c r="K25" i="4"/>
  <c r="M25" i="4"/>
  <c r="I25" i="4"/>
  <c r="W25" i="4"/>
  <c r="Y25" i="4"/>
  <c r="AI25" i="4"/>
  <c r="DA132" i="5"/>
  <c r="S104" i="4"/>
  <c r="AJ104" i="4"/>
  <c r="C146" i="1"/>
  <c r="C107" i="4"/>
  <c r="D106" i="4"/>
  <c r="D209" i="4"/>
  <c r="S207" i="4"/>
  <c r="G208" i="4"/>
  <c r="A208" i="4"/>
  <c r="AH105" i="4"/>
  <c r="E105" i="4"/>
  <c r="F105" i="4"/>
  <c r="A105" i="4"/>
  <c r="O105" i="4"/>
  <c r="P105" i="4"/>
  <c r="AB105" i="4"/>
  <c r="AD105" i="4"/>
  <c r="G105" i="4"/>
  <c r="O25" i="4"/>
  <c r="V25" i="4"/>
  <c r="X25" i="4"/>
  <c r="P25" i="4"/>
  <c r="DB132" i="5"/>
  <c r="S208" i="4"/>
  <c r="A209" i="4"/>
  <c r="G209" i="4"/>
  <c r="C147" i="1"/>
  <c r="C108" i="4"/>
  <c r="D107" i="4"/>
  <c r="D210" i="4"/>
  <c r="E106" i="4"/>
  <c r="F106" i="4"/>
  <c r="G106" i="4"/>
  <c r="AH106" i="4"/>
  <c r="AD106" i="4"/>
  <c r="O106" i="4"/>
  <c r="A106" i="4"/>
  <c r="P106" i="4"/>
  <c r="AB106" i="4"/>
  <c r="AJ105" i="4"/>
  <c r="S105" i="4"/>
  <c r="Z25" i="4"/>
  <c r="Q25" i="4"/>
  <c r="R25" i="4"/>
  <c r="DC132" i="5"/>
  <c r="D211" i="4"/>
  <c r="C109" i="4"/>
  <c r="D108" i="4"/>
  <c r="S209" i="4"/>
  <c r="E107" i="4"/>
  <c r="F107" i="4"/>
  <c r="A107" i="4"/>
  <c r="AH107" i="4"/>
  <c r="P107" i="4"/>
  <c r="G107" i="4"/>
  <c r="O107" i="4"/>
  <c r="AD107" i="4"/>
  <c r="AB107" i="4"/>
  <c r="C148" i="1"/>
  <c r="S106" i="4"/>
  <c r="AJ106" i="4"/>
  <c r="A210" i="4"/>
  <c r="G210" i="4"/>
  <c r="AG25" i="4"/>
  <c r="U25" i="4"/>
  <c r="AE25" i="4"/>
  <c r="AF25" i="4"/>
  <c r="N25" i="4"/>
  <c r="AB25" i="4"/>
  <c r="AD25" i="4"/>
  <c r="AA25" i="4"/>
  <c r="H26" i="4"/>
  <c r="DD132" i="5"/>
  <c r="AJ107" i="4"/>
  <c r="S107" i="4"/>
  <c r="C149" i="1"/>
  <c r="A108" i="4"/>
  <c r="AH108" i="4"/>
  <c r="G108" i="4"/>
  <c r="E108" i="4"/>
  <c r="F108" i="4"/>
  <c r="AD108" i="4"/>
  <c r="P108" i="4"/>
  <c r="AB108" i="4"/>
  <c r="O108" i="4"/>
  <c r="C110" i="4"/>
  <c r="D109" i="4"/>
  <c r="D212" i="4"/>
  <c r="S210" i="4"/>
  <c r="G211" i="4"/>
  <c r="A211" i="4"/>
  <c r="T26" i="4"/>
  <c r="B26" i="4"/>
  <c r="J26" i="4"/>
  <c r="L26" i="4"/>
  <c r="K26" i="4"/>
  <c r="I26" i="4"/>
  <c r="DE132" i="5"/>
  <c r="A212" i="4"/>
  <c r="AB212" i="4"/>
  <c r="G212" i="4"/>
  <c r="E109" i="4"/>
  <c r="F109" i="4"/>
  <c r="G109" i="4"/>
  <c r="AH109" i="4"/>
  <c r="A109" i="4"/>
  <c r="AB109" i="4"/>
  <c r="P109" i="4"/>
  <c r="O109" i="4"/>
  <c r="AD109" i="4"/>
  <c r="AJ108" i="4"/>
  <c r="S108" i="4"/>
  <c r="D110" i="4"/>
  <c r="C111" i="4"/>
  <c r="D213" i="4"/>
  <c r="C150" i="1"/>
  <c r="S211" i="4"/>
  <c r="M26" i="4"/>
  <c r="W26" i="4"/>
  <c r="Y26" i="4"/>
  <c r="AI26" i="4"/>
  <c r="P26" i="4"/>
  <c r="V26" i="4"/>
  <c r="O26" i="4"/>
  <c r="DF132" i="5"/>
  <c r="S109" i="4"/>
  <c r="AJ109" i="4"/>
  <c r="C151" i="1"/>
  <c r="S212" i="4"/>
  <c r="A110" i="4"/>
  <c r="E110" i="4"/>
  <c r="F110" i="4"/>
  <c r="AH110" i="4"/>
  <c r="G110" i="4"/>
  <c r="O110" i="4"/>
  <c r="P110" i="4"/>
  <c r="AD110" i="4"/>
  <c r="AB110" i="4"/>
  <c r="A213" i="4"/>
  <c r="AB213" i="4"/>
  <c r="G213" i="4"/>
  <c r="D214" i="4"/>
  <c r="D111" i="4"/>
  <c r="C112" i="4"/>
  <c r="X26" i="4"/>
  <c r="Z26" i="4"/>
  <c r="Q26" i="4"/>
  <c r="DG132" i="5"/>
  <c r="C152" i="1"/>
  <c r="S213" i="4"/>
  <c r="A111" i="4"/>
  <c r="E111" i="4"/>
  <c r="F111" i="4"/>
  <c r="G111" i="4"/>
  <c r="AH111" i="4"/>
  <c r="AD111" i="4"/>
  <c r="O111" i="4"/>
  <c r="P111" i="4"/>
  <c r="AB111" i="4"/>
  <c r="AB214" i="4"/>
  <c r="G214" i="4"/>
  <c r="A214" i="4"/>
  <c r="S110" i="4"/>
  <c r="AJ110" i="4"/>
  <c r="C113" i="4"/>
  <c r="D215" i="4"/>
  <c r="D112" i="4"/>
  <c r="U26" i="4"/>
  <c r="N26" i="4"/>
  <c r="R26" i="4"/>
  <c r="AG26" i="4"/>
  <c r="DH132" i="5"/>
  <c r="AB215" i="4"/>
  <c r="A215" i="4"/>
  <c r="G215" i="4"/>
  <c r="C114" i="4"/>
  <c r="D113" i="4"/>
  <c r="D216" i="4"/>
  <c r="C153" i="1"/>
  <c r="AH112" i="4"/>
  <c r="A112" i="4"/>
  <c r="G112" i="4"/>
  <c r="E112" i="4"/>
  <c r="F112" i="4"/>
  <c r="O112" i="4"/>
  <c r="P112" i="4"/>
  <c r="AD112" i="4"/>
  <c r="AB112" i="4"/>
  <c r="S214" i="4"/>
  <c r="AJ111" i="4"/>
  <c r="S111" i="4"/>
  <c r="AA26" i="4"/>
  <c r="AB26" i="4"/>
  <c r="AD26" i="4"/>
  <c r="AE26" i="4"/>
  <c r="AF26" i="4"/>
  <c r="DI132" i="5"/>
  <c r="A216" i="4"/>
  <c r="G216" i="4"/>
  <c r="AB216" i="4"/>
  <c r="E113" i="4"/>
  <c r="F113" i="4"/>
  <c r="AH113" i="4"/>
  <c r="A113" i="4"/>
  <c r="G113" i="4"/>
  <c r="AB113" i="4"/>
  <c r="O113" i="4"/>
  <c r="AD113" i="4"/>
  <c r="P113" i="4"/>
  <c r="S215" i="4"/>
  <c r="C115" i="4"/>
  <c r="D217" i="4"/>
  <c r="D114" i="4"/>
  <c r="C154" i="1"/>
  <c r="S112" i="4"/>
  <c r="AJ112" i="4"/>
  <c r="H27" i="4"/>
  <c r="T27" i="4"/>
  <c r="DJ132" i="5"/>
  <c r="A217" i="4"/>
  <c r="G217" i="4"/>
  <c r="AB217" i="4"/>
  <c r="S113" i="4"/>
  <c r="AJ113" i="4"/>
  <c r="C116" i="4"/>
  <c r="D115" i="4"/>
  <c r="D218" i="4"/>
  <c r="E114" i="4"/>
  <c r="F114" i="4"/>
  <c r="AH114" i="4"/>
  <c r="A114" i="4"/>
  <c r="AD114" i="4"/>
  <c r="AB114" i="4"/>
  <c r="P114" i="4"/>
  <c r="O114" i="4"/>
  <c r="G114" i="4"/>
  <c r="C155" i="1"/>
  <c r="S216" i="4"/>
  <c r="J27" i="4"/>
  <c r="L27" i="4"/>
  <c r="W27" i="4"/>
  <c r="Y27" i="4"/>
  <c r="K27" i="4"/>
  <c r="I27" i="4"/>
  <c r="B27" i="4"/>
  <c r="DK132" i="5"/>
  <c r="AJ114" i="4"/>
  <c r="S114" i="4"/>
  <c r="C156" i="1"/>
  <c r="S217" i="4"/>
  <c r="E115" i="4"/>
  <c r="F115" i="4"/>
  <c r="AH115" i="4"/>
  <c r="G115" i="4"/>
  <c r="A115" i="4"/>
  <c r="AD115" i="4"/>
  <c r="O115" i="4"/>
  <c r="AB115" i="4"/>
  <c r="P115" i="4"/>
  <c r="AB218" i="4"/>
  <c r="A218" i="4"/>
  <c r="G218" i="4"/>
  <c r="C117" i="4"/>
  <c r="D219" i="4"/>
  <c r="D116" i="4"/>
  <c r="P27" i="4"/>
  <c r="M27" i="4"/>
  <c r="O27" i="4"/>
  <c r="AI27" i="4"/>
  <c r="V27" i="4"/>
  <c r="X27" i="4"/>
  <c r="N134" i="5"/>
  <c r="AH116" i="4"/>
  <c r="A116" i="4"/>
  <c r="E116" i="4"/>
  <c r="F116" i="4"/>
  <c r="AD116" i="4"/>
  <c r="O116" i="4"/>
  <c r="AB116" i="4"/>
  <c r="P116" i="4"/>
  <c r="G116" i="4"/>
  <c r="AJ115" i="4"/>
  <c r="S115" i="4"/>
  <c r="AB219" i="4"/>
  <c r="G219" i="4"/>
  <c r="A219" i="4"/>
  <c r="C118" i="4"/>
  <c r="D220" i="4"/>
  <c r="D117" i="4"/>
  <c r="S218" i="4"/>
  <c r="C157" i="1"/>
  <c r="G131" i="5"/>
  <c r="Z27" i="4"/>
  <c r="Q27" i="4"/>
  <c r="U27" i="4"/>
  <c r="E117" i="4"/>
  <c r="F117" i="4"/>
  <c r="G117" i="4"/>
  <c r="A117" i="4"/>
  <c r="AH117" i="4"/>
  <c r="D33" i="1"/>
  <c r="AD117" i="4"/>
  <c r="P117" i="4"/>
  <c r="O117" i="4"/>
  <c r="AB117" i="4"/>
  <c r="D221" i="4"/>
  <c r="C119" i="4"/>
  <c r="D118" i="4"/>
  <c r="AB220" i="4"/>
  <c r="A220" i="4"/>
  <c r="G220" i="4"/>
  <c r="S219" i="4"/>
  <c r="C158" i="1"/>
  <c r="AJ116" i="4"/>
  <c r="S116" i="4"/>
  <c r="AG27" i="4"/>
  <c r="N27" i="4"/>
  <c r="R27" i="4"/>
  <c r="AD27" i="4"/>
  <c r="AA27" i="4"/>
  <c r="AE27" i="4"/>
  <c r="AF27" i="4"/>
  <c r="D222" i="4"/>
  <c r="D119" i="4"/>
  <c r="AJ117" i="4"/>
  <c r="S117" i="4"/>
  <c r="E118" i="4"/>
  <c r="F118" i="4"/>
  <c r="G118" i="4"/>
  <c r="A118" i="4"/>
  <c r="AD118" i="4"/>
  <c r="AB118" i="4"/>
  <c r="P118" i="4"/>
  <c r="O118" i="4"/>
  <c r="C159" i="1"/>
  <c r="S220" i="4"/>
  <c r="AB221" i="4"/>
  <c r="A221" i="4"/>
  <c r="G221" i="4"/>
  <c r="AB27" i="4"/>
  <c r="H28" i="4"/>
  <c r="K28" i="4"/>
  <c r="D120" i="4"/>
  <c r="A120" i="4"/>
  <c r="A119" i="4"/>
  <c r="O119" i="4"/>
  <c r="P119" i="4"/>
  <c r="AB119" i="4"/>
  <c r="AD119" i="4"/>
  <c r="E119" i="4"/>
  <c r="F119" i="4"/>
  <c r="G119" i="4"/>
  <c r="S221" i="4"/>
  <c r="C160" i="1"/>
  <c r="A222" i="4"/>
  <c r="AB222" i="4"/>
  <c r="G222" i="4"/>
  <c r="AJ118" i="4"/>
  <c r="S118" i="4"/>
  <c r="B28" i="4"/>
  <c r="T28" i="4"/>
  <c r="J28" i="4"/>
  <c r="L28" i="4"/>
  <c r="M28" i="4"/>
  <c r="I28" i="4"/>
  <c r="V28" i="4"/>
  <c r="S222" i="4"/>
  <c r="C161" i="1"/>
  <c r="AJ119" i="4"/>
  <c r="S119" i="4"/>
  <c r="P28" i="4"/>
  <c r="O28" i="4"/>
  <c r="W28" i="4"/>
  <c r="Y28" i="4"/>
  <c r="AI28" i="4"/>
  <c r="X28" i="4"/>
  <c r="C162" i="1"/>
  <c r="Z28" i="4"/>
  <c r="Q28" i="4"/>
  <c r="N28" i="4"/>
  <c r="C163" i="1"/>
  <c r="AG28" i="4"/>
  <c r="U28" i="4"/>
  <c r="R28" i="4"/>
  <c r="AB28" i="4"/>
  <c r="AD28" i="4"/>
  <c r="C164" i="1"/>
  <c r="AE28" i="4"/>
  <c r="AF28" i="4"/>
  <c r="AA28" i="4"/>
  <c r="H29" i="4"/>
  <c r="C165" i="1"/>
  <c r="B29" i="4"/>
  <c r="I29" i="4"/>
  <c r="J29" i="4"/>
  <c r="L29" i="4"/>
  <c r="T29" i="4"/>
  <c r="K29" i="4"/>
  <c r="C166" i="1"/>
  <c r="W29" i="4"/>
  <c r="Y29" i="4"/>
  <c r="AI29" i="4"/>
  <c r="M29" i="4"/>
  <c r="V29" i="4"/>
  <c r="P29" i="4"/>
  <c r="O29" i="4"/>
  <c r="C167" i="1"/>
  <c r="Z29" i="4"/>
  <c r="Q29" i="4"/>
  <c r="X29" i="4"/>
  <c r="C168" i="1"/>
  <c r="U29" i="4"/>
  <c r="N29" i="4"/>
  <c r="R29" i="4"/>
  <c r="AG29" i="4"/>
  <c r="C169" i="1"/>
  <c r="AD29" i="4"/>
  <c r="AA29" i="4"/>
  <c r="AB29" i="4"/>
  <c r="AE29" i="4"/>
  <c r="AF29" i="4"/>
  <c r="C170" i="1"/>
  <c r="H30" i="4"/>
  <c r="C171" i="1"/>
  <c r="I30" i="4"/>
  <c r="T30" i="4"/>
  <c r="B30" i="4"/>
  <c r="J30" i="4"/>
  <c r="L30" i="4"/>
  <c r="K30" i="4"/>
  <c r="C172" i="1"/>
  <c r="V30" i="4"/>
  <c r="O30" i="4"/>
  <c r="P30" i="4"/>
  <c r="M30" i="4"/>
  <c r="W30" i="4"/>
  <c r="Y30" i="4"/>
  <c r="AI30" i="4"/>
  <c r="C173" i="1"/>
  <c r="X30" i="4"/>
  <c r="Z30" i="4"/>
  <c r="Q30" i="4"/>
  <c r="C174" i="1"/>
  <c r="N30" i="4"/>
  <c r="R30" i="4"/>
  <c r="U30" i="4"/>
  <c r="AE30" i="4"/>
  <c r="AF30" i="4"/>
  <c r="AG30" i="4"/>
  <c r="C175" i="1"/>
  <c r="AA30" i="4"/>
  <c r="AB30" i="4"/>
  <c r="AD30" i="4"/>
  <c r="C176" i="1"/>
  <c r="H31" i="4"/>
  <c r="I31" i="4"/>
  <c r="C177" i="1"/>
  <c r="J31" i="4"/>
  <c r="L31" i="4"/>
  <c r="B31" i="4"/>
  <c r="T31" i="4"/>
  <c r="K31" i="4"/>
  <c r="V31" i="4"/>
  <c r="C178" i="1"/>
  <c r="O31" i="4"/>
  <c r="P31" i="4"/>
  <c r="M31" i="4"/>
  <c r="W31" i="4"/>
  <c r="Y31" i="4"/>
  <c r="AI31" i="4"/>
  <c r="X31" i="4"/>
  <c r="C179" i="1"/>
  <c r="Z31" i="4"/>
  <c r="Q31" i="4"/>
  <c r="U31" i="4"/>
  <c r="C180" i="1"/>
  <c r="N31" i="4"/>
  <c r="AG31" i="4"/>
  <c r="R31" i="4"/>
  <c r="AD31" i="4"/>
  <c r="C181" i="1"/>
  <c r="AB31" i="4"/>
  <c r="AE31" i="4"/>
  <c r="AF31" i="4"/>
  <c r="AA31" i="4"/>
  <c r="H32" i="4"/>
  <c r="C182" i="1"/>
  <c r="I32" i="4"/>
  <c r="B32" i="4"/>
  <c r="K32" i="4"/>
  <c r="J32" i="4"/>
  <c r="L32" i="4"/>
  <c r="T32" i="4"/>
  <c r="C183" i="1"/>
  <c r="W32" i="4"/>
  <c r="Y32" i="4"/>
  <c r="M32" i="4"/>
  <c r="V32" i="4"/>
  <c r="P32" i="4"/>
  <c r="O32" i="4"/>
  <c r="C184" i="1"/>
  <c r="X32" i="4"/>
  <c r="Z32" i="4"/>
  <c r="Q32" i="4"/>
  <c r="AI32" i="4"/>
  <c r="C185" i="1"/>
  <c r="R32" i="4"/>
  <c r="N32" i="4"/>
  <c r="U32" i="4"/>
  <c r="AG32" i="4"/>
  <c r="C186" i="1"/>
  <c r="AA32" i="4"/>
  <c r="AE32" i="4"/>
  <c r="AF32" i="4"/>
  <c r="AB32" i="4"/>
  <c r="AD32" i="4"/>
  <c r="C187" i="1"/>
  <c r="H33" i="4"/>
  <c r="K33" i="4"/>
  <c r="C188" i="1"/>
  <c r="J33" i="4"/>
  <c r="L33" i="4"/>
  <c r="M33" i="4"/>
  <c r="T33" i="4"/>
  <c r="I33" i="4"/>
  <c r="B33" i="4"/>
  <c r="V33" i="4"/>
  <c r="C189" i="1"/>
  <c r="P33" i="4"/>
  <c r="O33" i="4"/>
  <c r="W33" i="4"/>
  <c r="Y33" i="4"/>
  <c r="AI33" i="4"/>
  <c r="X33" i="4"/>
  <c r="C190" i="1"/>
  <c r="Z33" i="4"/>
  <c r="Q33" i="4"/>
  <c r="R33" i="4"/>
  <c r="C191" i="1"/>
  <c r="AG33" i="4"/>
  <c r="N33" i="4"/>
  <c r="U33" i="4"/>
  <c r="AE33" i="4"/>
  <c r="AF33" i="4"/>
  <c r="AD33" i="4"/>
  <c r="AB33" i="4"/>
  <c r="C192" i="1"/>
  <c r="AA33" i="4"/>
  <c r="H34" i="4"/>
  <c r="C193" i="1"/>
  <c r="J34" i="4"/>
  <c r="L34" i="4"/>
  <c r="I34" i="4"/>
  <c r="B34" i="4"/>
  <c r="K34" i="4"/>
  <c r="T34" i="4"/>
  <c r="C194" i="1"/>
  <c r="P34" i="4"/>
  <c r="V34" i="4"/>
  <c r="O34" i="4"/>
  <c r="W34" i="4"/>
  <c r="Y34" i="4"/>
  <c r="M34" i="4"/>
  <c r="C195" i="1"/>
  <c r="AI34" i="4"/>
  <c r="Z34" i="4"/>
  <c r="Q34" i="4"/>
  <c r="X34" i="4"/>
  <c r="C196" i="1"/>
  <c r="N34" i="4"/>
  <c r="R34" i="4"/>
  <c r="U34" i="4"/>
  <c r="AG34" i="4"/>
  <c r="C197" i="1"/>
  <c r="AE34" i="4"/>
  <c r="AF34" i="4"/>
  <c r="AA34" i="4"/>
  <c r="AB34" i="4"/>
  <c r="AD34" i="4"/>
  <c r="C198" i="1"/>
  <c r="H35" i="4"/>
  <c r="C199" i="1"/>
  <c r="J35" i="4"/>
  <c r="L35" i="4"/>
  <c r="I35" i="4"/>
  <c r="B35" i="4"/>
  <c r="K35" i="4"/>
  <c r="T35" i="4"/>
  <c r="C200" i="1"/>
  <c r="P35" i="4"/>
  <c r="V35" i="4"/>
  <c r="O35" i="4"/>
  <c r="W35" i="4"/>
  <c r="Y35" i="4"/>
  <c r="M35" i="4"/>
  <c r="C201" i="1"/>
  <c r="AI35" i="4"/>
  <c r="Z35" i="4"/>
  <c r="Q35" i="4"/>
  <c r="X35" i="4"/>
  <c r="C202" i="1"/>
  <c r="U35" i="4"/>
  <c r="N35" i="4"/>
  <c r="R35" i="4"/>
  <c r="AG35" i="4"/>
  <c r="C203" i="1"/>
  <c r="AE35" i="4"/>
  <c r="AF35" i="4"/>
  <c r="AB35" i="4"/>
  <c r="AA35" i="4"/>
  <c r="AD35" i="4"/>
  <c r="C204" i="1"/>
  <c r="H36" i="4"/>
  <c r="J36" i="4"/>
  <c r="L36" i="4"/>
  <c r="C205" i="1"/>
  <c r="K36" i="4"/>
  <c r="O36" i="4"/>
  <c r="B36" i="4"/>
  <c r="I36" i="4"/>
  <c r="T36" i="4"/>
  <c r="W36" i="4"/>
  <c r="Y36" i="4"/>
  <c r="C206" i="1"/>
  <c r="M36" i="4"/>
  <c r="P36" i="4"/>
  <c r="V36" i="4"/>
  <c r="Z36" i="4"/>
  <c r="AI36" i="4"/>
  <c r="C207" i="1"/>
  <c r="X36" i="4"/>
  <c r="Q36" i="4"/>
  <c r="R36" i="4"/>
  <c r="C208" i="1"/>
  <c r="AG36" i="4"/>
  <c r="U36" i="4"/>
  <c r="AE36" i="4"/>
  <c r="AF36" i="4"/>
  <c r="N36" i="4"/>
  <c r="AD36" i="4"/>
  <c r="AB36" i="4"/>
  <c r="AA36" i="4"/>
  <c r="H37" i="4"/>
  <c r="C209" i="1"/>
  <c r="B37" i="4"/>
  <c r="T37" i="4"/>
  <c r="K37" i="4"/>
  <c r="I37" i="4"/>
  <c r="J37" i="4"/>
  <c r="L37" i="4"/>
  <c r="C210" i="1"/>
  <c r="W37" i="4"/>
  <c r="Y37" i="4"/>
  <c r="AI37" i="4"/>
  <c r="M37" i="4"/>
  <c r="O37" i="4"/>
  <c r="P37" i="4"/>
  <c r="V37" i="4"/>
  <c r="C211" i="1"/>
  <c r="X37" i="4"/>
  <c r="Z37" i="4"/>
  <c r="Q37" i="4"/>
  <c r="C212" i="1"/>
  <c r="N37" i="4"/>
  <c r="U37" i="4"/>
  <c r="R37" i="4"/>
  <c r="AG37" i="4"/>
  <c r="C213" i="1"/>
  <c r="AE37" i="4"/>
  <c r="AF37" i="4"/>
  <c r="AA37" i="4"/>
  <c r="AB37" i="4"/>
  <c r="AD37" i="4"/>
  <c r="C214" i="1"/>
  <c r="H38" i="4"/>
  <c r="C215" i="1"/>
  <c r="B38" i="4"/>
  <c r="T38" i="4"/>
  <c r="K38" i="4"/>
  <c r="I38" i="4"/>
  <c r="J38" i="4"/>
  <c r="L38" i="4"/>
  <c r="C216" i="1"/>
  <c r="O38" i="4"/>
  <c r="P38" i="4"/>
  <c r="V38" i="4"/>
  <c r="M38" i="4"/>
  <c r="W38" i="4"/>
  <c r="Y38" i="4"/>
  <c r="C217" i="1"/>
  <c r="AI38" i="4"/>
  <c r="Z38" i="4"/>
  <c r="Q38" i="4"/>
  <c r="X38" i="4"/>
  <c r="C218" i="1"/>
  <c r="U38" i="4"/>
  <c r="R38" i="4"/>
  <c r="N38" i="4"/>
  <c r="AG38" i="4"/>
  <c r="C219" i="1"/>
  <c r="AA38" i="4"/>
  <c r="AB38" i="4"/>
  <c r="AD38" i="4"/>
  <c r="AE38" i="4"/>
  <c r="AF38" i="4"/>
  <c r="C220" i="1"/>
  <c r="H39" i="4"/>
  <c r="C221" i="1"/>
  <c r="B39" i="4"/>
  <c r="J39" i="4"/>
  <c r="L39" i="4"/>
  <c r="K39" i="4"/>
  <c r="I39" i="4"/>
  <c r="T39" i="4"/>
  <c r="C222" i="1"/>
  <c r="V39" i="4"/>
  <c r="O39" i="4"/>
  <c r="P39" i="4"/>
  <c r="W39" i="4"/>
  <c r="Y39" i="4"/>
  <c r="AI39" i="4"/>
  <c r="M39" i="4"/>
  <c r="C223" i="1"/>
  <c r="Z39" i="4"/>
  <c r="Q39" i="4"/>
  <c r="X39" i="4"/>
  <c r="C224" i="1"/>
  <c r="N39" i="4"/>
  <c r="U39" i="4"/>
  <c r="R39" i="4"/>
  <c r="AG39" i="4"/>
  <c r="C225" i="1"/>
  <c r="AE39" i="4"/>
  <c r="AF39" i="4"/>
  <c r="AA39" i="4"/>
  <c r="AB39" i="4"/>
  <c r="AD39" i="4"/>
  <c r="C226" i="1"/>
  <c r="H40" i="4"/>
  <c r="C227" i="1"/>
  <c r="J40" i="4"/>
  <c r="L40" i="4"/>
  <c r="T40" i="4"/>
  <c r="B40" i="4"/>
  <c r="I40" i="4"/>
  <c r="K40" i="4"/>
  <c r="C228" i="1"/>
  <c r="O40" i="4"/>
  <c r="V40" i="4"/>
  <c r="P40" i="4"/>
  <c r="M40" i="4"/>
  <c r="W40" i="4"/>
  <c r="Y40" i="4"/>
  <c r="C229" i="1"/>
  <c r="X40" i="4"/>
  <c r="Z40" i="4"/>
  <c r="AI40" i="4"/>
  <c r="Q40" i="4"/>
  <c r="C230" i="1"/>
  <c r="U40" i="4"/>
  <c r="N40" i="4"/>
  <c r="R40" i="4"/>
  <c r="AG40" i="4"/>
  <c r="C231" i="1"/>
  <c r="AA40" i="4"/>
  <c r="AD40" i="4"/>
  <c r="AB40" i="4"/>
  <c r="AE40" i="4"/>
  <c r="AF40" i="4"/>
  <c r="C232" i="1"/>
  <c r="H41" i="4"/>
  <c r="C233" i="1"/>
  <c r="J41" i="4"/>
  <c r="L41" i="4"/>
  <c r="W41" i="4"/>
  <c r="Y41" i="4"/>
  <c r="B41" i="4"/>
  <c r="I41" i="4"/>
  <c r="K41" i="4"/>
  <c r="T41" i="4"/>
  <c r="C234" i="1"/>
  <c r="M41" i="4"/>
  <c r="P41" i="4"/>
  <c r="O41" i="4"/>
  <c r="V41" i="4"/>
  <c r="AI41" i="4"/>
  <c r="C235" i="1"/>
  <c r="X41" i="4"/>
  <c r="Z41" i="4"/>
  <c r="Q41" i="4"/>
  <c r="C236" i="1"/>
  <c r="N41" i="4"/>
  <c r="R41" i="4"/>
  <c r="U41" i="4"/>
  <c r="AG41" i="4"/>
  <c r="AE41" i="4"/>
  <c r="AF41" i="4"/>
  <c r="AD41" i="4"/>
  <c r="AB41" i="4"/>
  <c r="AA41" i="4"/>
  <c r="H42" i="4"/>
  <c r="J42" i="4"/>
  <c r="L42" i="4"/>
  <c r="B42" i="4"/>
  <c r="I42" i="4"/>
  <c r="K42" i="4"/>
  <c r="T42" i="4"/>
  <c r="J31" i="1"/>
  <c r="F31" i="1"/>
  <c r="P42" i="4"/>
  <c r="V42" i="4"/>
  <c r="O42" i="4"/>
  <c r="W42" i="4"/>
  <c r="Y42" i="4"/>
  <c r="AI42" i="4"/>
  <c r="M42" i="4"/>
  <c r="X42" i="4"/>
  <c r="Z42" i="4"/>
  <c r="Q42" i="4"/>
  <c r="R42" i="4"/>
  <c r="N42" i="4"/>
  <c r="U42" i="4"/>
  <c r="AG42" i="4"/>
  <c r="AE42" i="4"/>
  <c r="AF42" i="4"/>
  <c r="AD42" i="4"/>
  <c r="AB42" i="4"/>
  <c r="AA42" i="4"/>
  <c r="H43" i="4"/>
  <c r="J43" i="4"/>
  <c r="L43" i="4"/>
  <c r="W43" i="4"/>
  <c r="Y43" i="4"/>
  <c r="K43" i="4"/>
  <c r="V43" i="4"/>
  <c r="I43" i="4"/>
  <c r="B43" i="4"/>
  <c r="T43" i="4"/>
  <c r="O43" i="4"/>
  <c r="P43" i="4"/>
  <c r="M43" i="4"/>
  <c r="AI43" i="4"/>
  <c r="X43" i="4"/>
  <c r="Z43" i="4"/>
  <c r="Q43" i="4"/>
  <c r="N43" i="4"/>
  <c r="AG43" i="4"/>
  <c r="R43" i="4"/>
  <c r="U43" i="4"/>
  <c r="AD43" i="4"/>
  <c r="AA43" i="4"/>
  <c r="AB43" i="4"/>
  <c r="AE43" i="4"/>
  <c r="AF43" i="4"/>
  <c r="H44" i="4"/>
  <c r="I44" i="4"/>
  <c r="K44" i="4"/>
  <c r="B44" i="4"/>
  <c r="T44" i="4"/>
  <c r="J44" i="4"/>
  <c r="L44" i="4"/>
  <c r="O44" i="4"/>
  <c r="P44" i="4"/>
  <c r="V44" i="4"/>
  <c r="W44" i="4"/>
  <c r="Y44" i="4"/>
  <c r="AI44" i="4"/>
  <c r="M44" i="4"/>
  <c r="X44" i="4"/>
  <c r="Z44" i="4"/>
  <c r="Q44" i="4"/>
  <c r="R44" i="4"/>
  <c r="U44" i="4"/>
  <c r="N44" i="4"/>
  <c r="AG44" i="4"/>
  <c r="AE44" i="4"/>
  <c r="AF44" i="4"/>
  <c r="AB44" i="4"/>
  <c r="AD44" i="4"/>
  <c r="AA44" i="4"/>
  <c r="H45" i="4"/>
  <c r="B45" i="4"/>
  <c r="I45" i="4"/>
  <c r="T45" i="4"/>
  <c r="J45" i="4"/>
  <c r="L45" i="4"/>
  <c r="W45" i="4"/>
  <c r="Y45" i="4"/>
  <c r="K45" i="4"/>
  <c r="P45" i="4"/>
  <c r="V45" i="4"/>
  <c r="Z45" i="4"/>
  <c r="O45" i="4"/>
  <c r="M45" i="4"/>
  <c r="AI45" i="4"/>
  <c r="Q45" i="4"/>
  <c r="X45" i="4"/>
  <c r="U45" i="4"/>
  <c r="N45" i="4"/>
  <c r="R45" i="4"/>
  <c r="AG45" i="4"/>
  <c r="AB45" i="4"/>
  <c r="AD45" i="4"/>
  <c r="AA45" i="4"/>
  <c r="AE45" i="4"/>
  <c r="AF45" i="4"/>
  <c r="H46" i="4"/>
  <c r="I46" i="4"/>
  <c r="K46" i="4"/>
  <c r="V46" i="4"/>
  <c r="J46" i="4"/>
  <c r="L46" i="4"/>
  <c r="W46" i="4"/>
  <c r="Y46" i="4"/>
  <c r="B46" i="4"/>
  <c r="T46" i="4"/>
  <c r="O46" i="4"/>
  <c r="P46" i="4"/>
  <c r="AI46" i="4"/>
  <c r="M46" i="4"/>
  <c r="X46" i="4"/>
  <c r="Z46" i="4"/>
  <c r="Q46" i="4"/>
  <c r="N46" i="4"/>
  <c r="R46" i="4"/>
  <c r="U46" i="4"/>
  <c r="AG46" i="4"/>
  <c r="AE46" i="4"/>
  <c r="AF46" i="4"/>
  <c r="AD46" i="4"/>
  <c r="AA46" i="4"/>
  <c r="AB46" i="4"/>
  <c r="H47" i="4"/>
  <c r="J47" i="4"/>
  <c r="L47" i="4"/>
  <c r="W47" i="4"/>
  <c r="Y47" i="4"/>
  <c r="K47" i="4"/>
  <c r="O47" i="4"/>
  <c r="T47" i="4"/>
  <c r="B47" i="4"/>
  <c r="I47" i="4"/>
  <c r="AI47" i="4"/>
  <c r="V47" i="4"/>
  <c r="Z47" i="4"/>
  <c r="P47" i="4"/>
  <c r="M47" i="4"/>
  <c r="X47" i="4"/>
  <c r="Q47" i="4"/>
  <c r="AG47" i="4"/>
  <c r="U47" i="4"/>
  <c r="R47" i="4"/>
  <c r="N47" i="4"/>
  <c r="AE47" i="4"/>
  <c r="AF47" i="4"/>
  <c r="AB47" i="4"/>
  <c r="AA47" i="4"/>
  <c r="AD47" i="4"/>
  <c r="H48" i="4"/>
  <c r="I48" i="4"/>
  <c r="T48" i="4"/>
  <c r="B48" i="4"/>
  <c r="K48" i="4"/>
  <c r="J48" i="4"/>
  <c r="L48" i="4"/>
  <c r="V48" i="4"/>
  <c r="P48" i="4"/>
  <c r="O48" i="4"/>
  <c r="W48" i="4"/>
  <c r="Y48" i="4"/>
  <c r="M48" i="4"/>
  <c r="AI48" i="4"/>
  <c r="Z48" i="4"/>
  <c r="Q48" i="4"/>
  <c r="X48" i="4"/>
  <c r="U48" i="4"/>
  <c r="AG48" i="4"/>
  <c r="R48" i="4"/>
  <c r="N48" i="4"/>
  <c r="AE48" i="4"/>
  <c r="AF48" i="4"/>
  <c r="AD48" i="4"/>
  <c r="AA48" i="4"/>
  <c r="AB48" i="4"/>
  <c r="H49" i="4"/>
  <c r="B49" i="4"/>
  <c r="K49" i="4"/>
  <c r="J49" i="4"/>
  <c r="L49" i="4"/>
  <c r="W49" i="4"/>
  <c r="Y49" i="4"/>
  <c r="T49" i="4"/>
  <c r="I49" i="4"/>
  <c r="M49" i="4"/>
  <c r="O49" i="4"/>
  <c r="P49" i="4"/>
  <c r="AI49" i="4"/>
  <c r="V49" i="4"/>
  <c r="Z49" i="4"/>
  <c r="Q49" i="4"/>
  <c r="X49" i="4"/>
  <c r="AG49" i="4"/>
  <c r="N49" i="4"/>
  <c r="U49" i="4"/>
  <c r="R49" i="4"/>
  <c r="AB49" i="4"/>
  <c r="AD49" i="4"/>
  <c r="AA49" i="4"/>
  <c r="AE49" i="4"/>
  <c r="AF49" i="4"/>
  <c r="H50" i="4"/>
  <c r="I50" i="4"/>
  <c r="B50" i="4"/>
  <c r="T50" i="4"/>
  <c r="J50" i="4"/>
  <c r="L50" i="4"/>
  <c r="K50" i="4"/>
  <c r="M50" i="4"/>
  <c r="W50" i="4"/>
  <c r="Y50" i="4"/>
  <c r="AI50" i="4"/>
  <c r="V50" i="4"/>
  <c r="P50" i="4"/>
  <c r="O50" i="4"/>
  <c r="X50" i="4"/>
  <c r="Z50" i="4"/>
  <c r="Q50" i="4"/>
  <c r="R50" i="4"/>
  <c r="AG50" i="4"/>
  <c r="N50" i="4"/>
  <c r="U50" i="4"/>
  <c r="AE50" i="4"/>
  <c r="AF50" i="4"/>
  <c r="AD50" i="4"/>
  <c r="AB50" i="4"/>
  <c r="AA50" i="4"/>
  <c r="H51" i="4"/>
  <c r="B51" i="4"/>
  <c r="T51" i="4"/>
  <c r="J51" i="4"/>
  <c r="L51" i="4"/>
  <c r="K51" i="4"/>
  <c r="I51" i="4"/>
  <c r="M51" i="4"/>
  <c r="W51" i="4"/>
  <c r="Y51" i="4"/>
  <c r="AI51" i="4"/>
  <c r="V51" i="4"/>
  <c r="P51" i="4"/>
  <c r="O51" i="4"/>
  <c r="X51" i="4"/>
  <c r="Z51" i="4"/>
  <c r="Q51" i="4"/>
  <c r="R51" i="4"/>
  <c r="AG51" i="4"/>
  <c r="U51" i="4"/>
  <c r="N51" i="4"/>
  <c r="AB51" i="4"/>
  <c r="AA51" i="4"/>
  <c r="AD51" i="4"/>
  <c r="AE51" i="4"/>
  <c r="AF51" i="4"/>
  <c r="H52" i="4"/>
  <c r="T52" i="4"/>
  <c r="J52" i="4"/>
  <c r="L52" i="4"/>
  <c r="B52" i="4"/>
  <c r="K52" i="4"/>
  <c r="I52" i="4"/>
  <c r="V52" i="4"/>
  <c r="O52" i="4"/>
  <c r="P52" i="4"/>
  <c r="W52" i="4"/>
  <c r="Y52" i="4"/>
  <c r="M52" i="4"/>
  <c r="AI52" i="4"/>
  <c r="Z52" i="4"/>
  <c r="Q52" i="4"/>
  <c r="X52" i="4"/>
  <c r="N52" i="4"/>
  <c r="R52" i="4"/>
  <c r="AG52" i="4"/>
  <c r="U52" i="4"/>
  <c r="AE52" i="4"/>
  <c r="AF52" i="4"/>
  <c r="AD52" i="4"/>
  <c r="AB52" i="4"/>
  <c r="AA52" i="4"/>
  <c r="H53" i="4"/>
  <c r="K53" i="4"/>
  <c r="B53" i="4"/>
  <c r="T53" i="4"/>
  <c r="I53" i="4"/>
  <c r="J53" i="4"/>
  <c r="L53" i="4"/>
  <c r="W53" i="4"/>
  <c r="Y53" i="4"/>
  <c r="AI53" i="4"/>
  <c r="M53" i="4"/>
  <c r="P53" i="4"/>
  <c r="O53" i="4"/>
  <c r="V53" i="4"/>
  <c r="Z53" i="4"/>
  <c r="Q53" i="4"/>
  <c r="X53" i="4"/>
  <c r="U53" i="4"/>
  <c r="R53" i="4"/>
  <c r="N53" i="4"/>
  <c r="AG53" i="4"/>
  <c r="AE53" i="4"/>
  <c r="AF53" i="4"/>
  <c r="AA53" i="4"/>
  <c r="AB53" i="4"/>
  <c r="AD53" i="4"/>
  <c r="H54" i="4"/>
  <c r="J54" i="4"/>
  <c r="L54" i="4"/>
  <c r="W54" i="4"/>
  <c r="Y54" i="4"/>
  <c r="T54" i="4"/>
  <c r="B54" i="4"/>
  <c r="K54" i="4"/>
  <c r="I54" i="4"/>
  <c r="P54" i="4"/>
  <c r="V54" i="4"/>
  <c r="O54" i="4"/>
  <c r="AI54" i="4"/>
  <c r="M54" i="4"/>
  <c r="X54" i="4"/>
  <c r="Z54" i="4"/>
  <c r="Q54" i="4"/>
  <c r="U54" i="4"/>
  <c r="R54" i="4"/>
  <c r="N54" i="4"/>
  <c r="AG54" i="4"/>
  <c r="AE54" i="4"/>
  <c r="AF54" i="4"/>
  <c r="AD54" i="4"/>
  <c r="AB54" i="4"/>
  <c r="AA54" i="4"/>
  <c r="H55" i="4"/>
  <c r="I55" i="4"/>
  <c r="T55" i="4"/>
  <c r="K55" i="4"/>
  <c r="B55" i="4"/>
  <c r="J55" i="4"/>
  <c r="L55" i="4"/>
  <c r="W55" i="4"/>
  <c r="Y55" i="4"/>
  <c r="AI55" i="4"/>
  <c r="V55" i="4"/>
  <c r="P55" i="4"/>
  <c r="Z55" i="4"/>
  <c r="O55" i="4"/>
  <c r="M55" i="4"/>
  <c r="X55" i="4"/>
  <c r="Q55" i="4"/>
  <c r="AG55" i="4"/>
  <c r="R55" i="4"/>
  <c r="U55" i="4"/>
  <c r="AE55" i="4"/>
  <c r="AF55" i="4"/>
  <c r="N55" i="4"/>
  <c r="AA55" i="4"/>
  <c r="AB55" i="4"/>
  <c r="AD55" i="4"/>
  <c r="H56" i="4"/>
  <c r="J56" i="4"/>
  <c r="L56" i="4"/>
  <c r="T56" i="4"/>
  <c r="K56" i="4"/>
  <c r="I56" i="4"/>
  <c r="B56" i="4"/>
  <c r="V56" i="4"/>
  <c r="P56" i="4"/>
  <c r="O56" i="4"/>
  <c r="W56" i="4"/>
  <c r="Y56" i="4"/>
  <c r="M56" i="4"/>
  <c r="AI56" i="4"/>
  <c r="X56" i="4"/>
  <c r="Z56" i="4"/>
  <c r="Q56" i="4"/>
  <c r="U56" i="4"/>
  <c r="R56" i="4"/>
  <c r="N56" i="4"/>
  <c r="AG56" i="4"/>
  <c r="AE56" i="4"/>
  <c r="AF56" i="4"/>
  <c r="AD56" i="4"/>
  <c r="AB56" i="4"/>
  <c r="AA56" i="4"/>
  <c r="H57" i="4"/>
  <c r="I57" i="4"/>
  <c r="J57" i="4"/>
  <c r="L57" i="4"/>
  <c r="B57" i="4"/>
  <c r="K57" i="4"/>
  <c r="T57" i="4"/>
  <c r="W57" i="4"/>
  <c r="Y57" i="4"/>
  <c r="AI57" i="4"/>
  <c r="M57" i="4"/>
  <c r="P57" i="4"/>
  <c r="O57" i="4"/>
  <c r="V57" i="4"/>
  <c r="X57" i="4"/>
  <c r="Z57" i="4"/>
  <c r="Q57" i="4"/>
  <c r="AG57" i="4"/>
  <c r="N57" i="4"/>
  <c r="R57" i="4"/>
  <c r="U57" i="4"/>
  <c r="AE57" i="4"/>
  <c r="AF57" i="4"/>
  <c r="AA57" i="4"/>
  <c r="AB57" i="4"/>
  <c r="AD57" i="4"/>
  <c r="H58" i="4"/>
  <c r="B58" i="4"/>
  <c r="K58" i="4"/>
  <c r="J58" i="4"/>
  <c r="L58" i="4"/>
  <c r="T58" i="4"/>
  <c r="I58" i="4"/>
  <c r="W58" i="4"/>
  <c r="Y58" i="4"/>
  <c r="AI58" i="4"/>
  <c r="M58" i="4"/>
  <c r="V58" i="4"/>
  <c r="O58" i="4"/>
  <c r="P58" i="4"/>
  <c r="Z58" i="4"/>
  <c r="Q58" i="4"/>
  <c r="X58" i="4"/>
  <c r="AG58" i="4"/>
  <c r="U58" i="4"/>
  <c r="N58" i="4"/>
  <c r="R58" i="4"/>
  <c r="AA58" i="4"/>
  <c r="AD58" i="4"/>
  <c r="AB58" i="4"/>
  <c r="AE58" i="4"/>
  <c r="AF58" i="4"/>
  <c r="H59" i="4"/>
  <c r="B59" i="4"/>
  <c r="I59" i="4"/>
  <c r="J59" i="4"/>
  <c r="L59" i="4"/>
  <c r="K59" i="4"/>
  <c r="T59" i="4"/>
  <c r="W59" i="4"/>
  <c r="Y59" i="4"/>
  <c r="AI59" i="4"/>
  <c r="M59" i="4"/>
  <c r="O59" i="4"/>
  <c r="P59" i="4"/>
  <c r="V59" i="4"/>
  <c r="X59" i="4"/>
  <c r="Z59" i="4"/>
  <c r="Q59" i="4"/>
  <c r="N59" i="4"/>
  <c r="AG59" i="4"/>
  <c r="R59" i="4"/>
  <c r="U59" i="4"/>
  <c r="AE59" i="4"/>
  <c r="AF59" i="4"/>
  <c r="AB59" i="4"/>
  <c r="AD59" i="4"/>
  <c r="AA59" i="4"/>
  <c r="H60" i="4"/>
  <c r="B60" i="4"/>
  <c r="T60" i="4"/>
  <c r="I60" i="4"/>
  <c r="J60" i="4"/>
  <c r="L60" i="4"/>
  <c r="W60" i="4"/>
  <c r="Y60" i="4"/>
  <c r="K60" i="4"/>
  <c r="P60" i="4"/>
  <c r="V60" i="4"/>
  <c r="O60" i="4"/>
  <c r="M60" i="4"/>
  <c r="Z60" i="4"/>
  <c r="Q60" i="4"/>
  <c r="X60" i="4"/>
  <c r="AI60" i="4"/>
  <c r="R60" i="4"/>
  <c r="U60" i="4"/>
  <c r="AG60" i="4"/>
  <c r="N60" i="4"/>
  <c r="AE60" i="4"/>
  <c r="AF60" i="4"/>
  <c r="AD60" i="4"/>
  <c r="AB60" i="4"/>
  <c r="AA60" i="4"/>
  <c r="H61" i="4"/>
  <c r="J61" i="4"/>
  <c r="L61" i="4"/>
  <c r="I61" i="4"/>
  <c r="B61" i="4"/>
  <c r="T61" i="4"/>
  <c r="K61" i="4"/>
  <c r="P61" i="4"/>
  <c r="O61" i="4"/>
  <c r="V61" i="4"/>
  <c r="W61" i="4"/>
  <c r="Y61" i="4"/>
  <c r="AI61" i="4"/>
  <c r="M61" i="4"/>
  <c r="Z61" i="4"/>
  <c r="Q61" i="4"/>
  <c r="X61" i="4"/>
  <c r="AG61" i="4"/>
  <c r="R61" i="4"/>
  <c r="N61" i="4"/>
  <c r="U61" i="4"/>
  <c r="AE61" i="4"/>
  <c r="AF61" i="4"/>
  <c r="AA61" i="4"/>
  <c r="AD61" i="4"/>
  <c r="AB61" i="4"/>
  <c r="H62" i="4"/>
  <c r="B62" i="4"/>
  <c r="J62" i="4"/>
  <c r="L62" i="4"/>
  <c r="I62" i="4"/>
  <c r="T62" i="4"/>
  <c r="K62" i="4"/>
  <c r="V62" i="4"/>
  <c r="P62" i="4"/>
  <c r="O62" i="4"/>
  <c r="M62" i="4"/>
  <c r="W62" i="4"/>
  <c r="Y62" i="4"/>
  <c r="AI62" i="4"/>
  <c r="Z62" i="4"/>
  <c r="Q62" i="4"/>
  <c r="X62" i="4"/>
  <c r="AG62" i="4"/>
  <c r="R62" i="4"/>
  <c r="U62" i="4"/>
  <c r="AE62" i="4"/>
  <c r="AF62" i="4"/>
  <c r="N62" i="4"/>
  <c r="AD62" i="4"/>
  <c r="AA62" i="4"/>
  <c r="AB62" i="4"/>
  <c r="H63" i="4"/>
  <c r="B63" i="4"/>
  <c r="I63" i="4"/>
  <c r="T63" i="4"/>
  <c r="K63" i="4"/>
  <c r="J63" i="4"/>
  <c r="L63" i="4"/>
  <c r="M63" i="4"/>
  <c r="W63" i="4"/>
  <c r="Y63" i="4"/>
  <c r="AI63" i="4"/>
  <c r="O63" i="4"/>
  <c r="V63" i="4"/>
  <c r="P63" i="4"/>
  <c r="X63" i="4"/>
  <c r="Z63" i="4"/>
  <c r="Q63" i="4"/>
  <c r="AG63" i="4"/>
  <c r="R63" i="4"/>
  <c r="U63" i="4"/>
  <c r="AE63" i="4"/>
  <c r="AF63" i="4"/>
  <c r="N63" i="4"/>
  <c r="AB63" i="4"/>
  <c r="AA63" i="4"/>
  <c r="AD63" i="4"/>
  <c r="H64" i="4"/>
  <c r="I64" i="4"/>
  <c r="B64" i="4"/>
  <c r="K64" i="4"/>
  <c r="V64" i="4"/>
  <c r="X64" i="4"/>
  <c r="J64" i="4"/>
  <c r="L64" i="4"/>
  <c r="P64" i="4"/>
  <c r="T64" i="4"/>
  <c r="O64" i="4"/>
  <c r="W64" i="4"/>
  <c r="Y64" i="4"/>
  <c r="AI64" i="4"/>
  <c r="M64" i="4"/>
  <c r="Z64" i="4"/>
  <c r="Q64" i="4"/>
  <c r="AG64" i="4"/>
  <c r="R64" i="4"/>
  <c r="AB64" i="4"/>
  <c r="N64" i="4"/>
  <c r="U64" i="4"/>
  <c r="AE64" i="4"/>
  <c r="AF64" i="4"/>
  <c r="AD64" i="4"/>
  <c r="AA64" i="4"/>
  <c r="H65" i="4"/>
  <c r="J65" i="4"/>
  <c r="L65" i="4"/>
  <c r="W65" i="4"/>
  <c r="Y65" i="4"/>
  <c r="B65" i="4"/>
  <c r="K65" i="4"/>
  <c r="I65" i="4"/>
  <c r="T65" i="4"/>
  <c r="M65" i="4"/>
  <c r="V65" i="4"/>
  <c r="O65" i="4"/>
  <c r="P65" i="4"/>
  <c r="AI65" i="4"/>
  <c r="Z65" i="4"/>
  <c r="Q65" i="4"/>
  <c r="X65" i="4"/>
  <c r="U65" i="4"/>
  <c r="N65" i="4"/>
  <c r="R65" i="4"/>
  <c r="AG65" i="4"/>
  <c r="AE65" i="4"/>
  <c r="AF65" i="4"/>
  <c r="AD65" i="4"/>
  <c r="AB65" i="4"/>
  <c r="AA65" i="4"/>
  <c r="H66" i="4"/>
  <c r="B66" i="4"/>
  <c r="J66" i="4"/>
  <c r="L66" i="4"/>
  <c r="W66" i="4"/>
  <c r="Y66" i="4"/>
  <c r="T66" i="4"/>
  <c r="K66" i="4"/>
  <c r="I66" i="4"/>
  <c r="O66" i="4"/>
  <c r="M66" i="4"/>
  <c r="P66" i="4"/>
  <c r="V66" i="4"/>
  <c r="Z66" i="4"/>
  <c r="AI66" i="4"/>
  <c r="Q66" i="4"/>
  <c r="R66" i="4"/>
  <c r="X66" i="4"/>
  <c r="N66" i="4"/>
  <c r="U66" i="4"/>
  <c r="AG66" i="4"/>
  <c r="AE66" i="4"/>
  <c r="AF66" i="4"/>
  <c r="AA66" i="4"/>
  <c r="AD66" i="4"/>
  <c r="AB66" i="4"/>
  <c r="H67" i="4"/>
  <c r="J67" i="4"/>
  <c r="L67" i="4"/>
  <c r="T67" i="4"/>
  <c r="B67" i="4"/>
  <c r="I67" i="4"/>
  <c r="K67" i="4"/>
  <c r="O67" i="4"/>
  <c r="V67" i="4"/>
  <c r="P67" i="4"/>
  <c r="M67" i="4"/>
  <c r="W67" i="4"/>
  <c r="Y67" i="4"/>
  <c r="AI67" i="4"/>
  <c r="X67" i="4"/>
  <c r="Z67" i="4"/>
  <c r="Q67" i="4"/>
  <c r="R67" i="4"/>
  <c r="U67" i="4"/>
  <c r="N67" i="4"/>
  <c r="AG67" i="4"/>
  <c r="AE67" i="4"/>
  <c r="AF67" i="4"/>
  <c r="AA67" i="4"/>
  <c r="AD67" i="4"/>
  <c r="AB67" i="4"/>
  <c r="H68" i="4"/>
  <c r="B68" i="4"/>
  <c r="K68" i="4"/>
  <c r="I68" i="4"/>
  <c r="J68" i="4"/>
  <c r="L68" i="4"/>
  <c r="T68" i="4"/>
  <c r="V68" i="4"/>
  <c r="O68" i="4"/>
  <c r="P68" i="4"/>
  <c r="W68" i="4"/>
  <c r="Y68" i="4"/>
  <c r="M68" i="4"/>
  <c r="AI68" i="4"/>
  <c r="X68" i="4"/>
  <c r="Z68" i="4"/>
  <c r="Q68" i="4"/>
  <c r="R68" i="4"/>
  <c r="U68" i="4"/>
  <c r="N68" i="4"/>
  <c r="AG68" i="4"/>
  <c r="AE68" i="4"/>
  <c r="AF68" i="4"/>
  <c r="AB68" i="4"/>
  <c r="AD68" i="4"/>
  <c r="AA68" i="4"/>
  <c r="H69" i="4"/>
  <c r="B69" i="4"/>
  <c r="J69" i="4"/>
  <c r="L69" i="4"/>
  <c r="T69" i="4"/>
  <c r="I69" i="4"/>
  <c r="K69" i="4"/>
  <c r="V69" i="4"/>
  <c r="O69" i="4"/>
  <c r="P69" i="4"/>
  <c r="W69" i="4"/>
  <c r="Y69" i="4"/>
  <c r="AI69" i="4"/>
  <c r="M69" i="4"/>
  <c r="X69" i="4"/>
  <c r="Z69" i="4"/>
  <c r="Q69" i="4"/>
  <c r="P73" i="4"/>
  <c r="O73" i="4"/>
  <c r="R69" i="4"/>
  <c r="U69" i="4"/>
  <c r="N69" i="4"/>
  <c r="AG69" i="4"/>
  <c r="AA69" i="4"/>
  <c r="AE69" i="4"/>
  <c r="AF69" i="4"/>
  <c r="AB69" i="4"/>
  <c r="AD69" i="4"/>
  <c r="AB73" i="4"/>
  <c r="AD73" i="4"/>
  <c r="H70" i="4"/>
  <c r="J70" i="4"/>
  <c r="L70" i="4"/>
  <c r="B70" i="4"/>
  <c r="T70" i="4"/>
  <c r="K70" i="4"/>
  <c r="I70" i="4"/>
  <c r="V70" i="4"/>
  <c r="P70" i="4"/>
  <c r="O70" i="4"/>
  <c r="W70" i="4"/>
  <c r="Y70" i="4"/>
  <c r="AI70" i="4"/>
  <c r="M70" i="4"/>
  <c r="O74" i="4"/>
  <c r="P74" i="4"/>
  <c r="Z70" i="4"/>
  <c r="Q70" i="4"/>
  <c r="X70" i="4"/>
  <c r="N70" i="4"/>
  <c r="U70" i="4"/>
  <c r="R70" i="4"/>
  <c r="AG70" i="4"/>
  <c r="AB74" i="4"/>
  <c r="AD74" i="4"/>
  <c r="AE70" i="4"/>
  <c r="AF70" i="4"/>
  <c r="AA70" i="4"/>
  <c r="AB70" i="4"/>
  <c r="AD70" i="4"/>
  <c r="H71" i="4"/>
  <c r="B71" i="4"/>
  <c r="O75" i="4"/>
  <c r="P75" i="4"/>
  <c r="K71" i="4"/>
  <c r="T71" i="4"/>
  <c r="J71" i="4"/>
  <c r="L71" i="4"/>
  <c r="W71" i="4"/>
  <c r="Y71" i="4"/>
  <c r="I71" i="4"/>
  <c r="AI71" i="4"/>
  <c r="O71" i="4"/>
  <c r="P71" i="4"/>
  <c r="V71" i="4"/>
  <c r="Z71" i="4"/>
  <c r="M71" i="4"/>
  <c r="Q71" i="4"/>
  <c r="R71" i="4"/>
  <c r="X71" i="4"/>
  <c r="AB75" i="4"/>
  <c r="AD75" i="4"/>
  <c r="N71" i="4"/>
  <c r="AG71" i="4"/>
  <c r="U71" i="4"/>
  <c r="AE71" i="4"/>
  <c r="AF71" i="4"/>
  <c r="AA71" i="4"/>
  <c r="AB71" i="4"/>
  <c r="AD71" i="4"/>
  <c r="H72" i="4"/>
  <c r="K72" i="4"/>
  <c r="T72" i="4"/>
  <c r="I72" i="4"/>
  <c r="B72" i="4"/>
  <c r="J72" i="4"/>
  <c r="L72" i="4"/>
  <c r="P76" i="4"/>
  <c r="O76" i="4"/>
  <c r="M72" i="4"/>
  <c r="W72" i="4"/>
  <c r="Y72" i="4"/>
  <c r="AI72" i="4"/>
  <c r="V72" i="4"/>
  <c r="O72" i="4"/>
  <c r="P72" i="4"/>
  <c r="X72" i="4"/>
  <c r="Z72" i="4"/>
  <c r="Q72" i="4"/>
  <c r="AB76" i="4"/>
  <c r="AD76" i="4"/>
  <c r="N72" i="4"/>
  <c r="U72" i="4"/>
  <c r="R72" i="4"/>
  <c r="AG72" i="4"/>
  <c r="AE72" i="4"/>
  <c r="AF72" i="4"/>
  <c r="AB72" i="4"/>
  <c r="AD72" i="4"/>
  <c r="AA72" i="4"/>
  <c r="H73" i="4"/>
  <c r="I73" i="4"/>
  <c r="P77" i="4"/>
  <c r="O77" i="4"/>
  <c r="J73" i="4"/>
  <c r="L73" i="4"/>
  <c r="W73" i="4"/>
  <c r="Y73" i="4"/>
  <c r="B73" i="4"/>
  <c r="K73" i="4"/>
  <c r="V73" i="4"/>
  <c r="X73" i="4"/>
  <c r="T73" i="4"/>
  <c r="M73" i="4"/>
  <c r="AI73" i="4"/>
  <c r="Z73" i="4"/>
  <c r="Q73" i="4"/>
  <c r="U73" i="4"/>
  <c r="N73" i="4"/>
  <c r="R73" i="4"/>
  <c r="AC73" i="4"/>
  <c r="AG73" i="4"/>
  <c r="AB77" i="4"/>
  <c r="AD77" i="4"/>
  <c r="AA73" i="4"/>
  <c r="H74" i="4"/>
  <c r="B74" i="4"/>
  <c r="AE73" i="4"/>
  <c r="AF73" i="4"/>
  <c r="T74" i="4"/>
  <c r="I74" i="4"/>
  <c r="K74" i="4"/>
  <c r="V74" i="4"/>
  <c r="X74" i="4"/>
  <c r="J74" i="4"/>
  <c r="L74" i="4"/>
  <c r="W74" i="4"/>
  <c r="Y74" i="4"/>
  <c r="AI74" i="4"/>
  <c r="Z74" i="4"/>
  <c r="M74" i="4"/>
  <c r="O78" i="4"/>
  <c r="P78" i="4"/>
  <c r="Q74" i="4"/>
  <c r="AC74" i="4"/>
  <c r="AG74" i="4"/>
  <c r="U74" i="4"/>
  <c r="R74" i="4"/>
  <c r="N74" i="4"/>
  <c r="AE74" i="4"/>
  <c r="AF74" i="4"/>
  <c r="AA74" i="4"/>
  <c r="H75" i="4"/>
  <c r="AB78" i="4"/>
  <c r="AD78" i="4"/>
  <c r="T75" i="4"/>
  <c r="I75" i="4"/>
  <c r="K75" i="4"/>
  <c r="V75" i="4"/>
  <c r="X75" i="4"/>
  <c r="B75" i="4"/>
  <c r="J75" i="4"/>
  <c r="L75" i="4"/>
  <c r="W75" i="4"/>
  <c r="M75" i="4"/>
  <c r="O79" i="4"/>
  <c r="P79" i="4"/>
  <c r="Y75" i="4"/>
  <c r="AI75" i="4"/>
  <c r="Z75" i="4"/>
  <c r="Q75" i="4"/>
  <c r="AC75" i="4"/>
  <c r="AG75" i="4"/>
  <c r="N75" i="4"/>
  <c r="U75" i="4"/>
  <c r="R75" i="4"/>
  <c r="AD79" i="4"/>
  <c r="AB79" i="4"/>
  <c r="AA75" i="4"/>
  <c r="H76" i="4"/>
  <c r="K76" i="4"/>
  <c r="V76" i="4"/>
  <c r="AE75" i="4"/>
  <c r="AF75" i="4"/>
  <c r="T76" i="4"/>
  <c r="J76" i="4"/>
  <c r="L76" i="4"/>
  <c r="M76" i="4"/>
  <c r="B76" i="4"/>
  <c r="I76" i="4"/>
  <c r="X76" i="4"/>
  <c r="O80" i="4"/>
  <c r="P80" i="4"/>
  <c r="W76" i="4"/>
  <c r="Y76" i="4"/>
  <c r="AI76" i="4"/>
  <c r="Z76" i="4"/>
  <c r="Q76" i="4"/>
  <c r="N76" i="4"/>
  <c r="AB80" i="4"/>
  <c r="AD80" i="4"/>
  <c r="AC76" i="4"/>
  <c r="AG76" i="4"/>
  <c r="U76" i="4"/>
  <c r="R76" i="4"/>
  <c r="AA76" i="4"/>
  <c r="H77" i="4"/>
  <c r="T77" i="4"/>
  <c r="AE76" i="4"/>
  <c r="AF76" i="4"/>
  <c r="K77" i="4"/>
  <c r="V77" i="4"/>
  <c r="X77" i="4"/>
  <c r="I77" i="4"/>
  <c r="J77" i="4"/>
  <c r="L77" i="4"/>
  <c r="W77" i="4"/>
  <c r="Y77" i="4"/>
  <c r="B77" i="4"/>
  <c r="O81" i="4"/>
  <c r="M77" i="4"/>
  <c r="AI77" i="4"/>
  <c r="Z77" i="4"/>
  <c r="Q77" i="4"/>
  <c r="AC77" i="4"/>
  <c r="AG77" i="4"/>
  <c r="R77" i="4"/>
  <c r="N77" i="4"/>
  <c r="U77" i="4"/>
  <c r="AB81" i="4"/>
  <c r="AD81" i="4"/>
  <c r="AE77" i="4"/>
  <c r="AF77" i="4"/>
  <c r="AA77" i="4"/>
  <c r="H78" i="4"/>
  <c r="I78" i="4"/>
  <c r="K78" i="4"/>
  <c r="V78" i="4"/>
  <c r="B78" i="4"/>
  <c r="J78" i="4"/>
  <c r="L78" i="4"/>
  <c r="T78" i="4"/>
  <c r="W78" i="4"/>
  <c r="Y78" i="4"/>
  <c r="AI78" i="4"/>
  <c r="M78" i="4"/>
  <c r="X78" i="4"/>
  <c r="O82" i="4"/>
  <c r="P82" i="4"/>
  <c r="Z78" i="4"/>
  <c r="Q78" i="4"/>
  <c r="R78" i="4"/>
  <c r="U78" i="4"/>
  <c r="AE78" i="4"/>
  <c r="AF78" i="4"/>
  <c r="N78" i="4"/>
  <c r="AC78" i="4"/>
  <c r="AG78" i="4"/>
  <c r="AA78" i="4"/>
  <c r="H79" i="4"/>
  <c r="I79" i="4"/>
  <c r="K79" i="4"/>
  <c r="V79" i="4"/>
  <c r="J79" i="4"/>
  <c r="L79" i="4"/>
  <c r="B79" i="4"/>
  <c r="T79" i="4"/>
  <c r="AD82" i="4"/>
  <c r="AB82" i="4"/>
  <c r="W79" i="4"/>
  <c r="Y79" i="4"/>
  <c r="AI79" i="4"/>
  <c r="M79" i="4"/>
  <c r="X79" i="4"/>
  <c r="Z79" i="4"/>
  <c r="Q79" i="4"/>
  <c r="AC79" i="4"/>
  <c r="AG79" i="4"/>
  <c r="N79" i="4"/>
  <c r="R79" i="4"/>
  <c r="U79" i="4"/>
  <c r="P83" i="4"/>
  <c r="O83" i="4"/>
  <c r="AE79" i="4"/>
  <c r="AF79" i="4"/>
  <c r="AA79" i="4"/>
  <c r="H80" i="4"/>
  <c r="P81" i="4"/>
  <c r="T80" i="4"/>
  <c r="I80" i="4"/>
  <c r="J80" i="4"/>
  <c r="L80" i="4"/>
  <c r="B80" i="4"/>
  <c r="K80" i="4"/>
  <c r="V80" i="4"/>
  <c r="X80" i="4"/>
  <c r="W80" i="4"/>
  <c r="Y80" i="4"/>
  <c r="AI80" i="4"/>
  <c r="M80" i="4"/>
  <c r="AB83" i="4"/>
  <c r="AD83" i="4"/>
  <c r="Z80" i="4"/>
  <c r="Q80" i="4"/>
  <c r="AC80" i="4"/>
  <c r="AG80" i="4"/>
  <c r="N80" i="4"/>
  <c r="R80" i="4"/>
  <c r="U80" i="4"/>
  <c r="AE80" i="4"/>
  <c r="AF80" i="4"/>
  <c r="AA80" i="4"/>
  <c r="H81" i="4"/>
  <c r="O84" i="4"/>
  <c r="P84" i="4"/>
  <c r="T81" i="4"/>
  <c r="K81" i="4"/>
  <c r="V81" i="4"/>
  <c r="I81" i="4"/>
  <c r="J81" i="4"/>
  <c r="L81" i="4"/>
  <c r="B81" i="4"/>
  <c r="W81" i="4"/>
  <c r="Y81" i="4"/>
  <c r="AI81" i="4"/>
  <c r="M81" i="4"/>
  <c r="X81" i="4"/>
  <c r="Z81" i="4"/>
  <c r="Q81" i="4"/>
  <c r="AD84" i="4"/>
  <c r="AB84" i="4"/>
  <c r="R81" i="4"/>
  <c r="U81" i="4"/>
  <c r="N81" i="4"/>
  <c r="AC81" i="4"/>
  <c r="AG81" i="4"/>
  <c r="AE81" i="4"/>
  <c r="AF81" i="4"/>
  <c r="AA81" i="4"/>
  <c r="H82" i="4"/>
  <c r="J82" i="4"/>
  <c r="L82" i="4"/>
  <c r="K82" i="4"/>
  <c r="V82" i="4"/>
  <c r="B82" i="4"/>
  <c r="I82" i="4"/>
  <c r="T82" i="4"/>
  <c r="O85" i="4"/>
  <c r="P85" i="4"/>
  <c r="X82" i="4"/>
  <c r="W82" i="4"/>
  <c r="Y82" i="4"/>
  <c r="M82" i="4"/>
  <c r="AI82" i="4"/>
  <c r="Z82" i="4"/>
  <c r="Q82" i="4"/>
  <c r="N82" i="4"/>
  <c r="U82" i="4"/>
  <c r="R82" i="4"/>
  <c r="AC82" i="4"/>
  <c r="AG82" i="4"/>
  <c r="AD85" i="4"/>
  <c r="AB85" i="4"/>
  <c r="AA82" i="4"/>
  <c r="H83" i="4"/>
  <c r="J83" i="4"/>
  <c r="L83" i="4"/>
  <c r="AE82" i="4"/>
  <c r="AF82" i="4"/>
  <c r="I83" i="4"/>
  <c r="K83" i="4"/>
  <c r="V83" i="4"/>
  <c r="X83" i="4"/>
  <c r="B83" i="4"/>
  <c r="T83" i="4"/>
  <c r="W83" i="4"/>
  <c r="Y83" i="4"/>
  <c r="M83" i="4"/>
  <c r="Z83" i="4"/>
  <c r="Q83" i="4"/>
  <c r="AC83" i="4"/>
  <c r="AG83" i="4"/>
  <c r="AI83" i="4"/>
  <c r="P86" i="4"/>
  <c r="U83" i="4"/>
  <c r="R83" i="4"/>
  <c r="N83" i="4"/>
  <c r="AA83" i="4"/>
  <c r="H84" i="4"/>
  <c r="T84" i="4"/>
  <c r="AE83" i="4"/>
  <c r="AF83" i="4"/>
  <c r="O86" i="4"/>
  <c r="AD86" i="4"/>
  <c r="AB86" i="4"/>
  <c r="B84" i="4"/>
  <c r="K84" i="4"/>
  <c r="V84" i="4"/>
  <c r="X84" i="4"/>
  <c r="J84" i="4"/>
  <c r="L84" i="4"/>
  <c r="M84" i="4"/>
  <c r="I84" i="4"/>
  <c r="W84" i="4"/>
  <c r="Y84" i="4"/>
  <c r="AI84" i="4"/>
  <c r="Z84" i="4"/>
  <c r="Q84" i="4"/>
  <c r="AC84" i="4"/>
  <c r="AG84" i="4"/>
  <c r="P87" i="4"/>
  <c r="O87" i="4"/>
  <c r="R84" i="4"/>
  <c r="U84" i="4"/>
  <c r="N84" i="4"/>
  <c r="AA84" i="4"/>
  <c r="H85" i="4"/>
  <c r="T85" i="4"/>
  <c r="AE84" i="4"/>
  <c r="AF84" i="4"/>
  <c r="K85" i="4"/>
  <c r="V85" i="4"/>
  <c r="X85" i="4"/>
  <c r="J85" i="4"/>
  <c r="L85" i="4"/>
  <c r="I85" i="4"/>
  <c r="B85" i="4"/>
  <c r="AB87" i="4"/>
  <c r="AD87" i="4"/>
  <c r="M85" i="4"/>
  <c r="W85" i="4"/>
  <c r="Y85" i="4"/>
  <c r="AI85" i="4"/>
  <c r="Z85" i="4"/>
  <c r="Q85" i="4"/>
  <c r="U85" i="4"/>
  <c r="R85" i="4"/>
  <c r="N85" i="4"/>
  <c r="AC85" i="4"/>
  <c r="AG85" i="4"/>
  <c r="O88" i="4"/>
  <c r="P88" i="4"/>
  <c r="AA85" i="4"/>
  <c r="H86" i="4"/>
  <c r="B86" i="4"/>
  <c r="AE85" i="4"/>
  <c r="AF85" i="4"/>
  <c r="I86" i="4"/>
  <c r="K86" i="4"/>
  <c r="V86" i="4"/>
  <c r="X86" i="4"/>
  <c r="J86" i="4"/>
  <c r="L86" i="4"/>
  <c r="T86" i="4"/>
  <c r="W86" i="4"/>
  <c r="Y86" i="4"/>
  <c r="AI86" i="4"/>
  <c r="M86" i="4"/>
  <c r="AD88" i="4"/>
  <c r="AB88" i="4"/>
  <c r="Z86" i="4"/>
  <c r="Q86" i="4"/>
  <c r="AC86" i="4"/>
  <c r="AG86" i="4"/>
  <c r="U86" i="4"/>
  <c r="N86" i="4"/>
  <c r="R86" i="4"/>
  <c r="AA86" i="4"/>
  <c r="H87" i="4"/>
  <c r="J87" i="4"/>
  <c r="L87" i="4"/>
  <c r="K87" i="4"/>
  <c r="V87" i="4"/>
  <c r="X87" i="4"/>
  <c r="I87" i="4"/>
  <c r="T87" i="4"/>
  <c r="B87" i="4"/>
  <c r="AE86" i="4"/>
  <c r="AF86" i="4"/>
  <c r="W87" i="4"/>
  <c r="P89" i="4"/>
  <c r="O89" i="4"/>
  <c r="M87" i="4"/>
  <c r="Y87" i="4"/>
  <c r="AI87" i="4"/>
  <c r="Z87" i="4"/>
  <c r="Q87" i="4"/>
  <c r="AC87" i="4"/>
  <c r="AG87" i="4"/>
  <c r="N87" i="4"/>
  <c r="U87" i="4"/>
  <c r="R87" i="4"/>
  <c r="AB89" i="4"/>
  <c r="AD89" i="4"/>
  <c r="AA87" i="4"/>
  <c r="H88" i="4"/>
  <c r="I88" i="4"/>
  <c r="AE87" i="4"/>
  <c r="AF87" i="4"/>
  <c r="B88" i="4"/>
  <c r="T88" i="4"/>
  <c r="J88" i="4"/>
  <c r="L88" i="4"/>
  <c r="W88" i="4"/>
  <c r="Y88" i="4"/>
  <c r="K88" i="4"/>
  <c r="V88" i="4"/>
  <c r="X88" i="4"/>
  <c r="Z88" i="4"/>
  <c r="Q88" i="4"/>
  <c r="AC88" i="4"/>
  <c r="AG88" i="4"/>
  <c r="M88" i="4"/>
  <c r="AI88" i="4"/>
  <c r="P90" i="4"/>
  <c r="O90" i="4"/>
  <c r="R88" i="4"/>
  <c r="U88" i="4"/>
  <c r="AE88" i="4"/>
  <c r="AF88" i="4"/>
  <c r="N88" i="4"/>
  <c r="AA88" i="4"/>
  <c r="H89" i="4"/>
  <c r="B89" i="4"/>
  <c r="T89" i="4"/>
  <c r="J89" i="4"/>
  <c r="L89" i="4"/>
  <c r="W89" i="4"/>
  <c r="Y89" i="4"/>
  <c r="K89" i="4"/>
  <c r="AI89" i="4"/>
  <c r="V89" i="4"/>
  <c r="X89" i="4"/>
  <c r="I89" i="4"/>
  <c r="AB90" i="4"/>
  <c r="AD90" i="4"/>
  <c r="Z89" i="4"/>
  <c r="M89" i="4"/>
  <c r="Q89" i="4"/>
  <c r="N89" i="4"/>
  <c r="U89" i="4"/>
  <c r="AC89" i="4"/>
  <c r="AG89" i="4"/>
  <c r="R89" i="4"/>
  <c r="P91" i="4"/>
  <c r="O91" i="4"/>
  <c r="AE89" i="4"/>
  <c r="AF89" i="4"/>
  <c r="AA89" i="4"/>
  <c r="H90" i="4"/>
  <c r="I90" i="4"/>
  <c r="J90" i="4"/>
  <c r="L90" i="4"/>
  <c r="W90" i="4"/>
  <c r="Y90" i="4"/>
  <c r="K90" i="4"/>
  <c r="AI90" i="4"/>
  <c r="V90" i="4"/>
  <c r="X90" i="4"/>
  <c r="B90" i="4"/>
  <c r="T90" i="4"/>
  <c r="M90" i="4"/>
  <c r="Z90" i="4"/>
  <c r="Q90" i="4"/>
  <c r="AC90" i="4"/>
  <c r="AG90" i="4"/>
  <c r="AD91" i="4"/>
  <c r="AB91" i="4"/>
  <c r="R90" i="4"/>
  <c r="U90" i="4"/>
  <c r="N90" i="4"/>
  <c r="AA90" i="4"/>
  <c r="H91" i="4"/>
  <c r="B91" i="4"/>
  <c r="AE90" i="4"/>
  <c r="AF90" i="4"/>
  <c r="P92" i="4"/>
  <c r="O92" i="4"/>
  <c r="I91" i="4"/>
  <c r="J91" i="4"/>
  <c r="L91" i="4"/>
  <c r="K91" i="4"/>
  <c r="V91" i="4"/>
  <c r="X91" i="4"/>
  <c r="T91" i="4"/>
  <c r="M91" i="4"/>
  <c r="W91" i="4"/>
  <c r="Y91" i="4"/>
  <c r="AI91" i="4"/>
  <c r="Z91" i="4"/>
  <c r="Q91" i="4"/>
  <c r="R91" i="4"/>
  <c r="AB92" i="4"/>
  <c r="AD92" i="4"/>
  <c r="N91" i="4"/>
  <c r="U91" i="4"/>
  <c r="AE91" i="4"/>
  <c r="AF91" i="4"/>
  <c r="AC91" i="4"/>
  <c r="AG91" i="4"/>
  <c r="AA91" i="4"/>
  <c r="H92" i="4"/>
  <c r="K92" i="4"/>
  <c r="V92" i="4"/>
  <c r="X92" i="4"/>
  <c r="J92" i="4"/>
  <c r="L92" i="4"/>
  <c r="M92" i="4"/>
  <c r="I92" i="4"/>
  <c r="T92" i="4"/>
  <c r="B92" i="4"/>
  <c r="W92" i="4"/>
  <c r="Y92" i="4"/>
  <c r="AI92" i="4"/>
  <c r="O93" i="4"/>
  <c r="P93" i="4"/>
  <c r="Z92" i="4"/>
  <c r="Q92" i="4"/>
  <c r="AC92" i="4"/>
  <c r="AG92" i="4"/>
  <c r="U92" i="4"/>
  <c r="N92" i="4"/>
  <c r="R92" i="4"/>
  <c r="AE92" i="4"/>
  <c r="AF92" i="4"/>
  <c r="AA92" i="4"/>
  <c r="H93" i="4"/>
  <c r="AB93" i="4"/>
  <c r="AD93" i="4"/>
  <c r="T93" i="4"/>
  <c r="I93" i="4"/>
  <c r="B93" i="4"/>
  <c r="J93" i="4"/>
  <c r="L93" i="4"/>
  <c r="K93" i="4"/>
  <c r="V93" i="4"/>
  <c r="X93" i="4"/>
  <c r="M93" i="4"/>
  <c r="W93" i="4"/>
  <c r="Y93" i="4"/>
  <c r="AI93" i="4"/>
  <c r="Z93" i="4"/>
  <c r="Q93" i="4"/>
  <c r="N93" i="4"/>
  <c r="R93" i="4"/>
  <c r="U93" i="4"/>
  <c r="AC93" i="4"/>
  <c r="AG93" i="4"/>
  <c r="AA93" i="4"/>
  <c r="H94" i="4"/>
  <c r="K94" i="4"/>
  <c r="V94" i="4"/>
  <c r="AE93" i="4"/>
  <c r="AF93" i="4"/>
  <c r="O94" i="4"/>
  <c r="P94" i="4"/>
  <c r="T94" i="4"/>
  <c r="B94" i="4"/>
  <c r="J94" i="4"/>
  <c r="L94" i="4"/>
  <c r="M94" i="4"/>
  <c r="I94" i="4"/>
  <c r="X94" i="4"/>
  <c r="W94" i="4"/>
  <c r="Y94" i="4"/>
  <c r="AI94" i="4"/>
  <c r="Z94" i="4"/>
  <c r="AD94" i="4"/>
  <c r="AB94" i="4"/>
  <c r="Q94" i="4"/>
  <c r="U94" i="4"/>
  <c r="N94" i="4"/>
  <c r="AC94" i="4"/>
  <c r="AG94" i="4"/>
  <c r="R94" i="4"/>
  <c r="AA94" i="4"/>
  <c r="H95" i="4"/>
  <c r="J95" i="4"/>
  <c r="L95" i="4"/>
  <c r="AE94" i="4"/>
  <c r="AF94" i="4"/>
  <c r="K95" i="4"/>
  <c r="V95" i="4"/>
  <c r="T95" i="4"/>
  <c r="I95" i="4"/>
  <c r="B95" i="4"/>
  <c r="O95" i="4"/>
  <c r="P95" i="4"/>
  <c r="W95" i="4"/>
  <c r="Y95" i="4"/>
  <c r="M95" i="4"/>
  <c r="AI95" i="4"/>
  <c r="X95" i="4"/>
  <c r="Z95" i="4"/>
  <c r="Q95" i="4"/>
  <c r="AC95" i="4"/>
  <c r="AG95" i="4"/>
  <c r="U95" i="4"/>
  <c r="R95" i="4"/>
  <c r="N95" i="4"/>
  <c r="AE95" i="4"/>
  <c r="AF95" i="4"/>
  <c r="AB95" i="4"/>
  <c r="AD95" i="4"/>
  <c r="AA95" i="4"/>
  <c r="H96" i="4"/>
  <c r="J96" i="4"/>
  <c r="L96" i="4"/>
  <c r="W96" i="4"/>
  <c r="Y96" i="4"/>
  <c r="T96" i="4"/>
  <c r="K96" i="4"/>
  <c r="B96" i="4"/>
  <c r="I96" i="4"/>
  <c r="M96" i="4"/>
  <c r="P96" i="4"/>
  <c r="O96" i="4"/>
  <c r="V96" i="4"/>
  <c r="AI96" i="4"/>
  <c r="Z96" i="4"/>
  <c r="Q96" i="4"/>
  <c r="X96" i="4"/>
  <c r="AC96" i="4"/>
  <c r="AG96" i="4"/>
  <c r="U96" i="4"/>
  <c r="N96" i="4"/>
  <c r="R96" i="4"/>
  <c r="AA96" i="4"/>
  <c r="AB96" i="4"/>
  <c r="AD96" i="4"/>
  <c r="AE96" i="4"/>
  <c r="AF96" i="4"/>
  <c r="H97" i="4"/>
  <c r="J97" i="4"/>
  <c r="L97" i="4"/>
  <c r="W97" i="4"/>
  <c r="Y97" i="4"/>
  <c r="I97" i="4"/>
  <c r="T97" i="4"/>
  <c r="K97" i="4"/>
  <c r="AI97" i="4"/>
  <c r="B97" i="4"/>
  <c r="O97" i="4"/>
  <c r="P97" i="4"/>
  <c r="V97" i="4"/>
  <c r="X97" i="4"/>
  <c r="M97" i="4"/>
  <c r="Z97" i="4"/>
  <c r="Q97" i="4"/>
  <c r="R97" i="4"/>
  <c r="N97" i="4"/>
  <c r="U97" i="4"/>
  <c r="AC97" i="4"/>
  <c r="AG97" i="4"/>
  <c r="AA97" i="4"/>
  <c r="AD97" i="4"/>
  <c r="AB97" i="4"/>
  <c r="AE97" i="4"/>
  <c r="AF97" i="4"/>
  <c r="H98" i="4"/>
  <c r="B98" i="4"/>
  <c r="T98" i="4"/>
  <c r="J98" i="4"/>
  <c r="L98" i="4"/>
  <c r="W98" i="4"/>
  <c r="Y98" i="4"/>
  <c r="I98" i="4"/>
  <c r="K98" i="4"/>
  <c r="V98" i="4"/>
  <c r="O98" i="4"/>
  <c r="P98" i="4"/>
  <c r="M98" i="4"/>
  <c r="AI98" i="4"/>
  <c r="X98" i="4"/>
  <c r="Z98" i="4"/>
  <c r="Q98" i="4"/>
  <c r="AC98" i="4"/>
  <c r="AG98" i="4"/>
  <c r="R98" i="4"/>
  <c r="N98" i="4"/>
  <c r="U98" i="4"/>
  <c r="AE98" i="4"/>
  <c r="AF98" i="4"/>
  <c r="AD98" i="4"/>
  <c r="AB98" i="4"/>
  <c r="AA98" i="4"/>
  <c r="H99" i="4"/>
  <c r="F36" i="1"/>
  <c r="H36" i="1"/>
  <c r="L36" i="1"/>
  <c r="K99" i="4"/>
  <c r="V99" i="4"/>
  <c r="T99" i="4"/>
  <c r="I99" i="4"/>
  <c r="B99" i="4"/>
  <c r="J99" i="4"/>
  <c r="L99" i="4"/>
  <c r="W99" i="4"/>
  <c r="Y99" i="4"/>
  <c r="AI99" i="4"/>
  <c r="M99" i="4"/>
  <c r="X99" i="4"/>
  <c r="Z99" i="4"/>
  <c r="Q99" i="4"/>
  <c r="AC99" i="4"/>
  <c r="AG99" i="4"/>
  <c r="U99" i="4"/>
  <c r="N99" i="4"/>
  <c r="R99" i="4"/>
  <c r="AE99" i="4"/>
  <c r="AF99" i="4"/>
  <c r="AA99" i="4"/>
  <c r="H100" i="4"/>
  <c r="I100" i="4"/>
  <c r="J100" i="4"/>
  <c r="L100" i="4"/>
  <c r="K100" i="4"/>
  <c r="V100" i="4"/>
  <c r="B100" i="4"/>
  <c r="T100" i="4"/>
  <c r="X100" i="4"/>
  <c r="W100" i="4"/>
  <c r="Y100" i="4"/>
  <c r="M100" i="4"/>
  <c r="AI100" i="4"/>
  <c r="Z100" i="4"/>
  <c r="Q100" i="4"/>
  <c r="AC100" i="4"/>
  <c r="AG100" i="4"/>
  <c r="N100" i="4"/>
  <c r="U100" i="4"/>
  <c r="R100" i="4"/>
  <c r="AA100" i="4"/>
  <c r="H101" i="4"/>
  <c r="AE100" i="4"/>
  <c r="AF100" i="4"/>
  <c r="T101" i="4"/>
  <c r="K101" i="4"/>
  <c r="V101" i="4"/>
  <c r="J101" i="4"/>
  <c r="L101" i="4"/>
  <c r="B101" i="4"/>
  <c r="I101" i="4"/>
  <c r="W101" i="4"/>
  <c r="Y101" i="4"/>
  <c r="AI101" i="4"/>
  <c r="M101" i="4"/>
  <c r="X101" i="4"/>
  <c r="Z101" i="4"/>
  <c r="Q101" i="4"/>
  <c r="R101" i="4"/>
  <c r="N101" i="4"/>
  <c r="U101" i="4"/>
  <c r="AC101" i="4"/>
  <c r="AG101" i="4"/>
  <c r="AE101" i="4"/>
  <c r="AF101" i="4"/>
  <c r="AA101" i="4"/>
  <c r="H102" i="4"/>
  <c r="I102" i="4"/>
  <c r="T102" i="4"/>
  <c r="J102" i="4"/>
  <c r="L102" i="4"/>
  <c r="W102" i="4"/>
  <c r="Y102" i="4"/>
  <c r="K102" i="4"/>
  <c r="V102" i="4"/>
  <c r="X102" i="4"/>
  <c r="B102" i="4"/>
  <c r="AI102" i="4"/>
  <c r="M102" i="4"/>
  <c r="Z102" i="4"/>
  <c r="Q102" i="4"/>
  <c r="N102" i="4"/>
  <c r="U102" i="4"/>
  <c r="R102" i="4"/>
  <c r="AC102" i="4"/>
  <c r="AG102" i="4"/>
  <c r="AA102" i="4"/>
  <c r="H103" i="4"/>
  <c r="B103" i="4"/>
  <c r="AE102" i="4"/>
  <c r="AF102" i="4"/>
  <c r="K103" i="4"/>
  <c r="V103" i="4"/>
  <c r="X103" i="4"/>
  <c r="T103" i="4"/>
  <c r="I103" i="4"/>
  <c r="J103" i="4"/>
  <c r="L103" i="4"/>
  <c r="W103" i="4"/>
  <c r="Y103" i="4"/>
  <c r="M103" i="4"/>
  <c r="AI103" i="4"/>
  <c r="Z103" i="4"/>
  <c r="Q103" i="4"/>
  <c r="AC103" i="4"/>
  <c r="AG103" i="4"/>
  <c r="U103" i="4"/>
  <c r="R103" i="4"/>
  <c r="N103" i="4"/>
  <c r="AA103" i="4"/>
  <c r="H104" i="4"/>
  <c r="K104" i="4"/>
  <c r="AE103" i="4"/>
  <c r="AF103" i="4"/>
  <c r="T104" i="4"/>
  <c r="B104" i="4"/>
  <c r="J104" i="4"/>
  <c r="L104" i="4"/>
  <c r="W104" i="4"/>
  <c r="Y104" i="4"/>
  <c r="AI104" i="4"/>
  <c r="I104" i="4"/>
  <c r="V104" i="4"/>
  <c r="M104" i="4"/>
  <c r="X104" i="4"/>
  <c r="Z104" i="4"/>
  <c r="Q104" i="4"/>
  <c r="AC104" i="4"/>
  <c r="AG104" i="4"/>
  <c r="R104" i="4"/>
  <c r="N104" i="4"/>
  <c r="U104" i="4"/>
  <c r="AA104" i="4"/>
  <c r="H105" i="4"/>
  <c r="AE104" i="4"/>
  <c r="AF104" i="4"/>
  <c r="J105" i="4"/>
  <c r="L105" i="4"/>
  <c r="T105" i="4"/>
  <c r="K105" i="4"/>
  <c r="V105" i="4"/>
  <c r="I105" i="4"/>
  <c r="B105" i="4"/>
  <c r="X105" i="4"/>
  <c r="W105" i="4"/>
  <c r="Y105" i="4"/>
  <c r="AI105" i="4"/>
  <c r="M105" i="4"/>
  <c r="Z105" i="4"/>
  <c r="Q105" i="4"/>
  <c r="AC105" i="4"/>
  <c r="AG105" i="4"/>
  <c r="N105" i="4"/>
  <c r="U105" i="4"/>
  <c r="R105" i="4"/>
  <c r="AA105" i="4"/>
  <c r="H106" i="4"/>
  <c r="K106" i="4"/>
  <c r="V106" i="4"/>
  <c r="AE105" i="4"/>
  <c r="AF105" i="4"/>
  <c r="T106" i="4"/>
  <c r="J106" i="4"/>
  <c r="L106" i="4"/>
  <c r="M106" i="4"/>
  <c r="B106" i="4"/>
  <c r="I106" i="4"/>
  <c r="X106" i="4"/>
  <c r="W106" i="4"/>
  <c r="Y106" i="4"/>
  <c r="AI106" i="4"/>
  <c r="Z106" i="4"/>
  <c r="Q106" i="4"/>
  <c r="AC106" i="4"/>
  <c r="AG106" i="4"/>
  <c r="R106" i="4"/>
  <c r="U106" i="4"/>
  <c r="N106" i="4"/>
  <c r="AE106" i="4"/>
  <c r="AF106" i="4"/>
  <c r="AA106" i="4"/>
  <c r="H107" i="4"/>
  <c r="I107" i="4"/>
  <c r="K107" i="4"/>
  <c r="V107" i="4"/>
  <c r="X107" i="4"/>
  <c r="B107" i="4"/>
  <c r="J107" i="4"/>
  <c r="L107" i="4"/>
  <c r="M107" i="4"/>
  <c r="T107" i="4"/>
  <c r="W107" i="4"/>
  <c r="Y107" i="4"/>
  <c r="AI107" i="4"/>
  <c r="Z107" i="4"/>
  <c r="Q107" i="4"/>
  <c r="AC107" i="4"/>
  <c r="AG107" i="4"/>
  <c r="N107" i="4"/>
  <c r="U107" i="4"/>
  <c r="R107" i="4"/>
  <c r="AA107" i="4"/>
  <c r="H108" i="4"/>
  <c r="J108" i="4"/>
  <c r="L108" i="4"/>
  <c r="W108" i="4"/>
  <c r="Y108" i="4"/>
  <c r="AE107" i="4"/>
  <c r="AF107" i="4"/>
  <c r="T108" i="4"/>
  <c r="K108" i="4"/>
  <c r="V108" i="4"/>
  <c r="X108" i="4"/>
  <c r="B108" i="4"/>
  <c r="I108" i="4"/>
  <c r="AI108" i="4"/>
  <c r="M108" i="4"/>
  <c r="Z108" i="4"/>
  <c r="Q108" i="4"/>
  <c r="AC108" i="4"/>
  <c r="AG108" i="4"/>
  <c r="N108" i="4"/>
  <c r="U108" i="4"/>
  <c r="R108" i="4"/>
  <c r="AA108" i="4"/>
  <c r="H109" i="4"/>
  <c r="I109" i="4"/>
  <c r="AE108" i="4"/>
  <c r="AF108" i="4"/>
  <c r="T109" i="4"/>
  <c r="K109" i="4"/>
  <c r="V109" i="4"/>
  <c r="X109" i="4"/>
  <c r="B109" i="4"/>
  <c r="J109" i="4"/>
  <c r="L109" i="4"/>
  <c r="W109" i="4"/>
  <c r="Y109" i="4"/>
  <c r="AI109" i="4"/>
  <c r="M109" i="4"/>
  <c r="Z109" i="4"/>
  <c r="Q109" i="4"/>
  <c r="AC109" i="4"/>
  <c r="AG109" i="4"/>
  <c r="N109" i="4"/>
  <c r="R109" i="4"/>
  <c r="U109" i="4"/>
  <c r="AE109" i="4"/>
  <c r="AF109" i="4"/>
  <c r="AA109" i="4"/>
  <c r="H110" i="4"/>
  <c r="I110" i="4"/>
  <c r="K110" i="4"/>
  <c r="V110" i="4"/>
  <c r="X110" i="4"/>
  <c r="T110" i="4"/>
  <c r="J110" i="4"/>
  <c r="L110" i="4"/>
  <c r="W110" i="4"/>
  <c r="Y110" i="4"/>
  <c r="B110" i="4"/>
  <c r="AI110" i="4"/>
  <c r="M110" i="4"/>
  <c r="Z110" i="4"/>
  <c r="Q110" i="4"/>
  <c r="AC110" i="4"/>
  <c r="AG110" i="4"/>
  <c r="U110" i="4"/>
  <c r="N110" i="4"/>
  <c r="R110" i="4"/>
  <c r="AA110" i="4"/>
  <c r="H111" i="4"/>
  <c r="I111" i="4"/>
  <c r="AE110" i="4"/>
  <c r="AF110" i="4"/>
  <c r="J111" i="4"/>
  <c r="L111" i="4"/>
  <c r="W111" i="4"/>
  <c r="Y111" i="4"/>
  <c r="B111" i="4"/>
  <c r="T111" i="4"/>
  <c r="K111" i="4"/>
  <c r="V111" i="4"/>
  <c r="X111" i="4"/>
  <c r="AI111" i="4"/>
  <c r="M111" i="4"/>
  <c r="Z111" i="4"/>
  <c r="Q111" i="4"/>
  <c r="AC111" i="4"/>
  <c r="AG111" i="4"/>
  <c r="U111" i="4"/>
  <c r="R111" i="4"/>
  <c r="N111" i="4"/>
  <c r="AA111" i="4"/>
  <c r="H112" i="4"/>
  <c r="B112" i="4"/>
  <c r="AE111" i="4"/>
  <c r="AF111" i="4"/>
  <c r="J112" i="4"/>
  <c r="L112" i="4"/>
  <c r="T112" i="4"/>
  <c r="I112" i="4"/>
  <c r="K112" i="4"/>
  <c r="V112" i="4"/>
  <c r="X112" i="4"/>
  <c r="M112" i="4"/>
  <c r="W112" i="4"/>
  <c r="Y112" i="4"/>
  <c r="AI112" i="4"/>
  <c r="Z112" i="4"/>
  <c r="Q112" i="4"/>
  <c r="AC112" i="4"/>
  <c r="AG112" i="4"/>
  <c r="R112" i="4"/>
  <c r="U112" i="4"/>
  <c r="N112" i="4"/>
  <c r="AA112" i="4"/>
  <c r="H113" i="4"/>
  <c r="I113" i="4"/>
  <c r="AE112" i="4"/>
  <c r="AF112" i="4"/>
  <c r="T113" i="4"/>
  <c r="K113" i="4"/>
  <c r="V113" i="4"/>
  <c r="X113" i="4"/>
  <c r="B113" i="4"/>
  <c r="J113" i="4"/>
  <c r="L113" i="4"/>
  <c r="W113" i="4"/>
  <c r="Y113" i="4"/>
  <c r="AI113" i="4"/>
  <c r="M113" i="4"/>
  <c r="Z113" i="4"/>
  <c r="Q113" i="4"/>
  <c r="R113" i="4"/>
  <c r="N113" i="4"/>
  <c r="U113" i="4"/>
  <c r="AE113" i="4"/>
  <c r="AF113" i="4"/>
  <c r="AC113" i="4"/>
  <c r="AG113" i="4"/>
  <c r="AA113" i="4"/>
  <c r="H114" i="4"/>
  <c r="B114" i="4"/>
  <c r="K114" i="4"/>
  <c r="V114" i="4"/>
  <c r="X114" i="4"/>
  <c r="J114" i="4"/>
  <c r="L114" i="4"/>
  <c r="W114" i="4"/>
  <c r="Y114" i="4"/>
  <c r="T114" i="4"/>
  <c r="I114" i="4"/>
  <c r="M114" i="4"/>
  <c r="AI114" i="4"/>
  <c r="Z114" i="4"/>
  <c r="Q114" i="4"/>
  <c r="AC114" i="4"/>
  <c r="AG114" i="4"/>
  <c r="R114" i="4"/>
  <c r="N114" i="4"/>
  <c r="U114" i="4"/>
  <c r="AA114" i="4"/>
  <c r="H115" i="4"/>
  <c r="K115" i="4"/>
  <c r="V115" i="4"/>
  <c r="X115" i="4"/>
  <c r="AE114" i="4"/>
  <c r="AF114" i="4"/>
  <c r="T115" i="4"/>
  <c r="J115" i="4"/>
  <c r="L115" i="4"/>
  <c r="M115" i="4"/>
  <c r="B115" i="4"/>
  <c r="I115" i="4"/>
  <c r="W115" i="4"/>
  <c r="Y115" i="4"/>
  <c r="AI115" i="4"/>
  <c r="Z115" i="4"/>
  <c r="Q115" i="4"/>
  <c r="R115" i="4"/>
  <c r="AC115" i="4"/>
  <c r="AG115" i="4"/>
  <c r="N115" i="4"/>
  <c r="U115" i="4"/>
  <c r="AE115" i="4"/>
  <c r="AF115" i="4"/>
  <c r="AA115" i="4"/>
  <c r="H116" i="4"/>
  <c r="J116" i="4"/>
  <c r="L116" i="4"/>
  <c r="W116" i="4"/>
  <c r="Y116" i="4"/>
  <c r="K116" i="4"/>
  <c r="V116" i="4"/>
  <c r="I116" i="4"/>
  <c r="B116" i="4"/>
  <c r="T116" i="4"/>
  <c r="M116" i="4"/>
  <c r="AI116" i="4"/>
  <c r="X116" i="4"/>
  <c r="Z116" i="4"/>
  <c r="Q116" i="4"/>
  <c r="AC116" i="4"/>
  <c r="AG116" i="4"/>
  <c r="R116" i="4"/>
  <c r="N116" i="4"/>
  <c r="U116" i="4"/>
  <c r="AA116" i="4"/>
  <c r="H117" i="4"/>
  <c r="J117" i="4"/>
  <c r="L117" i="4"/>
  <c r="AE116" i="4"/>
  <c r="AF116" i="4"/>
  <c r="K117" i="4"/>
  <c r="V117" i="4"/>
  <c r="X117" i="4"/>
  <c r="B117" i="4"/>
  <c r="T117" i="4"/>
  <c r="I117" i="4"/>
  <c r="W117" i="4"/>
  <c r="M117" i="4"/>
  <c r="Y117" i="4"/>
  <c r="AI117" i="4"/>
  <c r="Z117" i="4"/>
  <c r="Q117" i="4"/>
  <c r="R117" i="4"/>
  <c r="AC117" i="4"/>
  <c r="AG117" i="4"/>
  <c r="N117" i="4"/>
  <c r="U117" i="4"/>
  <c r="AA117" i="4"/>
  <c r="H118" i="4"/>
  <c r="J118" i="4"/>
  <c r="L118" i="4"/>
  <c r="AE117" i="4"/>
  <c r="AF117" i="4"/>
  <c r="B118" i="4"/>
  <c r="K118" i="4"/>
  <c r="V118" i="4"/>
  <c r="X118" i="4"/>
  <c r="I118" i="4"/>
  <c r="T118" i="4"/>
  <c r="W118" i="4"/>
  <c r="M118" i="4"/>
  <c r="Y118" i="4"/>
  <c r="Z118" i="4"/>
  <c r="AI118" i="4"/>
  <c r="Q118" i="4"/>
  <c r="AC118" i="4"/>
  <c r="AG118" i="4"/>
  <c r="U118" i="4"/>
  <c r="N118" i="4"/>
  <c r="R118" i="4"/>
  <c r="AA118" i="4"/>
  <c r="H119" i="4"/>
  <c r="T119" i="4"/>
  <c r="AE118" i="4"/>
  <c r="AF118" i="4"/>
  <c r="G94" i="5"/>
  <c r="K49" i="5"/>
  <c r="H121" i="4"/>
  <c r="I121" i="4"/>
  <c r="J119" i="4"/>
  <c r="L119" i="4"/>
  <c r="G36" i="5"/>
  <c r="B119" i="4"/>
  <c r="B120" i="4"/>
  <c r="K119" i="4"/>
  <c r="V119" i="4"/>
  <c r="H33" i="1"/>
  <c r="L33" i="1"/>
  <c r="I119" i="4"/>
  <c r="I120" i="4"/>
  <c r="K44" i="5"/>
  <c r="E94" i="5"/>
  <c r="J33" i="1"/>
  <c r="G109" i="5"/>
  <c r="T121" i="4"/>
  <c r="U121" i="4"/>
  <c r="W119" i="4"/>
  <c r="Y119" i="4"/>
  <c r="AI119" i="4"/>
  <c r="J121" i="4"/>
  <c r="L121" i="4"/>
  <c r="G42" i="5"/>
  <c r="K121" i="4"/>
  <c r="V121" i="4"/>
  <c r="F33" i="1"/>
  <c r="I94" i="5"/>
  <c r="B121" i="4"/>
  <c r="B122" i="4"/>
  <c r="G90" i="5"/>
  <c r="I90" i="5"/>
  <c r="M119" i="4"/>
  <c r="G44" i="5"/>
  <c r="L44" i="5"/>
  <c r="K41" i="5"/>
  <c r="K36" i="5"/>
  <c r="L36" i="5"/>
  <c r="X119" i="4"/>
  <c r="Z119" i="4"/>
  <c r="Q119" i="4"/>
  <c r="G52" i="5"/>
  <c r="W121" i="4"/>
  <c r="Z121" i="4"/>
  <c r="M121" i="4"/>
  <c r="G58" i="5"/>
  <c r="G50" i="5"/>
  <c r="K58" i="5"/>
  <c r="K52" i="5"/>
  <c r="E90" i="5"/>
  <c r="R119" i="4"/>
  <c r="G60" i="5"/>
  <c r="U119" i="4"/>
  <c r="N119" i="4"/>
  <c r="AC119" i="4"/>
  <c r="AG119" i="4"/>
  <c r="G103" i="5"/>
  <c r="I103" i="5"/>
  <c r="R121" i="4"/>
  <c r="G66" i="5"/>
  <c r="G81" i="5"/>
  <c r="D5" i="7"/>
  <c r="K66" i="5"/>
  <c r="L58" i="5"/>
  <c r="K60" i="5"/>
  <c r="L52" i="5"/>
  <c r="F37" i="1"/>
  <c r="F38" i="1"/>
  <c r="H38" i="1"/>
  <c r="AE119" i="4"/>
  <c r="AF119" i="4"/>
  <c r="E103" i="5"/>
  <c r="AA119" i="4"/>
  <c r="AA121" i="4"/>
  <c r="H123" i="4"/>
  <c r="I123" i="4"/>
  <c r="I81" i="5"/>
  <c r="G91" i="5"/>
  <c r="D7" i="7"/>
  <c r="E7" i="7"/>
  <c r="F7" i="7"/>
  <c r="F8" i="7"/>
  <c r="E81" i="5"/>
  <c r="L66" i="5"/>
  <c r="J37" i="1"/>
  <c r="H37" i="1"/>
  <c r="L60" i="5"/>
  <c r="D10" i="7"/>
  <c r="G114" i="5"/>
  <c r="G115" i="5"/>
  <c r="E91" i="5"/>
  <c r="G108" i="5"/>
  <c r="K42" i="5"/>
  <c r="L42" i="5"/>
  <c r="G7" i="7"/>
  <c r="H7" i="7"/>
  <c r="K50" i="5"/>
  <c r="L50" i="5"/>
  <c r="I91" i="5"/>
  <c r="D8" i="7"/>
  <c r="D9" i="7"/>
  <c r="K81" i="5"/>
  <c r="L81" i="5"/>
  <c r="E8" i="7"/>
  <c r="G118" i="5"/>
  <c r="G119" i="5"/>
  <c r="K123" i="5"/>
  <c r="K123" i="4"/>
  <c r="V123" i="4"/>
  <c r="J123" i="4"/>
  <c r="L123" i="4"/>
  <c r="W123" i="4"/>
  <c r="B123" i="4"/>
  <c r="T123" i="4"/>
  <c r="G120" i="5"/>
  <c r="G121" i="5"/>
  <c r="I121" i="5"/>
  <c r="D11" i="7"/>
  <c r="D12" i="7"/>
  <c r="D13" i="7"/>
  <c r="D14" i="7"/>
  <c r="D20" i="7"/>
  <c r="E10" i="7"/>
  <c r="E11" i="7"/>
  <c r="G8" i="7"/>
  <c r="Z123" i="4"/>
  <c r="H118" i="5"/>
  <c r="M123" i="4"/>
  <c r="U123" i="4"/>
  <c r="H8" i="7"/>
  <c r="I7" i="7"/>
  <c r="D15" i="7"/>
  <c r="E9" i="7"/>
  <c r="E12" i="7"/>
  <c r="E13" i="7"/>
  <c r="E16" i="7"/>
  <c r="R123" i="4"/>
  <c r="AA123" i="4"/>
  <c r="H124" i="4"/>
  <c r="J124" i="4"/>
  <c r="L124" i="4"/>
  <c r="W124" i="4"/>
  <c r="J7" i="7"/>
  <c r="I8" i="7"/>
  <c r="E14" i="7"/>
  <c r="E15" i="7"/>
  <c r="B124" i="4"/>
  <c r="K124" i="4"/>
  <c r="V124" i="4"/>
  <c r="Z124" i="4"/>
  <c r="T124" i="4"/>
  <c r="I124" i="4"/>
  <c r="J8" i="7"/>
  <c r="K7" i="7"/>
  <c r="E20" i="7"/>
  <c r="F10" i="7"/>
  <c r="F11" i="7"/>
  <c r="M124" i="4"/>
  <c r="R124" i="4"/>
  <c r="K8" i="7"/>
  <c r="L7" i="7"/>
  <c r="E17" i="7"/>
  <c r="F9" i="7"/>
  <c r="F12" i="7"/>
  <c r="F13" i="7"/>
  <c r="F16" i="7"/>
  <c r="U124" i="4"/>
  <c r="AA124" i="4"/>
  <c r="H125" i="4"/>
  <c r="B125" i="4"/>
  <c r="M7" i="7"/>
  <c r="L8" i="7"/>
  <c r="E19" i="7"/>
  <c r="E23" i="7"/>
  <c r="E18" i="7"/>
  <c r="J125" i="4"/>
  <c r="L125" i="4"/>
  <c r="W125" i="4"/>
  <c r="I125" i="4"/>
  <c r="T125" i="4"/>
  <c r="K125" i="4"/>
  <c r="V125" i="4"/>
  <c r="F14" i="7"/>
  <c r="F20" i="7"/>
  <c r="N7" i="7"/>
  <c r="M8" i="7"/>
  <c r="M125" i="4"/>
  <c r="U125" i="4"/>
  <c r="Z125" i="4"/>
  <c r="F15" i="7"/>
  <c r="F17" i="7"/>
  <c r="N8" i="7"/>
  <c r="O7" i="7"/>
  <c r="G10" i="7"/>
  <c r="G11" i="7"/>
  <c r="G9" i="7"/>
  <c r="R125" i="4"/>
  <c r="AA125" i="4"/>
  <c r="H126" i="4"/>
  <c r="J126" i="4"/>
  <c r="L126" i="4"/>
  <c r="W126" i="4"/>
  <c r="G12" i="7"/>
  <c r="G13" i="7"/>
  <c r="G14" i="7"/>
  <c r="F23" i="7"/>
  <c r="F18" i="7"/>
  <c r="F19" i="7"/>
  <c r="P7" i="7"/>
  <c r="O8" i="7"/>
  <c r="B126" i="4"/>
  <c r="I126" i="4"/>
  <c r="K126" i="4"/>
  <c r="V126" i="4"/>
  <c r="Z126" i="4"/>
  <c r="T126" i="4"/>
  <c r="G16" i="7"/>
  <c r="Q7" i="7"/>
  <c r="P8" i="7"/>
  <c r="G15" i="7"/>
  <c r="G20" i="7"/>
  <c r="M126" i="4"/>
  <c r="U126" i="4"/>
  <c r="G17" i="7"/>
  <c r="H10" i="7"/>
  <c r="H11" i="7"/>
  <c r="H9" i="7"/>
  <c r="R7" i="7"/>
  <c r="Q8" i="7"/>
  <c r="R126" i="4"/>
  <c r="AA126" i="4"/>
  <c r="H127" i="4"/>
  <c r="B127" i="4"/>
  <c r="H12" i="7"/>
  <c r="H13" i="7"/>
  <c r="H16" i="7"/>
  <c r="R8" i="7"/>
  <c r="S7" i="7"/>
  <c r="G23" i="7"/>
  <c r="G18" i="7"/>
  <c r="G19" i="7"/>
  <c r="T127" i="4"/>
  <c r="K127" i="4"/>
  <c r="V127" i="4"/>
  <c r="I127" i="4"/>
  <c r="J127" i="4"/>
  <c r="L127" i="4"/>
  <c r="W127" i="4"/>
  <c r="H14" i="7"/>
  <c r="H15" i="7"/>
  <c r="H17" i="7"/>
  <c r="S8" i="7"/>
  <c r="T7" i="7"/>
  <c r="Z127" i="4"/>
  <c r="M127" i="4"/>
  <c r="R127" i="4"/>
  <c r="H20" i="7"/>
  <c r="I10" i="7"/>
  <c r="I11" i="7"/>
  <c r="T8" i="7"/>
  <c r="U7" i="7"/>
  <c r="H23" i="7"/>
  <c r="H18" i="7"/>
  <c r="H19" i="7"/>
  <c r="U127" i="4"/>
  <c r="AA127" i="4"/>
  <c r="H128" i="4"/>
  <c r="T128" i="4"/>
  <c r="I9" i="7"/>
  <c r="I12" i="7"/>
  <c r="I13" i="7"/>
  <c r="I16" i="7"/>
  <c r="V7" i="7"/>
  <c r="U8" i="7"/>
  <c r="I128" i="4"/>
  <c r="B128" i="4"/>
  <c r="K128" i="4"/>
  <c r="V128" i="4"/>
  <c r="J128" i="4"/>
  <c r="L128" i="4"/>
  <c r="W128" i="4"/>
  <c r="I14" i="7"/>
  <c r="I20" i="7"/>
  <c r="V8" i="7"/>
  <c r="W7" i="7"/>
  <c r="Z128" i="4"/>
  <c r="M128" i="4"/>
  <c r="U128" i="4"/>
  <c r="I15" i="7"/>
  <c r="I17" i="7"/>
  <c r="I23" i="7"/>
  <c r="X7" i="7"/>
  <c r="W8" i="7"/>
  <c r="J10" i="7"/>
  <c r="J11" i="7"/>
  <c r="J9" i="7"/>
  <c r="R128" i="4"/>
  <c r="AA128" i="4"/>
  <c r="H129" i="4"/>
  <c r="I129" i="4"/>
  <c r="I18" i="7"/>
  <c r="I19" i="7"/>
  <c r="J12" i="7"/>
  <c r="J13" i="7"/>
  <c r="X8" i="7"/>
  <c r="Y7" i="7"/>
  <c r="K129" i="4"/>
  <c r="V129" i="4"/>
  <c r="T129" i="4"/>
  <c r="B129" i="4"/>
  <c r="J129" i="4"/>
  <c r="L129" i="4"/>
  <c r="W129" i="4"/>
  <c r="Z7" i="7"/>
  <c r="Y8" i="7"/>
  <c r="J16" i="7"/>
  <c r="J14" i="7"/>
  <c r="Z129" i="4"/>
  <c r="M129" i="4"/>
  <c r="U129" i="4"/>
  <c r="J20" i="7"/>
  <c r="J15" i="7"/>
  <c r="AA7" i="7"/>
  <c r="Z8" i="7"/>
  <c r="R129" i="4"/>
  <c r="AA129" i="4"/>
  <c r="H130" i="4"/>
  <c r="T130" i="4"/>
  <c r="K9" i="7"/>
  <c r="K10" i="7"/>
  <c r="K11" i="7"/>
  <c r="AB7" i="7"/>
  <c r="AA8" i="7"/>
  <c r="J17" i="7"/>
  <c r="J130" i="4"/>
  <c r="L130" i="4"/>
  <c r="W130" i="4"/>
  <c r="K130" i="4"/>
  <c r="V130" i="4"/>
  <c r="B130" i="4"/>
  <c r="I130" i="4"/>
  <c r="AB8" i="7"/>
  <c r="AC7" i="7"/>
  <c r="J18" i="7"/>
  <c r="J19" i="7"/>
  <c r="J23" i="7"/>
  <c r="K12" i="7"/>
  <c r="K13" i="7"/>
  <c r="M130" i="4"/>
  <c r="R130" i="4"/>
  <c r="Z130" i="4"/>
  <c r="AD7" i="7"/>
  <c r="AC8" i="7"/>
  <c r="K16" i="7"/>
  <c r="K14" i="7"/>
  <c r="U130" i="4"/>
  <c r="AA130" i="4"/>
  <c r="H131" i="4"/>
  <c r="B131" i="4"/>
  <c r="K20" i="7"/>
  <c r="K15" i="7"/>
  <c r="AD8" i="7"/>
  <c r="AE7" i="7"/>
  <c r="I131" i="4"/>
  <c r="T131" i="4"/>
  <c r="J131" i="4"/>
  <c r="L131" i="4"/>
  <c r="W131" i="4"/>
  <c r="K131" i="4"/>
  <c r="V131" i="4"/>
  <c r="AE8" i="7"/>
  <c r="AF7" i="7"/>
  <c r="L10" i="7"/>
  <c r="L11" i="7"/>
  <c r="L9" i="7"/>
  <c r="K17" i="7"/>
  <c r="M131" i="4"/>
  <c r="R131" i="4"/>
  <c r="Z131" i="4"/>
  <c r="K18" i="7"/>
  <c r="K23" i="7"/>
  <c r="K19" i="7"/>
  <c r="L12" i="7"/>
  <c r="L13" i="7"/>
  <c r="AG7" i="7"/>
  <c r="AF8" i="7"/>
  <c r="U131" i="4"/>
  <c r="AA131" i="4"/>
  <c r="H132" i="4"/>
  <c r="B132" i="4"/>
  <c r="AH7" i="7"/>
  <c r="AG8" i="7"/>
  <c r="L16" i="7"/>
  <c r="L14" i="7"/>
  <c r="I132" i="4"/>
  <c r="K132" i="4"/>
  <c r="V132" i="4"/>
  <c r="J132" i="4"/>
  <c r="L132" i="4"/>
  <c r="W132" i="4"/>
  <c r="T132" i="4"/>
  <c r="L20" i="7"/>
  <c r="L15" i="7"/>
  <c r="AH8" i="7"/>
  <c r="AI7" i="7"/>
  <c r="Z132" i="4"/>
  <c r="M132" i="4"/>
  <c r="U132" i="4"/>
  <c r="L17" i="7"/>
  <c r="M10" i="7"/>
  <c r="M11" i="7"/>
  <c r="M9" i="7"/>
  <c r="AI8" i="7"/>
  <c r="AJ7" i="7"/>
  <c r="R132" i="4"/>
  <c r="AA132" i="4"/>
  <c r="H133" i="4"/>
  <c r="T133" i="4"/>
  <c r="M12" i="7"/>
  <c r="M13" i="7"/>
  <c r="M14" i="7"/>
  <c r="AJ8" i="7"/>
  <c r="AK7" i="7"/>
  <c r="L18" i="7"/>
  <c r="L19" i="7"/>
  <c r="L23" i="7"/>
  <c r="B133" i="4"/>
  <c r="I133" i="4"/>
  <c r="J133" i="4"/>
  <c r="L133" i="4"/>
  <c r="W133" i="4"/>
  <c r="K133" i="4"/>
  <c r="V133" i="4"/>
  <c r="M16" i="7"/>
  <c r="AL7" i="7"/>
  <c r="AK8" i="7"/>
  <c r="M15" i="7"/>
  <c r="M20" i="7"/>
  <c r="Z133" i="4"/>
  <c r="M133" i="4"/>
  <c r="R133" i="4"/>
  <c r="M17" i="7"/>
  <c r="N10" i="7"/>
  <c r="N11" i="7"/>
  <c r="N9" i="7"/>
  <c r="AL8" i="7"/>
  <c r="AM7" i="7"/>
  <c r="U133" i="4"/>
  <c r="AA133" i="4"/>
  <c r="H134" i="4"/>
  <c r="B134" i="4"/>
  <c r="N12" i="7"/>
  <c r="N13" i="7"/>
  <c r="N14" i="7"/>
  <c r="M18" i="7"/>
  <c r="M19" i="7"/>
  <c r="M23" i="7"/>
  <c r="AM8" i="7"/>
  <c r="AN7" i="7"/>
  <c r="K134" i="4"/>
  <c r="V134" i="4"/>
  <c r="T134" i="4"/>
  <c r="J134" i="4"/>
  <c r="L134" i="4"/>
  <c r="W134" i="4"/>
  <c r="I134" i="4"/>
  <c r="N16" i="7"/>
  <c r="AB134" i="4"/>
  <c r="N15" i="7"/>
  <c r="N17" i="7"/>
  <c r="N20" i="7"/>
  <c r="AO7" i="7"/>
  <c r="AN8" i="7"/>
  <c r="Z134" i="4"/>
  <c r="M134" i="4"/>
  <c r="U134" i="4"/>
  <c r="O10" i="7"/>
  <c r="O11" i="7"/>
  <c r="O9" i="7"/>
  <c r="N23" i="7"/>
  <c r="N18" i="7"/>
  <c r="N19" i="7"/>
  <c r="AO8" i="7"/>
  <c r="AP7" i="7"/>
  <c r="R134" i="4"/>
  <c r="AA134" i="4"/>
  <c r="H135" i="4"/>
  <c r="K135" i="4"/>
  <c r="V135" i="4"/>
  <c r="O12" i="7"/>
  <c r="O13" i="7"/>
  <c r="O16" i="7"/>
  <c r="AQ7" i="7"/>
  <c r="AP8" i="7"/>
  <c r="T135" i="4"/>
  <c r="J135" i="4"/>
  <c r="L135" i="4"/>
  <c r="W135" i="4"/>
  <c r="Z135" i="4"/>
  <c r="B135" i="4"/>
  <c r="I135" i="4"/>
  <c r="O14" i="7"/>
  <c r="O20" i="7"/>
  <c r="AR7" i="7"/>
  <c r="AQ8" i="7"/>
  <c r="M135" i="4"/>
  <c r="U135" i="4"/>
  <c r="O15" i="7"/>
  <c r="O17" i="7"/>
  <c r="P10" i="7"/>
  <c r="P11" i="7"/>
  <c r="P9" i="7"/>
  <c r="AR8" i="7"/>
  <c r="AS7" i="7"/>
  <c r="R135" i="4"/>
  <c r="AB135" i="4"/>
  <c r="P12" i="7"/>
  <c r="P13" i="7"/>
  <c r="AS8" i="7"/>
  <c r="AT7" i="7"/>
  <c r="O23" i="7"/>
  <c r="O19" i="7"/>
  <c r="O18" i="7"/>
  <c r="AA135" i="4"/>
  <c r="H136" i="4"/>
  <c r="K136" i="4"/>
  <c r="V136" i="4"/>
  <c r="AU7" i="7"/>
  <c r="AT8" i="7"/>
  <c r="P14" i="7"/>
  <c r="P16" i="7"/>
  <c r="I136" i="4"/>
  <c r="T136" i="4"/>
  <c r="B136" i="4"/>
  <c r="J136" i="4"/>
  <c r="L136" i="4"/>
  <c r="W136" i="4"/>
  <c r="Z136" i="4"/>
  <c r="P15" i="7"/>
  <c r="P17" i="7"/>
  <c r="P20" i="7"/>
  <c r="AV7" i="7"/>
  <c r="AU8" i="7"/>
  <c r="M136" i="4"/>
  <c r="R136" i="4"/>
  <c r="AB136" i="4"/>
  <c r="Q10" i="7"/>
  <c r="Q11" i="7"/>
  <c r="Q9" i="7"/>
  <c r="AW7" i="7"/>
  <c r="AV8" i="7"/>
  <c r="P19" i="7"/>
  <c r="P23" i="7"/>
  <c r="P18" i="7"/>
  <c r="U136" i="4"/>
  <c r="AA136" i="4"/>
  <c r="H137" i="4"/>
  <c r="AW8" i="7"/>
  <c r="AX7" i="7"/>
  <c r="Q12" i="7"/>
  <c r="Q13" i="7"/>
  <c r="Q16" i="7"/>
  <c r="Q14" i="7"/>
  <c r="I137" i="4"/>
  <c r="B137" i="4"/>
  <c r="J137" i="4"/>
  <c r="L137" i="4"/>
  <c r="K137" i="4"/>
  <c r="V137" i="4"/>
  <c r="T137" i="4"/>
  <c r="AX8" i="7"/>
  <c r="AY7" i="7"/>
  <c r="M137" i="4"/>
  <c r="W137" i="4"/>
  <c r="Z137" i="4"/>
  <c r="AZ7" i="7"/>
  <c r="AY8" i="7"/>
  <c r="Q15" i="7"/>
  <c r="Q17" i="7"/>
  <c r="Q20" i="7"/>
  <c r="R137" i="4"/>
  <c r="U137" i="4"/>
  <c r="R10" i="7"/>
  <c r="R11" i="7"/>
  <c r="R9" i="7"/>
  <c r="Q19" i="7"/>
  <c r="Q23" i="7"/>
  <c r="Q18" i="7"/>
  <c r="AZ8" i="7"/>
  <c r="BA7" i="7"/>
  <c r="R12" i="7"/>
  <c r="R13" i="7"/>
  <c r="R16" i="7"/>
  <c r="BB7" i="7"/>
  <c r="BA8" i="7"/>
  <c r="AB137" i="4"/>
  <c r="AA137" i="4"/>
  <c r="H138" i="4"/>
  <c r="K138" i="4"/>
  <c r="V138" i="4"/>
  <c r="R14" i="7"/>
  <c r="R15" i="7"/>
  <c r="R17" i="7"/>
  <c r="BC7" i="7"/>
  <c r="BB8" i="7"/>
  <c r="T138" i="4"/>
  <c r="B138" i="4"/>
  <c r="J138" i="4"/>
  <c r="L138" i="4"/>
  <c r="M138" i="4"/>
  <c r="I138" i="4"/>
  <c r="R20" i="7"/>
  <c r="S10" i="7"/>
  <c r="S11" i="7"/>
  <c r="BC8" i="7"/>
  <c r="BD7" i="7"/>
  <c r="R23" i="7"/>
  <c r="R19" i="7"/>
  <c r="R18" i="7"/>
  <c r="W138" i="4"/>
  <c r="Z138" i="4"/>
  <c r="S9" i="7"/>
  <c r="S12" i="7"/>
  <c r="S13" i="7"/>
  <c r="S16" i="7"/>
  <c r="BD8" i="7"/>
  <c r="BE7" i="7"/>
  <c r="R138" i="4"/>
  <c r="U138" i="4"/>
  <c r="S14" i="7"/>
  <c r="S15" i="7"/>
  <c r="AB138" i="4"/>
  <c r="AA138" i="4"/>
  <c r="BF7" i="7"/>
  <c r="BE8" i="7"/>
  <c r="H139" i="4"/>
  <c r="J139" i="4"/>
  <c r="L139" i="4"/>
  <c r="S20" i="7"/>
  <c r="T10" i="7"/>
  <c r="T11" i="7"/>
  <c r="BF8" i="7"/>
  <c r="BG7" i="7"/>
  <c r="S17" i="7"/>
  <c r="T9" i="7"/>
  <c r="T12" i="7"/>
  <c r="T13" i="7"/>
  <c r="T14" i="7"/>
  <c r="T139" i="4"/>
  <c r="B139" i="4"/>
  <c r="K139" i="4"/>
  <c r="V139" i="4"/>
  <c r="I139" i="4"/>
  <c r="BG8" i="7"/>
  <c r="BH7" i="7"/>
  <c r="W139" i="4"/>
  <c r="S18" i="7"/>
  <c r="S19" i="7"/>
  <c r="S23" i="7"/>
  <c r="Z139" i="4"/>
  <c r="M139" i="4"/>
  <c r="R139" i="4"/>
  <c r="T16" i="7"/>
  <c r="T20" i="7"/>
  <c r="T15" i="7"/>
  <c r="T17" i="7"/>
  <c r="BI7" i="7"/>
  <c r="BH8" i="7"/>
  <c r="U139" i="4"/>
  <c r="AA139" i="4"/>
  <c r="BI8" i="7"/>
  <c r="BJ7" i="7"/>
  <c r="U10" i="7"/>
  <c r="U11" i="7"/>
  <c r="U9" i="7"/>
  <c r="T23" i="7"/>
  <c r="T18" i="7"/>
  <c r="T19" i="7"/>
  <c r="AB139" i="4"/>
  <c r="H140" i="4"/>
  <c r="T140" i="4"/>
  <c r="U12" i="7"/>
  <c r="U13" i="7"/>
  <c r="U16" i="7"/>
  <c r="BJ8" i="7"/>
  <c r="BK7" i="7"/>
  <c r="B140" i="4"/>
  <c r="K140" i="4"/>
  <c r="V140" i="4"/>
  <c r="I140" i="4"/>
  <c r="J140" i="4"/>
  <c r="L140" i="4"/>
  <c r="U14" i="7"/>
  <c r="U20" i="7"/>
  <c r="BL7" i="7"/>
  <c r="BK8" i="7"/>
  <c r="M140" i="4"/>
  <c r="U140" i="4"/>
  <c r="U15" i="7"/>
  <c r="U17" i="7"/>
  <c r="W140" i="4"/>
  <c r="Z140" i="4"/>
  <c r="BL8" i="7"/>
  <c r="BM7" i="7"/>
  <c r="V9" i="7"/>
  <c r="V10" i="7"/>
  <c r="V11" i="7"/>
  <c r="R140" i="4"/>
  <c r="AA140" i="4"/>
  <c r="V12" i="7"/>
  <c r="V13" i="7"/>
  <c r="V14" i="7"/>
  <c r="BN7" i="7"/>
  <c r="BM8" i="7"/>
  <c r="U18" i="7"/>
  <c r="U23" i="7"/>
  <c r="U19" i="7"/>
  <c r="AB140" i="4"/>
  <c r="V16" i="7"/>
  <c r="H141" i="4"/>
  <c r="B141" i="4"/>
  <c r="BO7" i="7"/>
  <c r="BN8" i="7"/>
  <c r="V20" i="7"/>
  <c r="V15" i="7"/>
  <c r="J141" i="4"/>
  <c r="L141" i="4"/>
  <c r="W141" i="4"/>
  <c r="I141" i="4"/>
  <c r="T141" i="4"/>
  <c r="K141" i="4"/>
  <c r="V141" i="4"/>
  <c r="BP7" i="7"/>
  <c r="BO8" i="7"/>
  <c r="W10" i="7"/>
  <c r="W11" i="7"/>
  <c r="W9" i="7"/>
  <c r="V17" i="7"/>
  <c r="M141" i="4"/>
  <c r="R141" i="4"/>
  <c r="AB141" i="4"/>
  <c r="Z141" i="4"/>
  <c r="W12" i="7"/>
  <c r="W13" i="7"/>
  <c r="W14" i="7"/>
  <c r="V19" i="7"/>
  <c r="V23" i="7"/>
  <c r="V18" i="7"/>
  <c r="BQ7" i="7"/>
  <c r="BP8" i="7"/>
  <c r="U141" i="4"/>
  <c r="AA141" i="4"/>
  <c r="H142" i="4"/>
  <c r="I142" i="4"/>
  <c r="W16" i="7"/>
  <c r="BR7" i="7"/>
  <c r="BQ8" i="7"/>
  <c r="W20" i="7"/>
  <c r="W15" i="7"/>
  <c r="W17" i="7"/>
  <c r="J142" i="4"/>
  <c r="L142" i="4"/>
  <c r="W142" i="4"/>
  <c r="T142" i="4"/>
  <c r="K142" i="4"/>
  <c r="V142" i="4"/>
  <c r="B142" i="4"/>
  <c r="X10" i="7"/>
  <c r="X11" i="7"/>
  <c r="X9" i="7"/>
  <c r="BR8" i="7"/>
  <c r="BS7" i="7"/>
  <c r="W23" i="7"/>
  <c r="W18" i="7"/>
  <c r="W19" i="7"/>
  <c r="Z142" i="4"/>
  <c r="M142" i="4"/>
  <c r="U142" i="4"/>
  <c r="X12" i="7"/>
  <c r="X13" i="7"/>
  <c r="X16" i="7"/>
  <c r="BT7" i="7"/>
  <c r="BS8" i="7"/>
  <c r="R142" i="4"/>
  <c r="AA142" i="4"/>
  <c r="X14" i="7"/>
  <c r="X15" i="7"/>
  <c r="BU7" i="7"/>
  <c r="BT8" i="7"/>
  <c r="AB142" i="4"/>
  <c r="X20" i="7"/>
  <c r="Y10" i="7"/>
  <c r="Y11" i="7"/>
  <c r="BV7" i="7"/>
  <c r="BU8" i="7"/>
  <c r="X17" i="7"/>
  <c r="H143" i="4"/>
  <c r="Y9" i="7"/>
  <c r="Y12" i="7"/>
  <c r="Y13" i="7"/>
  <c r="BV8" i="7"/>
  <c r="BW7" i="7"/>
  <c r="J143" i="4"/>
  <c r="L143" i="4"/>
  <c r="K143" i="4"/>
  <c r="V143" i="4"/>
  <c r="T143" i="4"/>
  <c r="I143" i="4"/>
  <c r="B143" i="4"/>
  <c r="X18" i="7"/>
  <c r="X19" i="7"/>
  <c r="X23" i="7"/>
  <c r="Y16" i="7"/>
  <c r="Y14" i="7"/>
  <c r="W143" i="4"/>
  <c r="Z143" i="4"/>
  <c r="M143" i="4"/>
  <c r="BX7" i="7"/>
  <c r="BW8" i="7"/>
  <c r="BY7" i="7"/>
  <c r="BX8" i="7"/>
  <c r="U143" i="4"/>
  <c r="R143" i="4"/>
  <c r="Y20" i="7"/>
  <c r="Y15" i="7"/>
  <c r="Y17" i="7"/>
  <c r="AA143" i="4"/>
  <c r="AB143" i="4"/>
  <c r="Z10" i="7"/>
  <c r="Z11" i="7"/>
  <c r="Z9" i="7"/>
  <c r="BZ7" i="7"/>
  <c r="BY8" i="7"/>
  <c r="Z12" i="7"/>
  <c r="Z13" i="7"/>
  <c r="Z14" i="7"/>
  <c r="BZ8" i="7"/>
  <c r="CA7" i="7"/>
  <c r="H144" i="4"/>
  <c r="Y18" i="7"/>
  <c r="Y23" i="7"/>
  <c r="Y19" i="7"/>
  <c r="Z16" i="7"/>
  <c r="B144" i="4"/>
  <c r="T144" i="4"/>
  <c r="I144" i="4"/>
  <c r="K144" i="4"/>
  <c r="V144" i="4"/>
  <c r="J144" i="4"/>
  <c r="L144" i="4"/>
  <c r="Z15" i="7"/>
  <c r="Z17" i="7"/>
  <c r="Z20" i="7"/>
  <c r="CB7" i="7"/>
  <c r="CA8" i="7"/>
  <c r="CC7" i="7"/>
  <c r="CB8" i="7"/>
  <c r="AA10" i="7"/>
  <c r="AA11" i="7"/>
  <c r="AA9" i="7"/>
  <c r="M144" i="4"/>
  <c r="W144" i="4"/>
  <c r="Z144" i="4"/>
  <c r="Z23" i="7"/>
  <c r="Z18" i="7"/>
  <c r="Z19" i="7"/>
  <c r="AA12" i="7"/>
  <c r="AA13" i="7"/>
  <c r="AA16" i="7"/>
  <c r="R144" i="4"/>
  <c r="AB144" i="4"/>
  <c r="U144" i="4"/>
  <c r="CC8" i="7"/>
  <c r="CD7" i="7"/>
  <c r="AA144" i="4"/>
  <c r="H145" i="4"/>
  <c r="AA14" i="7"/>
  <c r="AA15" i="7"/>
  <c r="CE7" i="7"/>
  <c r="CD8" i="7"/>
  <c r="J145" i="4"/>
  <c r="L145" i="4"/>
  <c r="W145" i="4"/>
  <c r="K145" i="4"/>
  <c r="V145" i="4"/>
  <c r="I145" i="4"/>
  <c r="T145" i="4"/>
  <c r="B145" i="4"/>
  <c r="AA20" i="7"/>
  <c r="AB9" i="7"/>
  <c r="AA17" i="7"/>
  <c r="CF7" i="7"/>
  <c r="CE8" i="7"/>
  <c r="Z145" i="4"/>
  <c r="AB10" i="7"/>
  <c r="AB11" i="7"/>
  <c r="AB12" i="7"/>
  <c r="AB13" i="7"/>
  <c r="M145" i="4"/>
  <c r="U145" i="4"/>
  <c r="CF8" i="7"/>
  <c r="CG7" i="7"/>
  <c r="AA19" i="7"/>
  <c r="AA23" i="7"/>
  <c r="AA18" i="7"/>
  <c r="R145" i="4"/>
  <c r="AA145" i="4"/>
  <c r="AB16" i="7"/>
  <c r="AB14" i="7"/>
  <c r="AB145" i="4"/>
  <c r="CG8" i="7"/>
  <c r="CH7" i="7"/>
  <c r="H146" i="4"/>
  <c r="K146" i="4"/>
  <c r="V146" i="4"/>
  <c r="CH8" i="7"/>
  <c r="CI7" i="7"/>
  <c r="AB20" i="7"/>
  <c r="AB15" i="7"/>
  <c r="J146" i="4"/>
  <c r="L146" i="4"/>
  <c r="M146" i="4"/>
  <c r="I146" i="4"/>
  <c r="T146" i="4"/>
  <c r="B146" i="4"/>
  <c r="CI8" i="7"/>
  <c r="CJ7" i="7"/>
  <c r="AC9" i="7"/>
  <c r="AC10" i="7"/>
  <c r="AC11" i="7"/>
  <c r="AB17" i="7"/>
  <c r="W146" i="4"/>
  <c r="Z146" i="4"/>
  <c r="AC12" i="7"/>
  <c r="AC13" i="7"/>
  <c r="AC16" i="7"/>
  <c r="CJ8" i="7"/>
  <c r="CK7" i="7"/>
  <c r="AB18" i="7"/>
  <c r="AB23" i="7"/>
  <c r="AB19" i="7"/>
  <c r="R146" i="4"/>
  <c r="AB146" i="4"/>
  <c r="U146" i="4"/>
  <c r="AC14" i="7"/>
  <c r="AC15" i="7"/>
  <c r="AC17" i="7"/>
  <c r="CL7" i="7"/>
  <c r="CK8" i="7"/>
  <c r="AA146" i="4"/>
  <c r="H147" i="4"/>
  <c r="AC20" i="7"/>
  <c r="AD9" i="7"/>
  <c r="K147" i="4"/>
  <c r="V147" i="4"/>
  <c r="I147" i="4"/>
  <c r="B147" i="4"/>
  <c r="T147" i="4"/>
  <c r="J147" i="4"/>
  <c r="L147" i="4"/>
  <c r="CL8" i="7"/>
  <c r="CM7" i="7"/>
  <c r="AC23" i="7"/>
  <c r="AC18" i="7"/>
  <c r="AC19" i="7"/>
  <c r="AD10" i="7"/>
  <c r="AD11" i="7"/>
  <c r="AD12" i="7"/>
  <c r="AD13" i="7"/>
  <c r="AD16" i="7"/>
  <c r="CN7" i="7"/>
  <c r="CM8" i="7"/>
  <c r="W147" i="4"/>
  <c r="Z147" i="4"/>
  <c r="M147" i="4"/>
  <c r="AD14" i="7"/>
  <c r="AD15" i="7"/>
  <c r="AD17" i="7"/>
  <c r="CN8" i="7"/>
  <c r="CO7" i="7"/>
  <c r="U147" i="4"/>
  <c r="R147" i="4"/>
  <c r="AD20" i="7"/>
  <c r="AE10" i="7"/>
  <c r="AE11" i="7"/>
  <c r="AD19" i="7"/>
  <c r="AD23" i="7"/>
  <c r="AD18" i="7"/>
  <c r="AB147" i="4"/>
  <c r="AA147" i="4"/>
  <c r="CO8" i="7"/>
  <c r="CP7" i="7"/>
  <c r="AE9" i="7"/>
  <c r="AE12" i="7"/>
  <c r="AE13" i="7"/>
  <c r="H148" i="4"/>
  <c r="CQ7" i="7"/>
  <c r="CP8" i="7"/>
  <c r="AE16" i="7"/>
  <c r="AE14" i="7"/>
  <c r="CR7" i="7"/>
  <c r="CQ8" i="7"/>
  <c r="J148" i="4"/>
  <c r="L148" i="4"/>
  <c r="B148" i="4"/>
  <c r="K148" i="4"/>
  <c r="V148" i="4"/>
  <c r="T148" i="4"/>
  <c r="I148" i="4"/>
  <c r="W148" i="4"/>
  <c r="Z148" i="4"/>
  <c r="M148" i="4"/>
  <c r="CS7" i="7"/>
  <c r="CR8" i="7"/>
  <c r="AE15" i="7"/>
  <c r="AE20" i="7"/>
  <c r="CT7" i="7"/>
  <c r="CS8" i="7"/>
  <c r="AF10" i="7"/>
  <c r="AF11" i="7"/>
  <c r="AF9" i="7"/>
  <c r="AE17" i="7"/>
  <c r="R148" i="4"/>
  <c r="U148" i="4"/>
  <c r="AF12" i="7"/>
  <c r="AF13" i="7"/>
  <c r="AF16" i="7"/>
  <c r="CT8" i="7"/>
  <c r="CU7" i="7"/>
  <c r="AA148" i="4"/>
  <c r="AB148" i="4"/>
  <c r="AE23" i="7"/>
  <c r="AE18" i="7"/>
  <c r="AE19" i="7"/>
  <c r="AF14" i="7"/>
  <c r="AF20" i="7"/>
  <c r="H149" i="4"/>
  <c r="T149" i="4"/>
  <c r="CU8" i="7"/>
  <c r="CV7" i="7"/>
  <c r="J149" i="4"/>
  <c r="L149" i="4"/>
  <c r="B149" i="4"/>
  <c r="I149" i="4"/>
  <c r="K149" i="4"/>
  <c r="V149" i="4"/>
  <c r="AF15" i="7"/>
  <c r="AF17" i="7"/>
  <c r="CV8" i="7"/>
  <c r="CW7" i="7"/>
  <c r="AG10" i="7"/>
  <c r="AG11" i="7"/>
  <c r="AG9" i="7"/>
  <c r="AG12" i="7"/>
  <c r="AG13" i="7"/>
  <c r="AG14" i="7"/>
  <c r="M149" i="4"/>
  <c r="U149" i="4"/>
  <c r="W149" i="4"/>
  <c r="Z149" i="4"/>
  <c r="AF18" i="7"/>
  <c r="AF23" i="7"/>
  <c r="AF19" i="7"/>
  <c r="CX7" i="7"/>
  <c r="CW8" i="7"/>
  <c r="AG16" i="7"/>
  <c r="R149" i="4"/>
  <c r="AA149" i="4"/>
  <c r="CX8" i="7"/>
  <c r="CY7" i="7"/>
  <c r="AB149" i="4"/>
  <c r="AG20" i="7"/>
  <c r="AG15" i="7"/>
  <c r="AG17" i="7"/>
  <c r="AG18" i="7"/>
  <c r="AG23" i="7"/>
  <c r="AG19" i="7"/>
  <c r="AH10" i="7"/>
  <c r="AH11" i="7"/>
  <c r="AH9" i="7"/>
  <c r="H150" i="4"/>
  <c r="CZ7" i="7"/>
  <c r="CZ8" i="7"/>
  <c r="CY8" i="7"/>
  <c r="AH12" i="7"/>
  <c r="AH13" i="7"/>
  <c r="AH16" i="7"/>
  <c r="B150" i="4"/>
  <c r="J150" i="4"/>
  <c r="L150" i="4"/>
  <c r="I150" i="4"/>
  <c r="T150" i="4"/>
  <c r="K150" i="4"/>
  <c r="V150" i="4"/>
  <c r="AH14" i="7"/>
  <c r="AH15" i="7"/>
  <c r="AH17" i="7"/>
  <c r="W150" i="4"/>
  <c r="Z150" i="4"/>
  <c r="M150" i="4"/>
  <c r="AH20" i="7"/>
  <c r="AI10" i="7"/>
  <c r="AI11" i="7"/>
  <c r="U150" i="4"/>
  <c r="R150" i="4"/>
  <c r="AH18" i="7"/>
  <c r="AH23" i="7"/>
  <c r="AH19" i="7"/>
  <c r="AI9" i="7"/>
  <c r="AI12" i="7"/>
  <c r="AI13" i="7"/>
  <c r="AA150" i="4"/>
  <c r="AB150" i="4"/>
  <c r="H151" i="4"/>
  <c r="K151" i="4"/>
  <c r="V151" i="4"/>
  <c r="AI16" i="7"/>
  <c r="AI14" i="7"/>
  <c r="J151" i="4"/>
  <c r="L151" i="4"/>
  <c r="M151" i="4"/>
  <c r="I151" i="4"/>
  <c r="T151" i="4"/>
  <c r="B151" i="4"/>
  <c r="AI15" i="7"/>
  <c r="AI20" i="7"/>
  <c r="W151" i="4"/>
  <c r="Z151" i="4"/>
  <c r="AI17" i="7"/>
  <c r="U151" i="4"/>
  <c r="R151" i="4"/>
  <c r="AJ9" i="7"/>
  <c r="AJ10" i="7"/>
  <c r="AJ11" i="7"/>
  <c r="AJ12" i="7"/>
  <c r="AJ13" i="7"/>
  <c r="AJ16" i="7"/>
  <c r="AB151" i="4"/>
  <c r="AA151" i="4"/>
  <c r="AI19" i="7"/>
  <c r="AI18" i="7"/>
  <c r="AI23" i="7"/>
  <c r="AJ14" i="7"/>
  <c r="AJ15" i="7"/>
  <c r="H152" i="4"/>
  <c r="AJ20" i="7"/>
  <c r="AK10" i="7"/>
  <c r="AK11" i="7"/>
  <c r="K152" i="4"/>
  <c r="V152" i="4"/>
  <c r="J152" i="4"/>
  <c r="L152" i="4"/>
  <c r="T152" i="4"/>
  <c r="B152" i="4"/>
  <c r="I152" i="4"/>
  <c r="AJ17" i="7"/>
  <c r="AK9" i="7"/>
  <c r="AK12" i="7"/>
  <c r="AK13" i="7"/>
  <c r="AK16" i="7"/>
  <c r="AJ23" i="7"/>
  <c r="AJ19" i="7"/>
  <c r="AJ18" i="7"/>
  <c r="W152" i="4"/>
  <c r="Z152" i="4"/>
  <c r="M152" i="4"/>
  <c r="AK14" i="7"/>
  <c r="AK20" i="7"/>
  <c r="R152" i="4"/>
  <c r="AB152" i="4"/>
  <c r="U152" i="4"/>
  <c r="AK15" i="7"/>
  <c r="AK17" i="7"/>
  <c r="AA152" i="4"/>
  <c r="H153" i="4"/>
  <c r="AL10" i="7"/>
  <c r="AL11" i="7"/>
  <c r="AL9" i="7"/>
  <c r="AL12" i="7"/>
  <c r="AL13" i="7"/>
  <c r="AL16" i="7"/>
  <c r="I153" i="4"/>
  <c r="T153" i="4"/>
  <c r="K153" i="4"/>
  <c r="V153" i="4"/>
  <c r="B153" i="4"/>
  <c r="J153" i="4"/>
  <c r="L153" i="4"/>
  <c r="AK18" i="7"/>
  <c r="AK23" i="7"/>
  <c r="AK19" i="7"/>
  <c r="AL14" i="7"/>
  <c r="AL20" i="7"/>
  <c r="M153" i="4"/>
  <c r="W153" i="4"/>
  <c r="Z153" i="4"/>
  <c r="AL15" i="7"/>
  <c r="AL17" i="7"/>
  <c r="AM10" i="7"/>
  <c r="AM11" i="7"/>
  <c r="AM9" i="7"/>
  <c r="R153" i="4"/>
  <c r="AB153" i="4"/>
  <c r="U153" i="4"/>
  <c r="AA153" i="4"/>
  <c r="H154" i="4"/>
  <c r="K154" i="4"/>
  <c r="V154" i="4"/>
  <c r="AM12" i="7"/>
  <c r="AM13" i="7"/>
  <c r="AM16" i="7"/>
  <c r="AL23" i="7"/>
  <c r="AL18" i="7"/>
  <c r="AL19" i="7"/>
  <c r="I154" i="4"/>
  <c r="B154" i="4"/>
  <c r="T154" i="4"/>
  <c r="J154" i="4"/>
  <c r="L154" i="4"/>
  <c r="M154" i="4"/>
  <c r="AM14" i="7"/>
  <c r="AM20" i="7"/>
  <c r="W154" i="4"/>
  <c r="Z154" i="4"/>
  <c r="AM15" i="7"/>
  <c r="AM17" i="7"/>
  <c r="AM23" i="7"/>
  <c r="AN9" i="7"/>
  <c r="AN10" i="7"/>
  <c r="AN11" i="7"/>
  <c r="U154" i="4"/>
  <c r="R154" i="4"/>
  <c r="AN12" i="7"/>
  <c r="AN13" i="7"/>
  <c r="AN16" i="7"/>
  <c r="AM18" i="7"/>
  <c r="AM19" i="7"/>
  <c r="AB154" i="4"/>
  <c r="AA154" i="4"/>
  <c r="AN14" i="7"/>
  <c r="AN15" i="7"/>
  <c r="H155" i="4"/>
  <c r="AN20" i="7"/>
  <c r="AO10" i="7"/>
  <c r="AO11" i="7"/>
  <c r="J155" i="4"/>
  <c r="L155" i="4"/>
  <c r="B155" i="4"/>
  <c r="I155" i="4"/>
  <c r="T155" i="4"/>
  <c r="K155" i="4"/>
  <c r="V155" i="4"/>
  <c r="AN17" i="7"/>
  <c r="AO9" i="7"/>
  <c r="AO12" i="7"/>
  <c r="AO13" i="7"/>
  <c r="AN23" i="7"/>
  <c r="AN18" i="7"/>
  <c r="AN19" i="7"/>
  <c r="M155" i="4"/>
  <c r="W155" i="4"/>
  <c r="Z155" i="4"/>
  <c r="U155" i="4"/>
  <c r="R155" i="4"/>
  <c r="AO16" i="7"/>
  <c r="AO14" i="7"/>
  <c r="AO20" i="7"/>
  <c r="AO15" i="7"/>
  <c r="AB155" i="4"/>
  <c r="AA155" i="4"/>
  <c r="AP10" i="7"/>
  <c r="AP11" i="7"/>
  <c r="AP9" i="7"/>
  <c r="H156" i="4"/>
  <c r="AO17" i="7"/>
  <c r="AP12" i="7"/>
  <c r="AP13" i="7"/>
  <c r="AP16" i="7"/>
  <c r="AO19" i="7"/>
  <c r="AO18" i="7"/>
  <c r="AO23" i="7"/>
  <c r="T156" i="4"/>
  <c r="J156" i="4"/>
  <c r="L156" i="4"/>
  <c r="B156" i="4"/>
  <c r="I156" i="4"/>
  <c r="K156" i="4"/>
  <c r="V156" i="4"/>
  <c r="AP14" i="7"/>
  <c r="AP20" i="7"/>
  <c r="W156" i="4"/>
  <c r="Z156" i="4"/>
  <c r="M156" i="4"/>
  <c r="AP15" i="7"/>
  <c r="AP17" i="7"/>
  <c r="AQ9" i="7"/>
  <c r="AQ10" i="7"/>
  <c r="AQ11" i="7"/>
  <c r="R156" i="4"/>
  <c r="AB156" i="4"/>
  <c r="U156" i="4"/>
  <c r="AQ12" i="7"/>
  <c r="AQ13" i="7"/>
  <c r="AQ16" i="7"/>
  <c r="AA156" i="4"/>
  <c r="H157" i="4"/>
  <c r="J157" i="4"/>
  <c r="L157" i="4"/>
  <c r="AP18" i="7"/>
  <c r="AP19" i="7"/>
  <c r="AP23" i="7"/>
  <c r="AQ14" i="7"/>
  <c r="AQ20" i="7"/>
  <c r="T157" i="4"/>
  <c r="B157" i="4"/>
  <c r="K157" i="4"/>
  <c r="V157" i="4"/>
  <c r="I157" i="4"/>
  <c r="W157" i="4"/>
  <c r="M157" i="4"/>
  <c r="U157" i="4"/>
  <c r="AQ15" i="7"/>
  <c r="AQ17" i="7"/>
  <c r="Z157" i="4"/>
  <c r="AR10" i="7"/>
  <c r="AR11" i="7"/>
  <c r="AR9" i="7"/>
  <c r="R157" i="4"/>
  <c r="AA157" i="4"/>
  <c r="AR12" i="7"/>
  <c r="AR13" i="7"/>
  <c r="AR16" i="7"/>
  <c r="AQ18" i="7"/>
  <c r="AQ23" i="7"/>
  <c r="AQ19" i="7"/>
  <c r="AB157" i="4"/>
  <c r="H158" i="4"/>
  <c r="B158" i="4"/>
  <c r="AR14" i="7"/>
  <c r="AR20" i="7"/>
  <c r="J158" i="4"/>
  <c r="L158" i="4"/>
  <c r="I158" i="4"/>
  <c r="K158" i="4"/>
  <c r="V158" i="4"/>
  <c r="T158" i="4"/>
  <c r="AR15" i="7"/>
  <c r="AR17" i="7"/>
  <c r="AS10" i="7"/>
  <c r="AS11" i="7"/>
  <c r="AS9" i="7"/>
  <c r="M158" i="4"/>
  <c r="U158" i="4"/>
  <c r="W158" i="4"/>
  <c r="Z158" i="4"/>
  <c r="AS12" i="7"/>
  <c r="AS13" i="7"/>
  <c r="AS16" i="7"/>
  <c r="AR19" i="7"/>
  <c r="AR23" i="7"/>
  <c r="AR18" i="7"/>
  <c r="R158" i="4"/>
  <c r="AA158" i="4"/>
  <c r="AS14" i="7"/>
  <c r="AS20" i="7"/>
  <c r="AB158" i="4"/>
  <c r="AS15" i="7"/>
  <c r="AS17" i="7"/>
  <c r="AT9" i="7"/>
  <c r="AT10" i="7"/>
  <c r="AT11" i="7"/>
  <c r="H159" i="4"/>
  <c r="AT12" i="7"/>
  <c r="AT13" i="7"/>
  <c r="AT16" i="7"/>
  <c r="J159" i="4"/>
  <c r="L159" i="4"/>
  <c r="K159" i="4"/>
  <c r="V159" i="4"/>
  <c r="B159" i="4"/>
  <c r="T159" i="4"/>
  <c r="I159" i="4"/>
  <c r="AS18" i="7"/>
  <c r="AS19" i="7"/>
  <c r="AS23" i="7"/>
  <c r="AT14" i="7"/>
  <c r="AT20" i="7"/>
  <c r="M159" i="4"/>
  <c r="W159" i="4"/>
  <c r="Z159" i="4"/>
  <c r="AT15" i="7"/>
  <c r="AT17" i="7"/>
  <c r="U159" i="4"/>
  <c r="R159" i="4"/>
  <c r="AU9" i="7"/>
  <c r="AU10" i="7"/>
  <c r="AU11" i="7"/>
  <c r="AU12" i="7"/>
  <c r="AU13" i="7"/>
  <c r="AU14" i="7"/>
  <c r="AT18" i="7"/>
  <c r="AT23" i="7"/>
  <c r="AT19" i="7"/>
  <c r="AB159" i="4"/>
  <c r="AA159" i="4"/>
  <c r="AU16" i="7"/>
  <c r="H160" i="4"/>
  <c r="AU15" i="7"/>
  <c r="AU20" i="7"/>
  <c r="AV10" i="7"/>
  <c r="AV11" i="7"/>
  <c r="AV9" i="7"/>
  <c r="AU17" i="7"/>
  <c r="K160" i="4"/>
  <c r="V160" i="4"/>
  <c r="I160" i="4"/>
  <c r="B160" i="4"/>
  <c r="T160" i="4"/>
  <c r="J160" i="4"/>
  <c r="L160" i="4"/>
  <c r="AU19" i="7"/>
  <c r="AU18" i="7"/>
  <c r="AU23" i="7"/>
  <c r="W160" i="4"/>
  <c r="Z160" i="4"/>
  <c r="M160" i="4"/>
  <c r="AV12" i="7"/>
  <c r="AV13" i="7"/>
  <c r="AV14" i="7"/>
  <c r="AV16" i="7"/>
  <c r="U160" i="4"/>
  <c r="R160" i="4"/>
  <c r="AA160" i="4"/>
  <c r="AB160" i="4"/>
  <c r="AV15" i="7"/>
  <c r="AV17" i="7"/>
  <c r="AV20" i="7"/>
  <c r="H161" i="4"/>
  <c r="K161" i="4"/>
  <c r="V161" i="4"/>
  <c r="AW9" i="7"/>
  <c r="AW10" i="7"/>
  <c r="AW11" i="7"/>
  <c r="AV23" i="7"/>
  <c r="AV18" i="7"/>
  <c r="AV19" i="7"/>
  <c r="AW12" i="7"/>
  <c r="AW13" i="7"/>
  <c r="AW16" i="7"/>
  <c r="J161" i="4"/>
  <c r="L161" i="4"/>
  <c r="W161" i="4"/>
  <c r="Z161" i="4"/>
  <c r="T161" i="4"/>
  <c r="B161" i="4"/>
  <c r="I161" i="4"/>
  <c r="AW14" i="7"/>
  <c r="AW15" i="7"/>
  <c r="M161" i="4"/>
  <c r="U161" i="4"/>
  <c r="AW20" i="7"/>
  <c r="AX9" i="7"/>
  <c r="R161" i="4"/>
  <c r="AA161" i="4"/>
  <c r="AW17" i="7"/>
  <c r="AB161" i="4"/>
  <c r="AX10" i="7"/>
  <c r="AX11" i="7"/>
  <c r="AX12" i="7"/>
  <c r="AX13" i="7"/>
  <c r="AX14" i="7"/>
  <c r="H162" i="4"/>
  <c r="AW19" i="7"/>
  <c r="AW23" i="7"/>
  <c r="AW18" i="7"/>
  <c r="AX16" i="7"/>
  <c r="AX20" i="7"/>
  <c r="AX15" i="7"/>
  <c r="B162" i="4"/>
  <c r="J162" i="4"/>
  <c r="L162" i="4"/>
  <c r="I162" i="4"/>
  <c r="T162" i="4"/>
  <c r="K162" i="4"/>
  <c r="V162" i="4"/>
  <c r="M162" i="4"/>
  <c r="W162" i="4"/>
  <c r="Z162" i="4"/>
  <c r="AX17" i="7"/>
  <c r="AY10" i="7"/>
  <c r="AY11" i="7"/>
  <c r="AY9" i="7"/>
  <c r="AY12" i="7"/>
  <c r="AY13" i="7"/>
  <c r="AY16" i="7"/>
  <c r="AX23" i="7"/>
  <c r="AX19" i="7"/>
  <c r="AX18" i="7"/>
  <c r="U162" i="4"/>
  <c r="R162" i="4"/>
  <c r="AY14" i="7"/>
  <c r="AY15" i="7"/>
  <c r="AY17" i="7"/>
  <c r="AA162" i="4"/>
  <c r="AB162" i="4"/>
  <c r="AY20" i="7"/>
  <c r="AZ10" i="7"/>
  <c r="AZ11" i="7"/>
  <c r="H163" i="4"/>
  <c r="J163" i="4"/>
  <c r="L163" i="4"/>
  <c r="AY19" i="7"/>
  <c r="AY18" i="7"/>
  <c r="AY23" i="7"/>
  <c r="AZ9" i="7"/>
  <c r="AZ12" i="7"/>
  <c r="AZ13" i="7"/>
  <c r="AZ16" i="7"/>
  <c r="I163" i="4"/>
  <c r="K163" i="4"/>
  <c r="V163" i="4"/>
  <c r="B163" i="4"/>
  <c r="T163" i="4"/>
  <c r="W163" i="4"/>
  <c r="M163" i="4"/>
  <c r="U163" i="4"/>
  <c r="Z163" i="4"/>
  <c r="AZ14" i="7"/>
  <c r="AZ15" i="7"/>
  <c r="R163" i="4"/>
  <c r="AA163" i="4"/>
  <c r="AZ20" i="7"/>
  <c r="BA10" i="7"/>
  <c r="BA11" i="7"/>
  <c r="AB163" i="4"/>
  <c r="AZ17" i="7"/>
  <c r="BA9" i="7"/>
  <c r="BA12" i="7"/>
  <c r="BA13" i="7"/>
  <c r="BA16" i="7"/>
  <c r="AZ23" i="7"/>
  <c r="AZ18" i="7"/>
  <c r="AZ19" i="7"/>
  <c r="H164" i="4"/>
  <c r="BA14" i="7"/>
  <c r="BA20" i="7"/>
  <c r="J164" i="4"/>
  <c r="L164" i="4"/>
  <c r="B164" i="4"/>
  <c r="T164" i="4"/>
  <c r="I164" i="4"/>
  <c r="K164" i="4"/>
  <c r="V164" i="4"/>
  <c r="BA15" i="7"/>
  <c r="BA17" i="7"/>
  <c r="BB10" i="7"/>
  <c r="BB11" i="7"/>
  <c r="BB9" i="7"/>
  <c r="W164" i="4"/>
  <c r="Z164" i="4"/>
  <c r="M164" i="4"/>
  <c r="R164" i="4"/>
  <c r="U164" i="4"/>
  <c r="BB12" i="7"/>
  <c r="BB13" i="7"/>
  <c r="BA18" i="7"/>
  <c r="BA23" i="7"/>
  <c r="BA19" i="7"/>
  <c r="BB16" i="7"/>
  <c r="BB14" i="7"/>
  <c r="AB164" i="4"/>
  <c r="AA164" i="4"/>
  <c r="H165" i="4"/>
  <c r="K165" i="4"/>
  <c r="V165" i="4"/>
  <c r="BB20" i="7"/>
  <c r="BB15" i="7"/>
  <c r="I165" i="4"/>
  <c r="T165" i="4"/>
  <c r="J165" i="4"/>
  <c r="L165" i="4"/>
  <c r="M165" i="4"/>
  <c r="B165" i="4"/>
  <c r="BB17" i="7"/>
  <c r="BC10" i="7"/>
  <c r="BC11" i="7"/>
  <c r="BC9" i="7"/>
  <c r="BC12" i="7"/>
  <c r="BC13" i="7"/>
  <c r="BC16" i="7"/>
  <c r="W165" i="4"/>
  <c r="Z165" i="4"/>
  <c r="R165" i="4"/>
  <c r="AB165" i="4"/>
  <c r="U165" i="4"/>
  <c r="BB19" i="7"/>
  <c r="BB18" i="7"/>
  <c r="BB23" i="7"/>
  <c r="BC14" i="7"/>
  <c r="BC20" i="7"/>
  <c r="AA165" i="4"/>
  <c r="H166" i="4"/>
  <c r="BC15" i="7"/>
  <c r="BC17" i="7"/>
  <c r="BD10" i="7"/>
  <c r="BD11" i="7"/>
  <c r="BD9" i="7"/>
  <c r="I166" i="4"/>
  <c r="B166" i="4"/>
  <c r="J166" i="4"/>
  <c r="L166" i="4"/>
  <c r="T166" i="4"/>
  <c r="K166" i="4"/>
  <c r="V166" i="4"/>
  <c r="BD12" i="7"/>
  <c r="BD13" i="7"/>
  <c r="BD14" i="7"/>
  <c r="BC23" i="7"/>
  <c r="BC18" i="7"/>
  <c r="BC19" i="7"/>
  <c r="M166" i="4"/>
  <c r="W166" i="4"/>
  <c r="Z166" i="4"/>
  <c r="BD16" i="7"/>
  <c r="BD20" i="7"/>
  <c r="BD15" i="7"/>
  <c r="R166" i="4"/>
  <c r="U166" i="4"/>
  <c r="AB166" i="4"/>
  <c r="AA166" i="4"/>
  <c r="BD17" i="7"/>
  <c r="BE9" i="7"/>
  <c r="BE10" i="7"/>
  <c r="BE11" i="7"/>
  <c r="BE12" i="7"/>
  <c r="BE13" i="7"/>
  <c r="BE16" i="7"/>
  <c r="BD19" i="7"/>
  <c r="BD23" i="7"/>
  <c r="BD18" i="7"/>
  <c r="H167" i="4"/>
  <c r="BE14" i="7"/>
  <c r="BE20" i="7"/>
  <c r="B167" i="4"/>
  <c r="J167" i="4"/>
  <c r="L167" i="4"/>
  <c r="K167" i="4"/>
  <c r="V167" i="4"/>
  <c r="I167" i="4"/>
  <c r="T167" i="4"/>
  <c r="BE15" i="7"/>
  <c r="BE17" i="7"/>
  <c r="BF10" i="7"/>
  <c r="BF11" i="7"/>
  <c r="BF9" i="7"/>
  <c r="M167" i="4"/>
  <c r="W167" i="4"/>
  <c r="Z167" i="4"/>
  <c r="BF12" i="7"/>
  <c r="BF13" i="7"/>
  <c r="R167" i="4"/>
  <c r="U167" i="4"/>
  <c r="BE18" i="7"/>
  <c r="BE23" i="7"/>
  <c r="BE19" i="7"/>
  <c r="AB167" i="4"/>
  <c r="AA167" i="4"/>
  <c r="BF16" i="7"/>
  <c r="BF14" i="7"/>
  <c r="BF20" i="7"/>
  <c r="BF15" i="7"/>
  <c r="H168" i="4"/>
  <c r="T168" i="4"/>
  <c r="K168" i="4"/>
  <c r="V168" i="4"/>
  <c r="J168" i="4"/>
  <c r="L168" i="4"/>
  <c r="B168" i="4"/>
  <c r="I168" i="4"/>
  <c r="BG10" i="7"/>
  <c r="BG11" i="7"/>
  <c r="BG9" i="7"/>
  <c r="BF17" i="7"/>
  <c r="BG12" i="7"/>
  <c r="BG13" i="7"/>
  <c r="BG14" i="7"/>
  <c r="W168" i="4"/>
  <c r="Z168" i="4"/>
  <c r="M168" i="4"/>
  <c r="BF18" i="7"/>
  <c r="BF19" i="7"/>
  <c r="BF23" i="7"/>
  <c r="BG16" i="7"/>
  <c r="R168" i="4"/>
  <c r="U168" i="4"/>
  <c r="BG20" i="7"/>
  <c r="BG15" i="7"/>
  <c r="AA168" i="4"/>
  <c r="AB168" i="4"/>
  <c r="BG17" i="7"/>
  <c r="BH9" i="7"/>
  <c r="BH10" i="7"/>
  <c r="BH11" i="7"/>
  <c r="BH12" i="7"/>
  <c r="BH13" i="7"/>
  <c r="BH16" i="7"/>
  <c r="H169" i="4"/>
  <c r="T169" i="4"/>
  <c r="BG18" i="7"/>
  <c r="BG23" i="7"/>
  <c r="BG19" i="7"/>
  <c r="BH14" i="7"/>
  <c r="BH15" i="7"/>
  <c r="J169" i="4"/>
  <c r="L169" i="4"/>
  <c r="I169" i="4"/>
  <c r="K169" i="4"/>
  <c r="V169" i="4"/>
  <c r="B169" i="4"/>
  <c r="BH20" i="7"/>
  <c r="BI10" i="7"/>
  <c r="BI11" i="7"/>
  <c r="M169" i="4"/>
  <c r="U169" i="4"/>
  <c r="W169" i="4"/>
  <c r="Z169" i="4"/>
  <c r="BH17" i="7"/>
  <c r="BI9" i="7"/>
  <c r="BI12" i="7"/>
  <c r="BI13" i="7"/>
  <c r="R169" i="4"/>
  <c r="AA169" i="4"/>
  <c r="BH23" i="7"/>
  <c r="BH18" i="7"/>
  <c r="BH19" i="7"/>
  <c r="AB169" i="4"/>
  <c r="H170" i="4"/>
  <c r="BI14" i="7"/>
  <c r="BI16" i="7"/>
  <c r="K170" i="4"/>
  <c r="V170" i="4"/>
  <c r="J170" i="4"/>
  <c r="L170" i="4"/>
  <c r="B170" i="4"/>
  <c r="T170" i="4"/>
  <c r="I170" i="4"/>
  <c r="BI15" i="7"/>
  <c r="BI20" i="7"/>
  <c r="BJ9" i="7"/>
  <c r="BJ10" i="7"/>
  <c r="BJ11" i="7"/>
  <c r="W170" i="4"/>
  <c r="Z170" i="4"/>
  <c r="M170" i="4"/>
  <c r="BI17" i="7"/>
  <c r="BJ12" i="7"/>
  <c r="BJ13" i="7"/>
  <c r="BJ16" i="7"/>
  <c r="BI18" i="7"/>
  <c r="BI23" i="7"/>
  <c r="BI19" i="7"/>
  <c r="U170" i="4"/>
  <c r="R170" i="4"/>
  <c r="BJ14" i="7"/>
  <c r="BJ20" i="7"/>
  <c r="AB170" i="4"/>
  <c r="AA170" i="4"/>
  <c r="H171" i="4"/>
  <c r="J171" i="4"/>
  <c r="L171" i="4"/>
  <c r="BJ15" i="7"/>
  <c r="BJ17" i="7"/>
  <c r="BK9" i="7"/>
  <c r="BK10" i="7"/>
  <c r="BK11" i="7"/>
  <c r="T171" i="4"/>
  <c r="I171" i="4"/>
  <c r="B171" i="4"/>
  <c r="K171" i="4"/>
  <c r="V171" i="4"/>
  <c r="BJ23" i="7"/>
  <c r="BJ19" i="7"/>
  <c r="BJ18" i="7"/>
  <c r="W171" i="4"/>
  <c r="BK12" i="7"/>
  <c r="BK13" i="7"/>
  <c r="M171" i="4"/>
  <c r="R171" i="4"/>
  <c r="Z171" i="4"/>
  <c r="BK16" i="7"/>
  <c r="BK14" i="7"/>
  <c r="U171" i="4"/>
  <c r="AA171" i="4"/>
  <c r="AB171" i="4"/>
  <c r="BK20" i="7"/>
  <c r="BK15" i="7"/>
  <c r="BK17" i="7"/>
  <c r="BL10" i="7"/>
  <c r="BL11" i="7"/>
  <c r="BL9" i="7"/>
  <c r="H172" i="4"/>
  <c r="BK18" i="7"/>
  <c r="BK23" i="7"/>
  <c r="BK19" i="7"/>
  <c r="T172" i="4"/>
  <c r="B172" i="4"/>
  <c r="I172" i="4"/>
  <c r="J172" i="4"/>
  <c r="L172" i="4"/>
  <c r="K172" i="4"/>
  <c r="V172" i="4"/>
  <c r="BL12" i="7"/>
  <c r="BL13" i="7"/>
  <c r="W172" i="4"/>
  <c r="Z172" i="4"/>
  <c r="M172" i="4"/>
  <c r="BL16" i="7"/>
  <c r="BL14" i="7"/>
  <c r="BL20" i="7"/>
  <c r="BL15" i="7"/>
  <c r="R172" i="4"/>
  <c r="U172" i="4"/>
  <c r="AB172" i="4"/>
  <c r="AA172" i="4"/>
  <c r="BL17" i="7"/>
  <c r="BM10" i="7"/>
  <c r="BM11" i="7"/>
  <c r="BM9" i="7"/>
  <c r="H173" i="4"/>
  <c r="K173" i="4"/>
  <c r="V173" i="4"/>
  <c r="BM12" i="7"/>
  <c r="BM13" i="7"/>
  <c r="BM16" i="7"/>
  <c r="BL23" i="7"/>
  <c r="BL19" i="7"/>
  <c r="BL18" i="7"/>
  <c r="T173" i="4"/>
  <c r="J173" i="4"/>
  <c r="L173" i="4"/>
  <c r="M173" i="4"/>
  <c r="I173" i="4"/>
  <c r="B173" i="4"/>
  <c r="BM14" i="7"/>
  <c r="BM20" i="7"/>
  <c r="BM15" i="7"/>
  <c r="BM17" i="7"/>
  <c r="BM23" i="7"/>
  <c r="W173" i="4"/>
  <c r="Z173" i="4"/>
  <c r="BN9" i="7"/>
  <c r="BN10" i="7"/>
  <c r="BN11" i="7"/>
  <c r="U173" i="4"/>
  <c r="R173" i="4"/>
  <c r="BN12" i="7"/>
  <c r="BN13" i="7"/>
  <c r="BN16" i="7"/>
  <c r="BM19" i="7"/>
  <c r="BM18" i="7"/>
  <c r="AA173" i="4"/>
  <c r="AB173" i="4"/>
  <c r="BN14" i="7"/>
  <c r="BN20" i="7"/>
  <c r="H174" i="4"/>
  <c r="T174" i="4"/>
  <c r="BN15" i="7"/>
  <c r="BN17" i="7"/>
  <c r="I174" i="4"/>
  <c r="B174" i="4"/>
  <c r="K174" i="4"/>
  <c r="V174" i="4"/>
  <c r="J174" i="4"/>
  <c r="L174" i="4"/>
  <c r="W174" i="4"/>
  <c r="BO10" i="7"/>
  <c r="BO11" i="7"/>
  <c r="BO9" i="7"/>
  <c r="Z174" i="4"/>
  <c r="M174" i="4"/>
  <c r="U174" i="4"/>
  <c r="BO12" i="7"/>
  <c r="BO13" i="7"/>
  <c r="BO16" i="7"/>
  <c r="BN18" i="7"/>
  <c r="BN23" i="7"/>
  <c r="BN19" i="7"/>
  <c r="R174" i="4"/>
  <c r="AA174" i="4"/>
  <c r="BO14" i="7"/>
  <c r="BO20" i="7"/>
  <c r="AB174" i="4"/>
  <c r="H175" i="4"/>
  <c r="I175" i="4"/>
  <c r="BO15" i="7"/>
  <c r="BO17" i="7"/>
  <c r="BO23" i="7"/>
  <c r="BP10" i="7"/>
  <c r="BP11" i="7"/>
  <c r="BP9" i="7"/>
  <c r="J175" i="4"/>
  <c r="L175" i="4"/>
  <c r="W175" i="4"/>
  <c r="K175" i="4"/>
  <c r="V175" i="4"/>
  <c r="T175" i="4"/>
  <c r="B175" i="4"/>
  <c r="BO18" i="7"/>
  <c r="BO19" i="7"/>
  <c r="BP12" i="7"/>
  <c r="BP13" i="7"/>
  <c r="BP14" i="7"/>
  <c r="Z175" i="4"/>
  <c r="M175" i="4"/>
  <c r="R175" i="4"/>
  <c r="BP16" i="7"/>
  <c r="BP15" i="7"/>
  <c r="BP20" i="7"/>
  <c r="U175" i="4"/>
  <c r="AA175" i="4"/>
  <c r="BQ10" i="7"/>
  <c r="BQ11" i="7"/>
  <c r="BQ9" i="7"/>
  <c r="BP17" i="7"/>
  <c r="AB175" i="4"/>
  <c r="BQ12" i="7"/>
  <c r="BQ13" i="7"/>
  <c r="BQ16" i="7"/>
  <c r="H176" i="4"/>
  <c r="BP18" i="7"/>
  <c r="BP23" i="7"/>
  <c r="BP19" i="7"/>
  <c r="BQ14" i="7"/>
  <c r="BQ20" i="7"/>
  <c r="T176" i="4"/>
  <c r="B176" i="4"/>
  <c r="K176" i="4"/>
  <c r="V176" i="4"/>
  <c r="I176" i="4"/>
  <c r="J176" i="4"/>
  <c r="L176" i="4"/>
  <c r="BQ15" i="7"/>
  <c r="BQ17" i="7"/>
  <c r="M176" i="4"/>
  <c r="W176" i="4"/>
  <c r="Z176" i="4"/>
  <c r="BR10" i="7"/>
  <c r="BR11" i="7"/>
  <c r="BR9" i="7"/>
  <c r="BR12" i="7"/>
  <c r="BR13" i="7"/>
  <c r="BR16" i="7"/>
  <c r="BQ19" i="7"/>
  <c r="BQ18" i="7"/>
  <c r="BQ23" i="7"/>
  <c r="R176" i="4"/>
  <c r="U176" i="4"/>
  <c r="BR14" i="7"/>
  <c r="BR20" i="7"/>
  <c r="AB176" i="4"/>
  <c r="AA176" i="4"/>
  <c r="BR15" i="7"/>
  <c r="BR17" i="7"/>
  <c r="BR18" i="7"/>
  <c r="BS9" i="7"/>
  <c r="BS10" i="7"/>
  <c r="BS11" i="7"/>
  <c r="H177" i="4"/>
  <c r="BS12" i="7"/>
  <c r="BS13" i="7"/>
  <c r="BS14" i="7"/>
  <c r="BR23" i="7"/>
  <c r="BR19" i="7"/>
  <c r="K177" i="4"/>
  <c r="V177" i="4"/>
  <c r="T177" i="4"/>
  <c r="I177" i="4"/>
  <c r="B177" i="4"/>
  <c r="J177" i="4"/>
  <c r="L177" i="4"/>
  <c r="BS16" i="7"/>
  <c r="W177" i="4"/>
  <c r="Z177" i="4"/>
  <c r="M177" i="4"/>
  <c r="BS15" i="7"/>
  <c r="BS20" i="7"/>
  <c r="BT10" i="7"/>
  <c r="BT11" i="7"/>
  <c r="BT9" i="7"/>
  <c r="BS17" i="7"/>
  <c r="R177" i="4"/>
  <c r="U177" i="4"/>
  <c r="BT12" i="7"/>
  <c r="BT13" i="7"/>
  <c r="BT16" i="7"/>
  <c r="AB177" i="4"/>
  <c r="AA177" i="4"/>
  <c r="BS18" i="7"/>
  <c r="BS19" i="7"/>
  <c r="BS23" i="7"/>
  <c r="BT14" i="7"/>
  <c r="BT20" i="7"/>
  <c r="H178" i="4"/>
  <c r="BT15" i="7"/>
  <c r="BT17" i="7"/>
  <c r="BU9" i="7"/>
  <c r="BU10" i="7"/>
  <c r="BU11" i="7"/>
  <c r="T178" i="4"/>
  <c r="K178" i="4"/>
  <c r="V178" i="4"/>
  <c r="B178" i="4"/>
  <c r="I178" i="4"/>
  <c r="J178" i="4"/>
  <c r="L178" i="4"/>
  <c r="BU12" i="7"/>
  <c r="BU13" i="7"/>
  <c r="BU16" i="7"/>
  <c r="M178" i="4"/>
  <c r="W178" i="4"/>
  <c r="Z178" i="4"/>
  <c r="BT23" i="7"/>
  <c r="BT18" i="7"/>
  <c r="BT19" i="7"/>
  <c r="BU14" i="7"/>
  <c r="BU20" i="7"/>
  <c r="R178" i="4"/>
  <c r="U178" i="4"/>
  <c r="BU15" i="7"/>
  <c r="BU17" i="7"/>
  <c r="BV9" i="7"/>
  <c r="BV10" i="7"/>
  <c r="BV11" i="7"/>
  <c r="AB178" i="4"/>
  <c r="AA178" i="4"/>
  <c r="BV12" i="7"/>
  <c r="BV13" i="7"/>
  <c r="BV16" i="7"/>
  <c r="H179" i="4"/>
  <c r="BU19" i="7"/>
  <c r="BU18" i="7"/>
  <c r="BU23" i="7"/>
  <c r="BV14" i="7"/>
  <c r="BV20" i="7"/>
  <c r="T179" i="4"/>
  <c r="K179" i="4"/>
  <c r="V179" i="4"/>
  <c r="I179" i="4"/>
  <c r="J179" i="4"/>
  <c r="L179" i="4"/>
  <c r="B179" i="4"/>
  <c r="BV15" i="7"/>
  <c r="BV17" i="7"/>
  <c r="M179" i="4"/>
  <c r="W179" i="4"/>
  <c r="Z179" i="4"/>
  <c r="BW10" i="7"/>
  <c r="BW11" i="7"/>
  <c r="BW9" i="7"/>
  <c r="BW12" i="7"/>
  <c r="BW13" i="7"/>
  <c r="BV23" i="7"/>
  <c r="BV18" i="7"/>
  <c r="BV19" i="7"/>
  <c r="R179" i="4"/>
  <c r="AB179" i="4"/>
  <c r="U179" i="4"/>
  <c r="AA179" i="4"/>
  <c r="H180" i="4"/>
  <c r="BW16" i="7"/>
  <c r="BW14" i="7"/>
  <c r="BW20" i="7"/>
  <c r="BW15" i="7"/>
  <c r="J180" i="4"/>
  <c r="L180" i="4"/>
  <c r="B180" i="4"/>
  <c r="K180" i="4"/>
  <c r="V180" i="4"/>
  <c r="I180" i="4"/>
  <c r="T180" i="4"/>
  <c r="W180" i="4"/>
  <c r="Z180" i="4"/>
  <c r="M180" i="4"/>
  <c r="BW17" i="7"/>
  <c r="BX10" i="7"/>
  <c r="BX11" i="7"/>
  <c r="BX9" i="7"/>
  <c r="BX12" i="7"/>
  <c r="BX13" i="7"/>
  <c r="BW19" i="7"/>
  <c r="BW23" i="7"/>
  <c r="BW18" i="7"/>
  <c r="R180" i="4"/>
  <c r="U180" i="4"/>
  <c r="AA180" i="4"/>
  <c r="AB180" i="4"/>
  <c r="BX16" i="7"/>
  <c r="BX14" i="7"/>
  <c r="H181" i="4"/>
  <c r="B181" i="4"/>
  <c r="BX20" i="7"/>
  <c r="BX15" i="7"/>
  <c r="T181" i="4"/>
  <c r="I181" i="4"/>
  <c r="J181" i="4"/>
  <c r="L181" i="4"/>
  <c r="W181" i="4"/>
  <c r="K181" i="4"/>
  <c r="V181" i="4"/>
  <c r="BY9" i="7"/>
  <c r="BY10" i="7"/>
  <c r="BY11" i="7"/>
  <c r="BX17" i="7"/>
  <c r="BY12" i="7"/>
  <c r="BY13" i="7"/>
  <c r="BY16" i="7"/>
  <c r="M181" i="4"/>
  <c r="R181" i="4"/>
  <c r="AB181" i="4"/>
  <c r="Z181" i="4"/>
  <c r="BX23" i="7"/>
  <c r="BX19" i="7"/>
  <c r="BX18" i="7"/>
  <c r="BY14" i="7"/>
  <c r="BY20" i="7"/>
  <c r="U181" i="4"/>
  <c r="AA181" i="4"/>
  <c r="H182" i="4"/>
  <c r="K182" i="4"/>
  <c r="V182" i="4"/>
  <c r="BY15" i="7"/>
  <c r="BY17" i="7"/>
  <c r="B182" i="4"/>
  <c r="I182" i="4"/>
  <c r="T182" i="4"/>
  <c r="J182" i="4"/>
  <c r="L182" i="4"/>
  <c r="W182" i="4"/>
  <c r="Z182" i="4"/>
  <c r="BZ9" i="7"/>
  <c r="BZ10" i="7"/>
  <c r="BZ11" i="7"/>
  <c r="BZ12" i="7"/>
  <c r="BZ13" i="7"/>
  <c r="BZ16" i="7"/>
  <c r="M182" i="4"/>
  <c r="U182" i="4"/>
  <c r="BY23" i="7"/>
  <c r="BY18" i="7"/>
  <c r="BY19" i="7"/>
  <c r="BZ14" i="7"/>
  <c r="BZ20" i="7"/>
  <c r="R182" i="4"/>
  <c r="AA182" i="4"/>
  <c r="BZ15" i="7"/>
  <c r="BZ17" i="7"/>
  <c r="AB182" i="4"/>
  <c r="H183" i="4"/>
  <c r="CA10" i="7"/>
  <c r="CA11" i="7"/>
  <c r="CA9" i="7"/>
  <c r="J183" i="4"/>
  <c r="L183" i="4"/>
  <c r="B183" i="4"/>
  <c r="K183" i="4"/>
  <c r="V183" i="4"/>
  <c r="I183" i="4"/>
  <c r="T183" i="4"/>
  <c r="CA12" i="7"/>
  <c r="CA13" i="7"/>
  <c r="CA16" i="7"/>
  <c r="BZ23" i="7"/>
  <c r="BZ19" i="7"/>
  <c r="BZ18" i="7"/>
  <c r="W183" i="4"/>
  <c r="Z183" i="4"/>
  <c r="M183" i="4"/>
  <c r="CA14" i="7"/>
  <c r="CA20" i="7"/>
  <c r="R183" i="4"/>
  <c r="U183" i="4"/>
  <c r="CA15" i="7"/>
  <c r="CA17" i="7"/>
  <c r="CB9" i="7"/>
  <c r="CB10" i="7"/>
  <c r="CB11" i="7"/>
  <c r="AB183" i="4"/>
  <c r="AA183" i="4"/>
  <c r="CB12" i="7"/>
  <c r="CB13" i="7"/>
  <c r="CB16" i="7"/>
  <c r="CA19" i="7"/>
  <c r="CA23" i="7"/>
  <c r="CA18" i="7"/>
  <c r="H184" i="4"/>
  <c r="T184" i="4"/>
  <c r="CB14" i="7"/>
  <c r="CB15" i="7"/>
  <c r="CB17" i="7"/>
  <c r="K184" i="4"/>
  <c r="V184" i="4"/>
  <c r="J184" i="4"/>
  <c r="L184" i="4"/>
  <c r="W184" i="4"/>
  <c r="I184" i="4"/>
  <c r="B184" i="4"/>
  <c r="CB20" i="7"/>
  <c r="CC10" i="7"/>
  <c r="CC11" i="7"/>
  <c r="CB18" i="7"/>
  <c r="CB19" i="7"/>
  <c r="CB23" i="7"/>
  <c r="CC9" i="7"/>
  <c r="CC12" i="7"/>
  <c r="CC13" i="7"/>
  <c r="CC16" i="7"/>
  <c r="M184" i="4"/>
  <c r="R184" i="4"/>
  <c r="Z184" i="4"/>
  <c r="U184" i="4"/>
  <c r="AA184" i="4"/>
  <c r="CC14" i="7"/>
  <c r="CC20" i="7"/>
  <c r="AB184" i="4"/>
  <c r="CC15" i="7"/>
  <c r="CC17" i="7"/>
  <c r="CC23" i="7"/>
  <c r="H185" i="4"/>
  <c r="CD10" i="7"/>
  <c r="CD11" i="7"/>
  <c r="CD9" i="7"/>
  <c r="CC18" i="7"/>
  <c r="CC19" i="7"/>
  <c r="K185" i="4"/>
  <c r="V185" i="4"/>
  <c r="J185" i="4"/>
  <c r="L185" i="4"/>
  <c r="T185" i="4"/>
  <c r="I185" i="4"/>
  <c r="B185" i="4"/>
  <c r="CD12" i="7"/>
  <c r="CD13" i="7"/>
  <c r="W185" i="4"/>
  <c r="Z185" i="4"/>
  <c r="M185" i="4"/>
  <c r="CD16" i="7"/>
  <c r="CD14" i="7"/>
  <c r="R185" i="4"/>
  <c r="AB185" i="4"/>
  <c r="U185" i="4"/>
  <c r="CD15" i="7"/>
  <c r="CD20" i="7"/>
  <c r="AA185" i="4"/>
  <c r="H186" i="4"/>
  <c r="B186" i="4"/>
  <c r="CE10" i="7"/>
  <c r="CE11" i="7"/>
  <c r="CE9" i="7"/>
  <c r="CD17" i="7"/>
  <c r="K186" i="4"/>
  <c r="V186" i="4"/>
  <c r="I186" i="4"/>
  <c r="T186" i="4"/>
  <c r="J186" i="4"/>
  <c r="L186" i="4"/>
  <c r="CD18" i="7"/>
  <c r="CD19" i="7"/>
  <c r="CD23" i="7"/>
  <c r="CE12" i="7"/>
  <c r="CE13" i="7"/>
  <c r="M186" i="4"/>
  <c r="U186" i="4"/>
  <c r="W186" i="4"/>
  <c r="Z186" i="4"/>
  <c r="CE16" i="7"/>
  <c r="CE14" i="7"/>
  <c r="R186" i="4"/>
  <c r="AB186" i="4"/>
  <c r="CE20" i="7"/>
  <c r="CE15" i="7"/>
  <c r="AA186" i="4"/>
  <c r="H187" i="4"/>
  <c r="CE17" i="7"/>
  <c r="CF9" i="7"/>
  <c r="CF10" i="7"/>
  <c r="CF11" i="7"/>
  <c r="I187" i="4"/>
  <c r="J187" i="4"/>
  <c r="L187" i="4"/>
  <c r="W187" i="4"/>
  <c r="K187" i="4"/>
  <c r="V187" i="4"/>
  <c r="T187" i="4"/>
  <c r="B187" i="4"/>
  <c r="CF12" i="7"/>
  <c r="CF13" i="7"/>
  <c r="CF16" i="7"/>
  <c r="CE19" i="7"/>
  <c r="CE23" i="7"/>
  <c r="CE18" i="7"/>
  <c r="Z187" i="4"/>
  <c r="M187" i="4"/>
  <c r="U187" i="4"/>
  <c r="CF14" i="7"/>
  <c r="CF20" i="7"/>
  <c r="R187" i="4"/>
  <c r="AB187" i="4"/>
  <c r="CF15" i="7"/>
  <c r="CF17" i="7"/>
  <c r="CF23" i="7"/>
  <c r="CG9" i="7"/>
  <c r="CG10" i="7"/>
  <c r="CG11" i="7"/>
  <c r="CG12" i="7"/>
  <c r="CG13" i="7"/>
  <c r="CG16" i="7"/>
  <c r="AA187" i="4"/>
  <c r="H188" i="4"/>
  <c r="K188" i="4"/>
  <c r="V188" i="4"/>
  <c r="CF19" i="7"/>
  <c r="CF18" i="7"/>
  <c r="CG14" i="7"/>
  <c r="CG15" i="7"/>
  <c r="I188" i="4"/>
  <c r="J188" i="4"/>
  <c r="L188" i="4"/>
  <c r="M188" i="4"/>
  <c r="B188" i="4"/>
  <c r="T188" i="4"/>
  <c r="CG20" i="7"/>
  <c r="CH10" i="7"/>
  <c r="CH11" i="7"/>
  <c r="W188" i="4"/>
  <c r="Z188" i="4"/>
  <c r="U188" i="4"/>
  <c r="R188" i="4"/>
  <c r="CG17" i="7"/>
  <c r="CH9" i="7"/>
  <c r="CH12" i="7"/>
  <c r="CH13" i="7"/>
  <c r="CH14" i="7"/>
  <c r="AB188" i="4"/>
  <c r="AA188" i="4"/>
  <c r="CG18" i="7"/>
  <c r="CG19" i="7"/>
  <c r="CG23" i="7"/>
  <c r="H189" i="4"/>
  <c r="I189" i="4"/>
  <c r="CH16" i="7"/>
  <c r="CH20" i="7"/>
  <c r="CH15" i="7"/>
  <c r="CH17" i="7"/>
  <c r="K189" i="4"/>
  <c r="V189" i="4"/>
  <c r="B189" i="4"/>
  <c r="J189" i="4"/>
  <c r="L189" i="4"/>
  <c r="W189" i="4"/>
  <c r="T189" i="4"/>
  <c r="CH19" i="7"/>
  <c r="CH18" i="7"/>
  <c r="CH23" i="7"/>
  <c r="CI10" i="7"/>
  <c r="CI11" i="7"/>
  <c r="CI9" i="7"/>
  <c r="Z189" i="4"/>
  <c r="M189" i="4"/>
  <c r="U189" i="4"/>
  <c r="CI12" i="7"/>
  <c r="CI13" i="7"/>
  <c r="CI14" i="7"/>
  <c r="R189" i="4"/>
  <c r="AA189" i="4"/>
  <c r="CI16" i="7"/>
  <c r="CI15" i="7"/>
  <c r="CI20" i="7"/>
  <c r="AB189" i="4"/>
  <c r="H190" i="4"/>
  <c r="B190" i="4"/>
  <c r="CI17" i="7"/>
  <c r="CJ10" i="7"/>
  <c r="CJ11" i="7"/>
  <c r="CJ9" i="7"/>
  <c r="T190" i="4"/>
  <c r="J190" i="4"/>
  <c r="L190" i="4"/>
  <c r="W190" i="4"/>
  <c r="K190" i="4"/>
  <c r="V190" i="4"/>
  <c r="I190" i="4"/>
  <c r="CI19" i="7"/>
  <c r="CI18" i="7"/>
  <c r="CI23" i="7"/>
  <c r="CJ12" i="7"/>
  <c r="CJ13" i="7"/>
  <c r="M190" i="4"/>
  <c r="U190" i="4"/>
  <c r="Z190" i="4"/>
  <c r="CJ16" i="7"/>
  <c r="CJ14" i="7"/>
  <c r="R190" i="4"/>
  <c r="AB190" i="4"/>
  <c r="CJ20" i="7"/>
  <c r="CJ15" i="7"/>
  <c r="AA190" i="4"/>
  <c r="H191" i="4"/>
  <c r="B191" i="4"/>
  <c r="CK9" i="7"/>
  <c r="CK10" i="7"/>
  <c r="CK11" i="7"/>
  <c r="CJ17" i="7"/>
  <c r="K191" i="4"/>
  <c r="V191" i="4"/>
  <c r="T191" i="4"/>
  <c r="I191" i="4"/>
  <c r="J191" i="4"/>
  <c r="L191" i="4"/>
  <c r="CK12" i="7"/>
  <c r="CK13" i="7"/>
  <c r="CK14" i="7"/>
  <c r="CJ23" i="7"/>
  <c r="CJ18" i="7"/>
  <c r="CJ19" i="7"/>
  <c r="M191" i="4"/>
  <c r="U191" i="4"/>
  <c r="W191" i="4"/>
  <c r="Z191" i="4"/>
  <c r="CK16" i="7"/>
  <c r="CK20" i="7"/>
  <c r="CK15" i="7"/>
  <c r="R191" i="4"/>
  <c r="AB191" i="4"/>
  <c r="CK17" i="7"/>
  <c r="CL9" i="7"/>
  <c r="CL10" i="7"/>
  <c r="CL11" i="7"/>
  <c r="CL12" i="7"/>
  <c r="CL13" i="7"/>
  <c r="CL16" i="7"/>
  <c r="AA191" i="4"/>
  <c r="H192" i="4"/>
  <c r="T192" i="4"/>
  <c r="CK23" i="7"/>
  <c r="CK18" i="7"/>
  <c r="CK19" i="7"/>
  <c r="CL14" i="7"/>
  <c r="CL20" i="7"/>
  <c r="K192" i="4"/>
  <c r="V192" i="4"/>
  <c r="B192" i="4"/>
  <c r="I192" i="4"/>
  <c r="J192" i="4"/>
  <c r="L192" i="4"/>
  <c r="CL15" i="7"/>
  <c r="CL17" i="7"/>
  <c r="M192" i="4"/>
  <c r="U192" i="4"/>
  <c r="W192" i="4"/>
  <c r="Z192" i="4"/>
  <c r="CM10" i="7"/>
  <c r="CM11" i="7"/>
  <c r="CM9" i="7"/>
  <c r="R192" i="4"/>
  <c r="AB192" i="4"/>
  <c r="CM12" i="7"/>
  <c r="CM13" i="7"/>
  <c r="CM16" i="7"/>
  <c r="CL23" i="7"/>
  <c r="CL19" i="7"/>
  <c r="CL18" i="7"/>
  <c r="AA192" i="4"/>
  <c r="H193" i="4"/>
  <c r="B193" i="4"/>
  <c r="CM14" i="7"/>
  <c r="CM20" i="7"/>
  <c r="I193" i="4"/>
  <c r="K193" i="4"/>
  <c r="V193" i="4"/>
  <c r="J193" i="4"/>
  <c r="L193" i="4"/>
  <c r="T193" i="4"/>
  <c r="CM15" i="7"/>
  <c r="CM17" i="7"/>
  <c r="CM23" i="7"/>
  <c r="CN9" i="7"/>
  <c r="CN10" i="7"/>
  <c r="CN11" i="7"/>
  <c r="M193" i="4"/>
  <c r="U193" i="4"/>
  <c r="CN12" i="7"/>
  <c r="CN13" i="7"/>
  <c r="CN14" i="7"/>
  <c r="W193" i="4"/>
  <c r="Z193" i="4"/>
  <c r="CM18" i="7"/>
  <c r="CM19" i="7"/>
  <c r="R193" i="4"/>
  <c r="AB193" i="4"/>
  <c r="CN16" i="7"/>
  <c r="CN15" i="7"/>
  <c r="CN20" i="7"/>
  <c r="AA193" i="4"/>
  <c r="H194" i="4"/>
  <c r="B194" i="4"/>
  <c r="CO9" i="7"/>
  <c r="CO10" i="7"/>
  <c r="CO11" i="7"/>
  <c r="CN17" i="7"/>
  <c r="J194" i="4"/>
  <c r="L194" i="4"/>
  <c r="W194" i="4"/>
  <c r="K194" i="4"/>
  <c r="V194" i="4"/>
  <c r="I194" i="4"/>
  <c r="T194" i="4"/>
  <c r="CO12" i="7"/>
  <c r="CO13" i="7"/>
  <c r="CO14" i="7"/>
  <c r="CN23" i="7"/>
  <c r="CN18" i="7"/>
  <c r="CN19" i="7"/>
  <c r="Z194" i="4"/>
  <c r="M194" i="4"/>
  <c r="U194" i="4"/>
  <c r="CO16" i="7"/>
  <c r="CO20" i="7"/>
  <c r="CO15" i="7"/>
  <c r="R194" i="4"/>
  <c r="AB194" i="4"/>
  <c r="CO17" i="7"/>
  <c r="CP10" i="7"/>
  <c r="CP11" i="7"/>
  <c r="CP9" i="7"/>
  <c r="AA194" i="4"/>
  <c r="H195" i="4"/>
  <c r="I195" i="4"/>
  <c r="CP12" i="7"/>
  <c r="CP13" i="7"/>
  <c r="CP14" i="7"/>
  <c r="CO18" i="7"/>
  <c r="CO23" i="7"/>
  <c r="CO19" i="7"/>
  <c r="K195" i="4"/>
  <c r="V195" i="4"/>
  <c r="T195" i="4"/>
  <c r="B195" i="4"/>
  <c r="J195" i="4"/>
  <c r="L195" i="4"/>
  <c r="CP16" i="7"/>
  <c r="CP20" i="7"/>
  <c r="CP15" i="7"/>
  <c r="M195" i="4"/>
  <c r="R195" i="4"/>
  <c r="W195" i="4"/>
  <c r="Z195" i="4"/>
  <c r="CQ10" i="7"/>
  <c r="CQ11" i="7"/>
  <c r="CQ9" i="7"/>
  <c r="CP17" i="7"/>
  <c r="U195" i="4"/>
  <c r="AA195" i="4"/>
  <c r="AB195" i="4"/>
  <c r="CQ12" i="7"/>
  <c r="CQ13" i="7"/>
  <c r="CQ16" i="7"/>
  <c r="CP23" i="7"/>
  <c r="CP19" i="7"/>
  <c r="CP18" i="7"/>
  <c r="H196" i="4"/>
  <c r="I196" i="4"/>
  <c r="CQ14" i="7"/>
  <c r="CQ15" i="7"/>
  <c r="T196" i="4"/>
  <c r="K196" i="4"/>
  <c r="V196" i="4"/>
  <c r="B196" i="4"/>
  <c r="J196" i="4"/>
  <c r="L196" i="4"/>
  <c r="CQ20" i="7"/>
  <c r="CR9" i="7"/>
  <c r="CQ17" i="7"/>
  <c r="M196" i="4"/>
  <c r="U196" i="4"/>
  <c r="W196" i="4"/>
  <c r="Z196" i="4"/>
  <c r="CR10" i="7"/>
  <c r="CR11" i="7"/>
  <c r="CR12" i="7"/>
  <c r="CR13" i="7"/>
  <c r="CR14" i="7"/>
  <c r="CQ18" i="7"/>
  <c r="CQ23" i="7"/>
  <c r="CQ19" i="7"/>
  <c r="R196" i="4"/>
  <c r="AB196" i="4"/>
  <c r="CR16" i="7"/>
  <c r="CR20" i="7"/>
  <c r="CR15" i="7"/>
  <c r="AA196" i="4"/>
  <c r="H197" i="4"/>
  <c r="CR17" i="7"/>
  <c r="CS10" i="7"/>
  <c r="CS9" i="7"/>
  <c r="I197" i="4"/>
  <c r="K197" i="4"/>
  <c r="V197" i="4"/>
  <c r="B197" i="4"/>
  <c r="T197" i="4"/>
  <c r="J197" i="4"/>
  <c r="L197" i="4"/>
  <c r="CR23" i="7"/>
  <c r="CR18" i="7"/>
  <c r="CR19" i="7"/>
  <c r="CS11" i="7"/>
  <c r="W197" i="4"/>
  <c r="Z197" i="4"/>
  <c r="M197" i="4"/>
  <c r="CS12" i="7"/>
  <c r="CS13" i="7"/>
  <c r="U197" i="4"/>
  <c r="R197" i="4"/>
  <c r="CS16" i="7"/>
  <c r="CS14" i="7"/>
  <c r="AB197" i="4"/>
  <c r="AA197" i="4"/>
  <c r="CS20" i="7"/>
  <c r="CS15" i="7"/>
  <c r="H198" i="4"/>
  <c r="J198" i="4"/>
  <c r="L198" i="4"/>
  <c r="CS17" i="7"/>
  <c r="CT10" i="7"/>
  <c r="CT9" i="7"/>
  <c r="T198" i="4"/>
  <c r="I198" i="4"/>
  <c r="B198" i="4"/>
  <c r="K198" i="4"/>
  <c r="V198" i="4"/>
  <c r="W198" i="4"/>
  <c r="CT11" i="7"/>
  <c r="CS18" i="7"/>
  <c r="CS19" i="7"/>
  <c r="CS23" i="7"/>
  <c r="M198" i="4"/>
  <c r="R198" i="4"/>
  <c r="Z198" i="4"/>
  <c r="CT12" i="7"/>
  <c r="CT13" i="7"/>
  <c r="U198" i="4"/>
  <c r="AA198" i="4"/>
  <c r="AB198" i="4"/>
  <c r="CT16" i="7"/>
  <c r="CT14" i="7"/>
  <c r="H199" i="4"/>
  <c r="CT20" i="7"/>
  <c r="CT15" i="7"/>
  <c r="I199" i="4"/>
  <c r="K199" i="4"/>
  <c r="V199" i="4"/>
  <c r="T199" i="4"/>
  <c r="B199" i="4"/>
  <c r="J199" i="4"/>
  <c r="L199" i="4"/>
  <c r="CT17" i="7"/>
  <c r="CU10" i="7"/>
  <c r="CU9" i="7"/>
  <c r="W199" i="4"/>
  <c r="Z199" i="4"/>
  <c r="M199" i="4"/>
  <c r="CU11" i="7"/>
  <c r="CT18" i="7"/>
  <c r="CT19" i="7"/>
  <c r="CT23" i="7"/>
  <c r="R199" i="4"/>
  <c r="U199" i="4"/>
  <c r="CU12" i="7"/>
  <c r="CU13" i="7"/>
  <c r="AB199" i="4"/>
  <c r="AA199" i="4"/>
  <c r="CU16" i="7"/>
  <c r="CU14" i="7"/>
  <c r="H200" i="4"/>
  <c r="J200" i="4"/>
  <c r="L200" i="4"/>
  <c r="CU20" i="7"/>
  <c r="CU15" i="7"/>
  <c r="K200" i="4"/>
  <c r="V200" i="4"/>
  <c r="I200" i="4"/>
  <c r="B200" i="4"/>
  <c r="T200" i="4"/>
  <c r="W200" i="4"/>
  <c r="CU17" i="7"/>
  <c r="CV10" i="7"/>
  <c r="CV9" i="7"/>
  <c r="M200" i="4"/>
  <c r="U200" i="4"/>
  <c r="Z200" i="4"/>
  <c r="CU23" i="7"/>
  <c r="CU19" i="7"/>
  <c r="CU18" i="7"/>
  <c r="CV11" i="7"/>
  <c r="R200" i="4"/>
  <c r="AA200" i="4"/>
  <c r="CV12" i="7"/>
  <c r="CV13" i="7"/>
  <c r="AB200" i="4"/>
  <c r="H201" i="4"/>
  <c r="CV14" i="7"/>
  <c r="CV16" i="7"/>
  <c r="J201" i="4"/>
  <c r="L201" i="4"/>
  <c r="B201" i="4"/>
  <c r="I201" i="4"/>
  <c r="T201" i="4"/>
  <c r="K201" i="4"/>
  <c r="V201" i="4"/>
  <c r="CV20" i="7"/>
  <c r="CV15" i="7"/>
  <c r="M201" i="4"/>
  <c r="W201" i="4"/>
  <c r="Z201" i="4"/>
  <c r="CV17" i="7"/>
  <c r="CW10" i="7"/>
  <c r="CW9" i="7"/>
  <c r="U201" i="4"/>
  <c r="R201" i="4"/>
  <c r="CV18" i="7"/>
  <c r="CV23" i="7"/>
  <c r="CV19" i="7"/>
  <c r="CW11" i="7"/>
  <c r="AA201" i="4"/>
  <c r="AB201" i="4"/>
  <c r="CW12" i="7"/>
  <c r="CW13" i="7"/>
  <c r="H202" i="4"/>
  <c r="CW16" i="7"/>
  <c r="CW14" i="7"/>
  <c r="K202" i="4"/>
  <c r="V202" i="4"/>
  <c r="I202" i="4"/>
  <c r="T202" i="4"/>
  <c r="B202" i="4"/>
  <c r="J202" i="4"/>
  <c r="L202" i="4"/>
  <c r="CW20" i="7"/>
  <c r="CW15" i="7"/>
  <c r="CW17" i="7"/>
  <c r="M202" i="4"/>
  <c r="W202" i="4"/>
  <c r="Z202" i="4"/>
  <c r="CW23" i="7"/>
  <c r="CW19" i="7"/>
  <c r="CW18" i="7"/>
  <c r="CX10" i="7"/>
  <c r="CX11" i="7"/>
  <c r="CX9" i="7"/>
  <c r="R202" i="4"/>
  <c r="U202" i="4"/>
  <c r="CX12" i="7"/>
  <c r="CX13" i="7"/>
  <c r="AB202" i="4"/>
  <c r="AA202" i="4"/>
  <c r="CX16" i="7"/>
  <c r="CX14" i="7"/>
  <c r="H203" i="4"/>
  <c r="CX15" i="7"/>
  <c r="CX20" i="7"/>
  <c r="T203" i="4"/>
  <c r="B203" i="4"/>
  <c r="J203" i="4"/>
  <c r="L203" i="4"/>
  <c r="K203" i="4"/>
  <c r="V203" i="4"/>
  <c r="I203" i="4"/>
  <c r="CY10" i="7"/>
  <c r="CY11" i="7"/>
  <c r="CY9" i="7"/>
  <c r="CX17" i="7"/>
  <c r="W203" i="4"/>
  <c r="Z203" i="4"/>
  <c r="M203" i="4"/>
  <c r="CX19" i="7"/>
  <c r="CX23" i="7"/>
  <c r="CX18" i="7"/>
  <c r="CY12" i="7"/>
  <c r="CY13" i="7"/>
  <c r="U203" i="4"/>
  <c r="R203" i="4"/>
  <c r="CY16" i="7"/>
  <c r="CY14" i="7"/>
  <c r="AB203" i="4"/>
  <c r="AA203" i="4"/>
  <c r="CY20" i="7"/>
  <c r="CY15" i="7"/>
  <c r="H204" i="4"/>
  <c r="CY17" i="7"/>
  <c r="CZ9" i="7"/>
  <c r="CZ10" i="7"/>
  <c r="I204" i="4"/>
  <c r="K204" i="4"/>
  <c r="V204" i="4"/>
  <c r="B204" i="4"/>
  <c r="T204" i="4"/>
  <c r="J204" i="4"/>
  <c r="L204" i="4"/>
  <c r="CY23" i="7"/>
  <c r="CY18" i="7"/>
  <c r="CY19" i="7"/>
  <c r="CZ19" i="7"/>
  <c r="G41" i="5"/>
  <c r="L41" i="5"/>
  <c r="CZ11" i="7"/>
  <c r="G49" i="5"/>
  <c r="L49" i="5"/>
  <c r="M204" i="4"/>
  <c r="W204" i="4"/>
  <c r="Z204" i="4"/>
  <c r="G133" i="5"/>
  <c r="CZ12" i="7"/>
  <c r="CZ13" i="7"/>
  <c r="G134" i="5"/>
  <c r="G135" i="5"/>
  <c r="U204" i="4"/>
  <c r="R204" i="4"/>
  <c r="AB204" i="4"/>
  <c r="CZ14" i="7"/>
  <c r="CZ16" i="7"/>
  <c r="G64" i="5"/>
  <c r="AA204" i="4"/>
  <c r="H205" i="4"/>
  <c r="CZ15" i="7"/>
  <c r="CZ17" i="7"/>
  <c r="CZ20" i="7"/>
  <c r="G123" i="5"/>
  <c r="I205" i="4"/>
  <c r="T205" i="4"/>
  <c r="J205" i="4"/>
  <c r="L205" i="4"/>
  <c r="K205" i="4"/>
  <c r="V205" i="4"/>
  <c r="B205" i="4"/>
  <c r="G124" i="5"/>
  <c r="G125" i="5"/>
  <c r="G127" i="5"/>
  <c r="I127" i="5"/>
  <c r="L123" i="5"/>
  <c r="CZ18" i="7"/>
  <c r="G132" i="5"/>
  <c r="G136" i="5"/>
  <c r="CZ23" i="7"/>
  <c r="L30" i="1"/>
  <c r="H43" i="1"/>
  <c r="W205" i="4"/>
  <c r="Z205" i="4"/>
  <c r="M205" i="4"/>
  <c r="R205" i="4"/>
  <c r="U205" i="4"/>
  <c r="AB205" i="4"/>
  <c r="AA205" i="4"/>
  <c r="H206" i="4"/>
  <c r="K206" i="4"/>
  <c r="V206" i="4"/>
  <c r="T206" i="4"/>
  <c r="B206" i="4"/>
  <c r="J206" i="4"/>
  <c r="L206" i="4"/>
  <c r="W206" i="4"/>
  <c r="Z206" i="4"/>
  <c r="I206" i="4"/>
  <c r="AB211" i="4"/>
  <c r="M206" i="4"/>
  <c r="U206" i="4"/>
  <c r="R206" i="4"/>
  <c r="AB206" i="4"/>
  <c r="AA206" i="4"/>
  <c r="H207" i="4"/>
  <c r="B207" i="4"/>
  <c r="I207" i="4"/>
  <c r="J207" i="4"/>
  <c r="L207" i="4"/>
  <c r="K207" i="4"/>
  <c r="V207" i="4"/>
  <c r="T207" i="4"/>
  <c r="M207" i="4"/>
  <c r="U207" i="4"/>
  <c r="W207" i="4"/>
  <c r="Z207" i="4"/>
  <c r="R207" i="4"/>
  <c r="AB207" i="4"/>
  <c r="AA207" i="4"/>
  <c r="H208" i="4"/>
  <c r="T208" i="4"/>
  <c r="J208" i="4"/>
  <c r="L208" i="4"/>
  <c r="W208" i="4"/>
  <c r="I208" i="4"/>
  <c r="B208" i="4"/>
  <c r="K208" i="4"/>
  <c r="V208" i="4"/>
  <c r="Z208" i="4"/>
  <c r="M208" i="4"/>
  <c r="R208" i="4"/>
  <c r="U208" i="4"/>
  <c r="AA208" i="4"/>
  <c r="AB208" i="4"/>
  <c r="H209" i="4"/>
  <c r="K209" i="4"/>
  <c r="V209" i="4"/>
  <c r="T209" i="4"/>
  <c r="I209" i="4"/>
  <c r="J209" i="4"/>
  <c r="L209" i="4"/>
  <c r="W209" i="4"/>
  <c r="Z209" i="4"/>
  <c r="B209" i="4"/>
  <c r="M209" i="4"/>
  <c r="R209" i="4"/>
  <c r="U209" i="4"/>
  <c r="AA209" i="4"/>
  <c r="AB209" i="4"/>
  <c r="H210" i="4"/>
  <c r="I210" i="4"/>
  <c r="J210" i="4"/>
  <c r="L210" i="4"/>
  <c r="W210" i="4"/>
  <c r="K210" i="4"/>
  <c r="V210" i="4"/>
  <c r="B210" i="4"/>
  <c r="T210" i="4"/>
  <c r="Z210" i="4"/>
  <c r="M210" i="4"/>
  <c r="R210" i="4"/>
  <c r="AB210" i="4"/>
  <c r="U210" i="4"/>
  <c r="AA210" i="4"/>
  <c r="H211" i="4"/>
  <c r="I211" i="4"/>
  <c r="T211" i="4"/>
  <c r="K211" i="4"/>
  <c r="V211" i="4"/>
  <c r="B211" i="4"/>
  <c r="J211" i="4"/>
  <c r="L211" i="4"/>
  <c r="W211" i="4"/>
  <c r="Z211" i="4"/>
  <c r="M211" i="4"/>
  <c r="U211" i="4"/>
  <c r="R211" i="4"/>
  <c r="AA211" i="4"/>
  <c r="H212" i="4"/>
  <c r="B212" i="4"/>
  <c r="J212" i="4"/>
  <c r="L212" i="4"/>
  <c r="W212" i="4"/>
  <c r="T212" i="4"/>
  <c r="K212" i="4"/>
  <c r="V212" i="4"/>
  <c r="I212" i="4"/>
  <c r="M212" i="4"/>
  <c r="U212" i="4"/>
  <c r="Z212" i="4"/>
  <c r="R212" i="4"/>
  <c r="AA212" i="4"/>
  <c r="H213" i="4"/>
  <c r="I213" i="4"/>
  <c r="B213" i="4"/>
  <c r="T213" i="4"/>
  <c r="J213" i="4"/>
  <c r="L213" i="4"/>
  <c r="K213" i="4"/>
  <c r="V213" i="4"/>
  <c r="W213" i="4"/>
  <c r="Z213" i="4"/>
  <c r="M213" i="4"/>
  <c r="U213" i="4"/>
  <c r="R213" i="4"/>
  <c r="AA213" i="4"/>
  <c r="H214" i="4"/>
  <c r="J214" i="4"/>
  <c r="L214" i="4"/>
  <c r="K214" i="4"/>
  <c r="V214" i="4"/>
  <c r="B214" i="4"/>
  <c r="I214" i="4"/>
  <c r="T214" i="4"/>
  <c r="W214" i="4"/>
  <c r="Z214" i="4"/>
  <c r="M214" i="4"/>
  <c r="R214" i="4"/>
  <c r="U214" i="4"/>
  <c r="AA214" i="4"/>
  <c r="H215" i="4"/>
  <c r="B215" i="4"/>
  <c r="T215" i="4"/>
  <c r="J215" i="4"/>
  <c r="L215" i="4"/>
  <c r="I215" i="4"/>
  <c r="K215" i="4"/>
  <c r="V215" i="4"/>
  <c r="M215" i="4"/>
  <c r="R215" i="4"/>
  <c r="W215" i="4"/>
  <c r="Z215" i="4"/>
  <c r="U215" i="4"/>
  <c r="AA215" i="4"/>
  <c r="H216" i="4"/>
  <c r="J216" i="4"/>
  <c r="L216" i="4"/>
  <c r="T216" i="4"/>
  <c r="I216" i="4"/>
  <c r="K216" i="4"/>
  <c r="V216" i="4"/>
  <c r="B216" i="4"/>
  <c r="W216" i="4"/>
  <c r="M216" i="4"/>
  <c r="R216" i="4"/>
  <c r="Z216" i="4"/>
  <c r="U216" i="4"/>
  <c r="AA216" i="4"/>
  <c r="H217" i="4"/>
  <c r="K217" i="4"/>
  <c r="V217" i="4"/>
  <c r="B217" i="4"/>
  <c r="T217" i="4"/>
  <c r="J217" i="4"/>
  <c r="L217" i="4"/>
  <c r="M217" i="4"/>
  <c r="I217" i="4"/>
  <c r="W217" i="4"/>
  <c r="Z217" i="4"/>
  <c r="R217" i="4"/>
  <c r="U217" i="4"/>
  <c r="AA217" i="4"/>
  <c r="H218" i="4"/>
  <c r="K218" i="4"/>
  <c r="V218" i="4"/>
  <c r="T218" i="4"/>
  <c r="B218" i="4"/>
  <c r="I218" i="4"/>
  <c r="J218" i="4"/>
  <c r="L218" i="4"/>
  <c r="W218" i="4"/>
  <c r="Z218" i="4"/>
  <c r="M218" i="4"/>
  <c r="R218" i="4"/>
  <c r="U218" i="4"/>
  <c r="AA218" i="4"/>
  <c r="H219" i="4"/>
  <c r="B219" i="4"/>
  <c r="J219" i="4"/>
  <c r="L219" i="4"/>
  <c r="I219" i="4"/>
  <c r="K219" i="4"/>
  <c r="V219" i="4"/>
  <c r="T219" i="4"/>
  <c r="W219" i="4"/>
  <c r="Z219" i="4"/>
  <c r="M219" i="4"/>
  <c r="U219" i="4"/>
  <c r="R219" i="4"/>
  <c r="AA219" i="4"/>
  <c r="H220" i="4"/>
  <c r="J220" i="4"/>
  <c r="L220" i="4"/>
  <c r="T51" i="14"/>
  <c r="F29" i="1"/>
  <c r="I220" i="4"/>
  <c r="B220" i="4"/>
  <c r="K220" i="4"/>
  <c r="V220" i="4"/>
  <c r="T220" i="4"/>
  <c r="W220" i="4"/>
  <c r="G98" i="5"/>
  <c r="M220" i="4"/>
  <c r="R220" i="4"/>
  <c r="Z220" i="4"/>
  <c r="G76" i="5"/>
  <c r="G137" i="5"/>
  <c r="U220" i="4"/>
  <c r="AA220" i="4"/>
  <c r="H221" i="4"/>
  <c r="J221" i="4"/>
  <c r="L221" i="4"/>
  <c r="G77" i="5"/>
  <c r="G73" i="5"/>
  <c r="F41" i="1"/>
  <c r="H41" i="1"/>
  <c r="J41" i="1"/>
  <c r="M74" i="5"/>
  <c r="M72" i="5"/>
  <c r="G138" i="5"/>
  <c r="G75" i="5"/>
  <c r="K74" i="5"/>
  <c r="G72" i="5"/>
  <c r="G74" i="5"/>
  <c r="K75" i="5"/>
  <c r="F76" i="5"/>
  <c r="K76" i="5"/>
  <c r="L76" i="5"/>
  <c r="I25" i="1"/>
  <c r="K221" i="4"/>
  <c r="V221" i="4"/>
  <c r="T221" i="4"/>
  <c r="B221" i="4"/>
  <c r="I221" i="4"/>
  <c r="W221" i="4"/>
  <c r="L75" i="5"/>
  <c r="F40" i="1"/>
  <c r="H40" i="1"/>
  <c r="G57" i="5"/>
  <c r="K64" i="5"/>
  <c r="L64" i="5"/>
  <c r="K137" i="5"/>
  <c r="L137" i="5"/>
  <c r="M76" i="5"/>
  <c r="N133" i="5"/>
  <c r="K54" i="5"/>
  <c r="L54" i="5"/>
  <c r="E138" i="5"/>
  <c r="I138" i="5"/>
  <c r="K68" i="5"/>
  <c r="L68" i="5"/>
  <c r="F39" i="1"/>
  <c r="H39" i="1"/>
  <c r="O84" i="5"/>
  <c r="O85" i="5"/>
  <c r="K77" i="5"/>
  <c r="L77" i="5"/>
  <c r="L74" i="5"/>
  <c r="G87" i="5"/>
  <c r="K72" i="5"/>
  <c r="L72" i="5"/>
  <c r="K73" i="5"/>
  <c r="L73" i="5"/>
  <c r="M221" i="4"/>
  <c r="U221" i="4"/>
  <c r="Z221" i="4"/>
  <c r="I87" i="5"/>
  <c r="E87" i="5"/>
  <c r="G93" i="5"/>
  <c r="L39" i="1"/>
  <c r="J39" i="1"/>
  <c r="H35" i="1"/>
  <c r="J35" i="1"/>
  <c r="J40" i="1"/>
  <c r="R221" i="4"/>
  <c r="AA221" i="4"/>
  <c r="H222" i="4"/>
  <c r="G37" i="5"/>
  <c r="I93" i="5"/>
  <c r="G45" i="5"/>
  <c r="K87" i="5"/>
  <c r="L87" i="5"/>
  <c r="E93" i="5"/>
  <c r="G92" i="5"/>
  <c r="I222" i="4"/>
  <c r="K222" i="4"/>
  <c r="V222" i="4"/>
  <c r="B222" i="4"/>
  <c r="J222" i="4"/>
  <c r="L222" i="4"/>
  <c r="T222" i="4"/>
  <c r="G47" i="5"/>
  <c r="M73" i="5"/>
  <c r="G39" i="5"/>
  <c r="M75" i="5"/>
  <c r="I92" i="5"/>
  <c r="E92" i="5"/>
  <c r="K86" i="5"/>
  <c r="L86" i="5"/>
  <c r="K82" i="5"/>
  <c r="G53" i="5"/>
  <c r="G61" i="5"/>
  <c r="W222" i="4"/>
  <c r="Z222" i="4"/>
  <c r="M222" i="4"/>
  <c r="G55" i="5"/>
  <c r="G63" i="5"/>
  <c r="F42" i="1"/>
  <c r="H42" i="1"/>
  <c r="R222" i="4"/>
  <c r="U222" i="4"/>
  <c r="J42" i="1"/>
  <c r="H34" i="1"/>
  <c r="J34" i="1"/>
  <c r="L42" i="1"/>
  <c r="M77" i="5"/>
  <c r="G82" i="5"/>
  <c r="G79" i="5"/>
  <c r="I79" i="5"/>
  <c r="G104" i="5"/>
  <c r="G105" i="5"/>
  <c r="AA222" i="4"/>
  <c r="H223" i="4"/>
  <c r="G83" i="5"/>
  <c r="I83" i="5"/>
  <c r="E83" i="5"/>
  <c r="I82" i="5"/>
  <c r="K105" i="5"/>
  <c r="L105" i="5"/>
  <c r="E82" i="5"/>
  <c r="K93" i="5"/>
  <c r="L93" i="5"/>
  <c r="K94" i="5"/>
  <c r="L94" i="5"/>
  <c r="K92" i="5"/>
  <c r="L92" i="5"/>
  <c r="K91" i="5"/>
  <c r="L91" i="5"/>
  <c r="L82" i="5"/>
  <c r="H32" i="1"/>
  <c r="J223" i="4"/>
  <c r="L223" i="4"/>
  <c r="I223" i="4"/>
  <c r="G89" i="5"/>
  <c r="K223" i="4"/>
  <c r="G48" i="5"/>
  <c r="D55" i="1"/>
  <c r="F32" i="1"/>
  <c r="I89" i="5"/>
  <c r="J32" i="1"/>
  <c r="E89" i="5"/>
  <c r="K48" i="5"/>
  <c r="L48" i="5"/>
  <c r="G107" i="5"/>
  <c r="K40" i="5"/>
  <c r="G40" i="5"/>
  <c r="K56" i="5"/>
  <c r="M223" i="4"/>
  <c r="L40" i="5"/>
  <c r="R223" i="4"/>
  <c r="G65" i="5"/>
  <c r="G56" i="5"/>
  <c r="K65" i="5"/>
  <c r="L65" i="5"/>
  <c r="L56" i="5"/>
</calcChain>
</file>

<file path=xl/comments1.xml><?xml version="1.0" encoding="utf-8"?>
<comments xmlns="http://schemas.openxmlformats.org/spreadsheetml/2006/main">
  <authors>
    <author>Author</author>
  </authors>
  <commentList>
    <comment ref="T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Port size accounting for Cdg = 0.65 used in this performance calc, and appropriate Cd for each orifice size</t>
        </r>
      </text>
    </comment>
  </commentList>
</comments>
</file>

<file path=xl/sharedStrings.xml><?xml version="1.0" encoding="utf-8"?>
<sst xmlns="http://schemas.openxmlformats.org/spreadsheetml/2006/main" count="1296" uniqueCount="699">
  <si>
    <t>Qo</t>
  </si>
  <si>
    <t>m3/s</t>
  </si>
  <si>
    <t>psi</t>
  </si>
  <si>
    <t>Pa</t>
  </si>
  <si>
    <t>m/s</t>
  </si>
  <si>
    <t>m2</t>
  </si>
  <si>
    <t>m</t>
  </si>
  <si>
    <t>in</t>
  </si>
  <si>
    <t>lt</t>
  </si>
  <si>
    <t>dto</t>
  </si>
  <si>
    <t>dti</t>
  </si>
  <si>
    <t>mu</t>
  </si>
  <si>
    <t>Pa-s</t>
  </si>
  <si>
    <t>kg/m3</t>
  </si>
  <si>
    <t>ID of CT</t>
  </si>
  <si>
    <t>Pp</t>
  </si>
  <si>
    <t>mm</t>
  </si>
  <si>
    <t>Pressure</t>
  </si>
  <si>
    <t>g</t>
  </si>
  <si>
    <t>m/s2</t>
  </si>
  <si>
    <t>L</t>
  </si>
  <si>
    <t>Runiv</t>
  </si>
  <si>
    <t>mwt</t>
  </si>
  <si>
    <t>kg/mol</t>
  </si>
  <si>
    <t>Qg</t>
  </si>
  <si>
    <t>mg</t>
  </si>
  <si>
    <t>kg/s</t>
  </si>
  <si>
    <t>T</t>
  </si>
  <si>
    <t>K</t>
  </si>
  <si>
    <t>Pchoke</t>
  </si>
  <si>
    <t>i</t>
  </si>
  <si>
    <t>Pi</t>
  </si>
  <si>
    <t>rhoi</t>
  </si>
  <si>
    <t>fi</t>
  </si>
  <si>
    <t>Nitrogen flow rate</t>
  </si>
  <si>
    <t>ft</t>
  </si>
  <si>
    <t>k</t>
  </si>
  <si>
    <t>Aa</t>
  </si>
  <si>
    <t>rhorock</t>
  </si>
  <si>
    <t>DP</t>
  </si>
  <si>
    <t>Coiled Tubing/Annulus Circulation Model</t>
  </si>
  <si>
    <t>gas constant</t>
  </si>
  <si>
    <t>xratmin</t>
  </si>
  <si>
    <t>mol/s</t>
  </si>
  <si>
    <t>beta</t>
  </si>
  <si>
    <t>Z</t>
  </si>
  <si>
    <t>critical pressure</t>
  </si>
  <si>
    <t>critical temperature</t>
  </si>
  <si>
    <t>MPa</t>
  </si>
  <si>
    <t>Tcrit</t>
  </si>
  <si>
    <t>Pcrit</t>
  </si>
  <si>
    <t>mw</t>
  </si>
  <si>
    <t>BB</t>
  </si>
  <si>
    <t>DD</t>
  </si>
  <si>
    <t>Pp=</t>
  </si>
  <si>
    <t>Rgas</t>
  </si>
  <si>
    <t>scmm</t>
  </si>
  <si>
    <t>C</t>
  </si>
  <si>
    <t>%</t>
  </si>
  <si>
    <t>Gas Density</t>
  </si>
  <si>
    <t>Annulus Circulation</t>
  </si>
  <si>
    <t>mug</t>
  </si>
  <si>
    <t>muw</t>
  </si>
  <si>
    <t>CCC</t>
  </si>
  <si>
    <t>Increment</t>
  </si>
  <si>
    <t>N =</t>
  </si>
  <si>
    <t>Temp</t>
  </si>
  <si>
    <t>dT</t>
  </si>
  <si>
    <t>T0</t>
  </si>
  <si>
    <t>Tb</t>
  </si>
  <si>
    <t>Visc Water</t>
  </si>
  <si>
    <t>Visc Gas</t>
  </si>
  <si>
    <t>CT</t>
  </si>
  <si>
    <t>Circ</t>
  </si>
  <si>
    <t>!</t>
  </si>
  <si>
    <t>V</t>
  </si>
  <si>
    <t>Ref 1</t>
  </si>
  <si>
    <t>References</t>
  </si>
  <si>
    <t>Frank E. Jones, July 2003, http://www.flowcontrolnetwork.com/PastIssues/jul2003/3.asp</t>
  </si>
  <si>
    <t>Avg Viscosity</t>
  </si>
  <si>
    <t>rho</t>
  </si>
  <si>
    <t>gas mass injection ratio</t>
  </si>
  <si>
    <t>Ref 2</t>
  </si>
  <si>
    <t>Water Density</t>
  </si>
  <si>
    <t>rhow</t>
  </si>
  <si>
    <t>Water Flow</t>
  </si>
  <si>
    <t>rhowa</t>
  </si>
  <si>
    <t>C/km</t>
  </si>
  <si>
    <t>K/m</t>
  </si>
  <si>
    <t>Surface Pump</t>
  </si>
  <si>
    <t>Mixed Density</t>
  </si>
  <si>
    <t>Qw</t>
  </si>
  <si>
    <t>Nitrogen Flow</t>
  </si>
  <si>
    <t>Qn</t>
  </si>
  <si>
    <t>m^3/s</t>
  </si>
  <si>
    <t>Superficial</t>
  </si>
  <si>
    <t>vsw</t>
  </si>
  <si>
    <t>vsg</t>
  </si>
  <si>
    <t>sigmaw</t>
  </si>
  <si>
    <t>dyne/cm</t>
  </si>
  <si>
    <t>N/m</t>
  </si>
  <si>
    <t>vs</t>
  </si>
  <si>
    <t>dPm</t>
  </si>
  <si>
    <t>Cuttings density</t>
  </si>
  <si>
    <t>Cuttings size</t>
  </si>
  <si>
    <t>bpm</t>
  </si>
  <si>
    <t>scfm</t>
  </si>
  <si>
    <t>fpm</t>
  </si>
  <si>
    <t>inch</t>
  </si>
  <si>
    <t>vm</t>
  </si>
  <si>
    <t>lpm</t>
  </si>
  <si>
    <t>Equivalent flow entering separator</t>
  </si>
  <si>
    <t>F</t>
  </si>
  <si>
    <t>Metric</t>
  </si>
  <si>
    <t>Imperial</t>
  </si>
  <si>
    <t>Pm</t>
  </si>
  <si>
    <t>Ps</t>
  </si>
  <si>
    <t>Gas Solubility and Gas Cut Effects</t>
  </si>
  <si>
    <t>dissolved gas concentration in separator</t>
  </si>
  <si>
    <t>fg</t>
  </si>
  <si>
    <t>wt%</t>
  </si>
  <si>
    <t>corrected gas mass flow rate</t>
  </si>
  <si>
    <t>mgc</t>
  </si>
  <si>
    <t>critical pressure ratio</t>
  </si>
  <si>
    <t>P*/Po</t>
  </si>
  <si>
    <t>pressure ratio</t>
  </si>
  <si>
    <t>exit mach No.</t>
  </si>
  <si>
    <t>Me</t>
  </si>
  <si>
    <t>sonic gas nozzle area</t>
  </si>
  <si>
    <t>Ag</t>
  </si>
  <si>
    <t>assumes ideal gas law with Z correction</t>
  </si>
  <si>
    <t>exit temperature</t>
  </si>
  <si>
    <t>subsonic nozzle area</t>
  </si>
  <si>
    <t>dg</t>
  </si>
  <si>
    <t>Henry's Law Solubility @ 298.15K</t>
  </si>
  <si>
    <t>kh</t>
  </si>
  <si>
    <t>mol/kg-bar</t>
  </si>
  <si>
    <t>dci</t>
  </si>
  <si>
    <t>Make no changes on this sheet</t>
  </si>
  <si>
    <t>Surface Choke</t>
  </si>
  <si>
    <t xml:space="preserve"> SI  </t>
  </si>
  <si>
    <t>rhowb</t>
  </si>
  <si>
    <t>Separator Liquid Flow</t>
  </si>
  <si>
    <t>gpm</t>
  </si>
  <si>
    <t>(from design)</t>
  </si>
  <si>
    <t>Gas Properties</t>
  </si>
  <si>
    <t>(estimated)</t>
  </si>
  <si>
    <t>Tstd</t>
  </si>
  <si>
    <t>Separator liquid ports equiv flow area</t>
  </si>
  <si>
    <t>Velocity in separator liquid ports</t>
  </si>
  <si>
    <t>Check pressure drop thru separator liquid ports</t>
  </si>
  <si>
    <t>AD</t>
  </si>
  <si>
    <t>nn</t>
  </si>
  <si>
    <t>dbit</t>
  </si>
  <si>
    <t>Compressibility factor @ BHA</t>
  </si>
  <si>
    <t>dPb</t>
  </si>
  <si>
    <t>vsl</t>
  </si>
  <si>
    <t>Turbulent Press Drop</t>
  </si>
  <si>
    <t>Increment Static Head</t>
  </si>
  <si>
    <t>Liquid Holdup</t>
  </si>
  <si>
    <t>Assumptions</t>
  </si>
  <si>
    <t>Motor has no bypass port (through rotor).</t>
  </si>
  <si>
    <t>Surface ground temperature is 40 F.</t>
  </si>
  <si>
    <t>km</t>
  </si>
  <si>
    <t>Ags</t>
  </si>
  <si>
    <t>Te</t>
  </si>
  <si>
    <t>RP</t>
  </si>
  <si>
    <t>Pa/Ps</t>
  </si>
  <si>
    <t>RPc</t>
  </si>
  <si>
    <t>Fluid temp in CT and annulus equals ground temperature at depths.</t>
  </si>
  <si>
    <t>rhogp</t>
  </si>
  <si>
    <t>rhowp</t>
  </si>
  <si>
    <t>rhogs</t>
  </si>
  <si>
    <t>rhows</t>
  </si>
  <si>
    <t>rhogb</t>
  </si>
  <si>
    <t>rhoga</t>
  </si>
  <si>
    <t>rhomc</t>
  </si>
  <si>
    <t>rhoms</t>
  </si>
  <si>
    <t>rhomb</t>
  </si>
  <si>
    <t>rhoma</t>
  </si>
  <si>
    <t>rhomp</t>
  </si>
  <si>
    <t>rhowc</t>
  </si>
  <si>
    <t>rhogc</t>
  </si>
  <si>
    <t>downhole ambient</t>
  </si>
  <si>
    <t>separator in</t>
  </si>
  <si>
    <t>pump out</t>
  </si>
  <si>
    <t>bit in</t>
  </si>
  <si>
    <t>choke in</t>
  </si>
  <si>
    <t>rhowo</t>
  </si>
  <si>
    <t>rhogo</t>
  </si>
  <si>
    <t>std temp, press</t>
  </si>
  <si>
    <t>Temperature</t>
  </si>
  <si>
    <t>Gas Densities</t>
  </si>
  <si>
    <t>Liquid Densities</t>
  </si>
  <si>
    <t>Surface of earth</t>
  </si>
  <si>
    <t>Standard</t>
  </si>
  <si>
    <t>Pstd</t>
  </si>
  <si>
    <t>Universal Constants</t>
  </si>
  <si>
    <t>System Constants</t>
  </si>
  <si>
    <t>Acceleration of gravity</t>
  </si>
  <si>
    <t>Water</t>
  </si>
  <si>
    <t>Nitrogen</t>
  </si>
  <si>
    <t>Density gas</t>
  </si>
  <si>
    <t>Density mixed</t>
  </si>
  <si>
    <t>Bottomhole</t>
  </si>
  <si>
    <t>Henry's Law solubility corrected for bottmhole temp</t>
  </si>
  <si>
    <t>khs</t>
  </si>
  <si>
    <t>dw</t>
  </si>
  <si>
    <t>nw</t>
  </si>
  <si>
    <t>Cdw</t>
  </si>
  <si>
    <t>Mixed Flow Densities</t>
  </si>
  <si>
    <t>Mass Flow Rates</t>
  </si>
  <si>
    <t>mr</t>
  </si>
  <si>
    <t>Density liquid</t>
  </si>
  <si>
    <t>mb</t>
  </si>
  <si>
    <t>dPbha</t>
  </si>
  <si>
    <t>dPw</t>
  </si>
  <si>
    <t>Cdg</t>
  </si>
  <si>
    <t>Gas port discharge coefficient</t>
  </si>
  <si>
    <t>Agss</t>
  </si>
  <si>
    <t>sharp edge orifice (drilled pipe plug)</t>
  </si>
  <si>
    <t>mgr</t>
  </si>
  <si>
    <t>mwr</t>
  </si>
  <si>
    <t>mgb</t>
  </si>
  <si>
    <t>mwb</t>
  </si>
  <si>
    <t>gas recirc port out</t>
  </si>
  <si>
    <t>rhomr</t>
  </si>
  <si>
    <t>gas recirc port</t>
  </si>
  <si>
    <t>liquid port (to bit)</t>
  </si>
  <si>
    <t>rhowm</t>
  </si>
  <si>
    <t>rhogm</t>
  </si>
  <si>
    <t>rhomm</t>
  </si>
  <si>
    <t>Separator mixed flow thru</t>
  </si>
  <si>
    <t>mc</t>
  </si>
  <si>
    <t>Mixed flow thru</t>
  </si>
  <si>
    <t>annulus (to choke)</t>
  </si>
  <si>
    <t>Gas flow thru</t>
  </si>
  <si>
    <t>Total flow thru</t>
  </si>
  <si>
    <t>CT (from pump)</t>
  </si>
  <si>
    <t>Liquid flow thru</t>
  </si>
  <si>
    <t>Press drop across separator</t>
  </si>
  <si>
    <t>Press drop across</t>
  </si>
  <si>
    <t>Pressures</t>
  </si>
  <si>
    <t>Pb</t>
  </si>
  <si>
    <t>Bit inlet pressure</t>
  </si>
  <si>
    <t>Pump outlet pressure (gas &amp; liquid)</t>
  </si>
  <si>
    <t>Separator inlet pressure</t>
  </si>
  <si>
    <t>Downhole ambient pressure</t>
  </si>
  <si>
    <t>Compressibility factor @ pump outlet</t>
  </si>
  <si>
    <t>Zp</t>
  </si>
  <si>
    <t>Compressibility factor @ downhole ambient</t>
  </si>
  <si>
    <t>Za</t>
  </si>
  <si>
    <t>Zs</t>
  </si>
  <si>
    <t>Compressibility factor @ choke inlet</t>
  </si>
  <si>
    <t>Zc</t>
  </si>
  <si>
    <t>motor in</t>
  </si>
  <si>
    <t>flost</t>
  </si>
  <si>
    <t>Flow Restrictions</t>
  </si>
  <si>
    <t>Abha</t>
  </si>
  <si>
    <t>Ab</t>
  </si>
  <si>
    <t>Bit orifice discharge coefficient</t>
  </si>
  <si>
    <t>Cdb</t>
  </si>
  <si>
    <t>Number of liquid outlet ports</t>
  </si>
  <si>
    <t>Liquid outlet port diameter</t>
  </si>
  <si>
    <t>Liquid outlet discharge coefficient</t>
  </si>
  <si>
    <t>BHA Constants</t>
  </si>
  <si>
    <t>BHA equivalent liquid orifice area</t>
  </si>
  <si>
    <t>Actual gas port nozzle equivalent area</t>
  </si>
  <si>
    <t>Pump pressure (drilling/milling)</t>
  </si>
  <si>
    <t>Mass flow water thru</t>
  </si>
  <si>
    <t>recirc (gas) port</t>
  </si>
  <si>
    <t>Mass flow gas thru</t>
  </si>
  <si>
    <t>bit (water) port</t>
  </si>
  <si>
    <t>Volume Fractions of Gas</t>
  </si>
  <si>
    <t>fgs</t>
  </si>
  <si>
    <t>fga</t>
  </si>
  <si>
    <t>fgb</t>
  </si>
  <si>
    <t>fgc</t>
  </si>
  <si>
    <t>fgm</t>
  </si>
  <si>
    <t>fgr</t>
  </si>
  <si>
    <t>fgp</t>
  </si>
  <si>
    <t>Volume fraction gas</t>
  </si>
  <si>
    <t>ml</t>
  </si>
  <si>
    <t>lost to formation</t>
  </si>
  <si>
    <t>Mass water flow</t>
  </si>
  <si>
    <t>Checks</t>
  </si>
  <si>
    <t>1-vs/va</t>
  </si>
  <si>
    <t>xrat</t>
  </si>
  <si>
    <t>Aw</t>
  </si>
  <si>
    <t>Error</t>
  </si>
  <si>
    <t>Ppm</t>
  </si>
  <si>
    <t>Kw</t>
  </si>
  <si>
    <t>expected difference; doesn't effect results</t>
  </si>
  <si>
    <t>heat capacity of mixed flow</t>
  </si>
  <si>
    <t>cpm</t>
  </si>
  <si>
    <t>throat velocity</t>
  </si>
  <si>
    <t>vt</t>
  </si>
  <si>
    <t>throat gas density</t>
  </si>
  <si>
    <t>rhogt</t>
  </si>
  <si>
    <t>throat slip factor</t>
  </si>
  <si>
    <t>throat density corrected for slip factor</t>
  </si>
  <si>
    <t>rhotS</t>
  </si>
  <si>
    <t>mass flux</t>
  </si>
  <si>
    <t>Gflux</t>
  </si>
  <si>
    <t>total mass flow rate</t>
  </si>
  <si>
    <t>gas capacity</t>
  </si>
  <si>
    <t>Qgmax</t>
  </si>
  <si>
    <t>standard is 0.15 C</t>
  </si>
  <si>
    <t>standard is 14.7 psi</t>
  </si>
  <si>
    <t>was x</t>
  </si>
  <si>
    <t>Mass gas percent</t>
  </si>
  <si>
    <t>Two-Phase Flow thru Gas Recirc Port</t>
  </si>
  <si>
    <t>xg</t>
  </si>
  <si>
    <t>bulk modulus</t>
  </si>
  <si>
    <t>surface tension</t>
  </si>
  <si>
    <t>heat capacity</t>
  </si>
  <si>
    <t>heat capacity ratio</t>
  </si>
  <si>
    <t>virial coefficient</t>
  </si>
  <si>
    <t>molecular weight</t>
  </si>
  <si>
    <t>Universal</t>
  </si>
  <si>
    <t>J/kg-K</t>
  </si>
  <si>
    <t>cpw</t>
  </si>
  <si>
    <t>temperature</t>
  </si>
  <si>
    <t>pressure</t>
  </si>
  <si>
    <t>cp</t>
  </si>
  <si>
    <t>standard is 1.405</t>
  </si>
  <si>
    <t>ks</t>
  </si>
  <si>
    <t>slip factor exponent</t>
  </si>
  <si>
    <t>Outlet pressure</t>
  </si>
  <si>
    <t>Compressibility factor @ P</t>
  </si>
  <si>
    <t>Slip factor (diff water &amp; gas speed)</t>
  </si>
  <si>
    <t>Density gas at outlet</t>
  </si>
  <si>
    <t>Density water at outlet</t>
  </si>
  <si>
    <t>Exit temperature</t>
  </si>
  <si>
    <t>Density of mixture</t>
  </si>
  <si>
    <t>Gas volume fraction</t>
  </si>
  <si>
    <t>Speed of sound</t>
  </si>
  <si>
    <t>(m/s)^2</t>
  </si>
  <si>
    <t>ctp</t>
  </si>
  <si>
    <t>Half velocity squared</t>
  </si>
  <si>
    <t>No. of integration steps</t>
  </si>
  <si>
    <t>ni</t>
  </si>
  <si>
    <t>dPi</t>
  </si>
  <si>
    <t>Poi</t>
  </si>
  <si>
    <t>Zi</t>
  </si>
  <si>
    <t>rhogi</t>
  </si>
  <si>
    <t>rhowi</t>
  </si>
  <si>
    <t>Si</t>
  </si>
  <si>
    <t>alphai</t>
  </si>
  <si>
    <t>rhomi</t>
  </si>
  <si>
    <t>Equation</t>
  </si>
  <si>
    <t>hVs</t>
  </si>
  <si>
    <t>Potential velocity of flow</t>
  </si>
  <si>
    <t>vp</t>
  </si>
  <si>
    <t>=Poi(i-1)-dPi</t>
  </si>
  <si>
    <t>=1+BB*Poi+CCC*Poi^2+DD*Poi^3</t>
  </si>
  <si>
    <t>=Poi/(Zi*Rgas*Te(i-1))</t>
  </si>
  <si>
    <t>=(-0.002516*(Te(i-1)-273)^2-0.1853*(Te(i-1)-273)+1002)*(1+Poi/1000000*(0.00000002*(Te(i-1)-273)^2-0.00000224*(Te(i-1)-273)+0.000508))</t>
  </si>
  <si>
    <t>=(1-xg+xg*rhowi/Zi)^ks</t>
  </si>
  <si>
    <t>=xg/(xg+Si*(1-xg)*rhogi/rhowi)</t>
  </si>
  <si>
    <t>=alphai*rhogi+(1-alphai)*rhowi</t>
  </si>
  <si>
    <t>=dPi/rhomi</t>
  </si>
  <si>
    <t>=SQRT(dPi/(rhomi(i-1)-rhomi))</t>
  </si>
  <si>
    <t>=SQRT(2*hVs)</t>
  </si>
  <si>
    <t>=IF(vp&lt;ctp,vp,0)</t>
  </si>
  <si>
    <t>=IF(vp&gt;ctp,rhogi,0)</t>
  </si>
  <si>
    <t>=Te(i-1)-hVs/cpm</t>
  </si>
  <si>
    <t>vr</t>
  </si>
  <si>
    <t>Velocity of mixed recirc flow</t>
  </si>
  <si>
    <t>rhogr</t>
  </si>
  <si>
    <t>tsf</t>
  </si>
  <si>
    <t>was St</t>
  </si>
  <si>
    <t>kg/m2-s</t>
  </si>
  <si>
    <t>Running sum of hVs</t>
  </si>
  <si>
    <t>sighVs</t>
  </si>
  <si>
    <t>=mr?</t>
  </si>
  <si>
    <t>dgs</t>
  </si>
  <si>
    <t>Sonic gas nozzle diameter</t>
  </si>
  <si>
    <t>Tei</t>
  </si>
  <si>
    <t>Check separator mixed flow thru</t>
  </si>
  <si>
    <t>Direct numerical integration of Bernoulli equation for</t>
  </si>
  <si>
    <t xml:space="preserve"> Separator Gas Port</t>
  </si>
  <si>
    <t>separator out</t>
  </si>
  <si>
    <t>expected difference</t>
  </si>
  <si>
    <t>rhowr</t>
  </si>
  <si>
    <t>rhogri</t>
  </si>
  <si>
    <t>Alt calcs</t>
  </si>
  <si>
    <t>motor</t>
  </si>
  <si>
    <t>motor (unloaded)</t>
  </si>
  <si>
    <t>dPm0</t>
  </si>
  <si>
    <t>Total press drop across</t>
  </si>
  <si>
    <t>Motor Gas Separator Calculations</t>
  </si>
  <si>
    <r>
      <t xml:space="preserve">Enter </t>
    </r>
    <r>
      <rPr>
        <sz val="10"/>
        <color indexed="12"/>
        <rFont val="Arial"/>
        <family val="2"/>
      </rPr>
      <t>blue</t>
    </r>
    <r>
      <rPr>
        <sz val="10"/>
        <rFont val="Arial"/>
      </rPr>
      <t xml:space="preserve"> values only</t>
    </r>
  </si>
  <si>
    <t>Sonic Gas Port Size</t>
  </si>
  <si>
    <t>Subsonic Gas Port Size</t>
  </si>
  <si>
    <t>Recommended gas port diameter</t>
  </si>
  <si>
    <t>dgor</t>
  </si>
  <si>
    <t>If gas port is larger than optimal, virtually no gas enters motor and some water exits through gas port.</t>
  </si>
  <si>
    <t>If gas port is smaller than optimal, some of the gas and all of the water enters motor.</t>
  </si>
  <si>
    <t>dv</t>
  </si>
  <si>
    <t>BHA circ valve</t>
  </si>
  <si>
    <t>dPv</t>
  </si>
  <si>
    <t>Area BHA circ valve min passage</t>
  </si>
  <si>
    <t>Av</t>
  </si>
  <si>
    <t>BHA inlet pressure</t>
  </si>
  <si>
    <t>Pv</t>
  </si>
  <si>
    <t>BHA in</t>
  </si>
  <si>
    <t>Brine concentration</t>
  </si>
  <si>
    <t>M1V</t>
  </si>
  <si>
    <t>X-Treme</t>
  </si>
  <si>
    <t>JJK 3-10-08 added 20% turbulent pressure for coil on reel</t>
  </si>
  <si>
    <t xml:space="preserve">Bypass water </t>
  </si>
  <si>
    <t>Bypass nitrogen</t>
  </si>
  <si>
    <t>Unlock password is "Tritan"</t>
  </si>
  <si>
    <t>modified 9-15-09 from rhoma to rhowa</t>
  </si>
  <si>
    <t>Measured Depth</t>
  </si>
  <si>
    <t>TVD</t>
  </si>
  <si>
    <t>Increment of differential pressure</t>
  </si>
  <si>
    <t>GSList</t>
  </si>
  <si>
    <t>Estimated fluid flow lost to formation</t>
  </si>
  <si>
    <t>Bit nozzle diameter</t>
  </si>
  <si>
    <t>motor (drilling torque)</t>
  </si>
  <si>
    <t>Bottomhole circulating pressure (BHCP)</t>
  </si>
  <si>
    <t>Total BHA pressure drop</t>
  </si>
  <si>
    <t>Total Vertical Depth (TVD)</t>
  </si>
  <si>
    <t>On-Bottom (Milling) or Off-Bottom</t>
  </si>
  <si>
    <t>psig</t>
  </si>
  <si>
    <t>kPa</t>
  </si>
  <si>
    <t>Wellhead choke pressure (gage)</t>
  </si>
  <si>
    <t>Critical flow va/vc</t>
  </si>
  <si>
    <t>Liquid phase Velocity</t>
  </si>
  <si>
    <t>vL</t>
  </si>
  <si>
    <t>Re =3000</t>
  </si>
  <si>
    <t>vc</t>
  </si>
  <si>
    <t>Froude</t>
  </si>
  <si>
    <t>1.2 m/s for hole cleaning in horizontal section SPE91958</t>
  </si>
  <si>
    <t>Stratified flow in horizontal section?</t>
  </si>
  <si>
    <t>Froude No</t>
  </si>
  <si>
    <t>vTB</t>
  </si>
  <si>
    <t>B&amp;M 4.356</t>
  </si>
  <si>
    <t>JJK 11/11/09 changed holdup calc to Hasan and Kabir, from Brill and Mukherjee p 54-55,65</t>
  </si>
  <si>
    <t>No-Slip Gas Volume Fraction</t>
  </si>
  <si>
    <t>with slip</t>
  </si>
  <si>
    <t>H&amp;K Bubble</t>
  </si>
  <si>
    <t>H&amp;K Slug/Churn</t>
  </si>
  <si>
    <t>psia</t>
  </si>
  <si>
    <t>fL</t>
  </si>
  <si>
    <t>B&amp;M 4.246, 4.355 less correction E1 Table 4.9</t>
  </si>
  <si>
    <t>MD</t>
  </si>
  <si>
    <t>sigmaL</t>
  </si>
  <si>
    <t>Surface Tension</t>
  </si>
  <si>
    <t>B&amp;M p 114</t>
  </si>
  <si>
    <t xml:space="preserve">B&amp;M 4.163 Times factor of 5 for Barnea transition D Fig 4.22 </t>
  </si>
  <si>
    <t>Annular flow transition estimate</t>
  </si>
  <si>
    <t>Annular flow ?</t>
  </si>
  <si>
    <t>1 = yes</t>
  </si>
  <si>
    <t>Transport ratio for 1-mm sand</t>
  </si>
  <si>
    <t>?</t>
  </si>
  <si>
    <t>Mixed velocity</t>
  </si>
  <si>
    <t>Flux</t>
  </si>
  <si>
    <t>Casing ID</t>
  </si>
  <si>
    <t>Annulus</t>
  </si>
  <si>
    <t>dhor</t>
  </si>
  <si>
    <t>dcase</t>
  </si>
  <si>
    <t>try</t>
  </si>
  <si>
    <t xml:space="preserve"> Vertical cuttings transport ratio (1-mm sand)</t>
  </si>
  <si>
    <t>Temperature gradient, deg F/1000 ft</t>
  </si>
  <si>
    <t>Measured Depth (MD)</t>
  </si>
  <si>
    <t>upstream of gas separator</t>
  </si>
  <si>
    <t>Pressure balance table (hide)</t>
  </si>
  <si>
    <t>dgss</t>
  </si>
  <si>
    <t>subsonic nozzle diameter</t>
  </si>
  <si>
    <t>use dgor for automatic gas port sizing</t>
  </si>
  <si>
    <t>Gas Fraction calculation</t>
  </si>
  <si>
    <t>(horiz)</t>
  </si>
  <si>
    <t>(vert)</t>
  </si>
  <si>
    <t>Hydro- static Head</t>
  </si>
  <si>
    <t>mx</t>
  </si>
  <si>
    <t>(eliminates circular reference)</t>
  </si>
  <si>
    <t>BHA Pressure Drops</t>
  </si>
  <si>
    <t>HydroPull</t>
  </si>
  <si>
    <t>dPhp</t>
  </si>
  <si>
    <t>Volume flow to bit</t>
  </si>
  <si>
    <t>Qb</t>
  </si>
  <si>
    <t>mixed flow</t>
  </si>
  <si>
    <t>ON BOTTOM</t>
  </si>
  <si>
    <t>OFF BOTTOM</t>
  </si>
  <si>
    <t>OnOffList</t>
  </si>
  <si>
    <t>from Numerical Models for HydroPulls</t>
  </si>
  <si>
    <t>Cbrine</t>
  </si>
  <si>
    <t>based on volume flow at standard conditions</t>
  </si>
  <si>
    <t>HPList</t>
  </si>
  <si>
    <t>MGS</t>
  </si>
  <si>
    <t>HPeqOrifice</t>
  </si>
  <si>
    <t>Well is vertical to TVD then horizontal to L (MD).</t>
  </si>
  <si>
    <t>Kfr</t>
  </si>
  <si>
    <t>Friction reducer effect</t>
  </si>
  <si>
    <t>% reduction</t>
  </si>
  <si>
    <t>MGS™ or WBS bypass port size</t>
  </si>
  <si>
    <t>equivalent</t>
  </si>
  <si>
    <t>BHA tool diameter</t>
  </si>
  <si>
    <t>MGS™</t>
  </si>
  <si>
    <t>WBS</t>
  </si>
  <si>
    <t>toollist</t>
  </si>
  <si>
    <t>XXX</t>
  </si>
  <si>
    <t>mm-dd-yy</t>
  </si>
  <si>
    <t>Tubing OD</t>
  </si>
  <si>
    <t xml:space="preserve">BHA </t>
  </si>
  <si>
    <t>Fluids</t>
  </si>
  <si>
    <t>Results</t>
  </si>
  <si>
    <t>None</t>
  </si>
  <si>
    <t xml:space="preserve">bit </t>
  </si>
  <si>
    <t xml:space="preserve"> Bit orifices equivalent area of</t>
  </si>
  <si>
    <t>hydrostatic</t>
  </si>
  <si>
    <t>power loss</t>
  </si>
  <si>
    <t>Motor equivalent flow</t>
  </si>
  <si>
    <t>Bypass equivalent flow</t>
  </si>
  <si>
    <t>Press F9 to recalculate until solution stabilizes</t>
  </si>
  <si>
    <t xml:space="preserve">Water flow to motor </t>
  </si>
  <si>
    <t>Nitrogen cut in motor</t>
  </si>
  <si>
    <t>Motor  inlet pressure</t>
  </si>
  <si>
    <t>HydroPull equivalent flow area</t>
  </si>
  <si>
    <t>AHPeq</t>
  </si>
  <si>
    <t>Handbook Motor Data</t>
  </si>
  <si>
    <t>Motor Diameter, inch</t>
  </si>
  <si>
    <t>U.S. Units</t>
  </si>
  <si>
    <t>BHI</t>
  </si>
  <si>
    <t>Maximum Flow Rate</t>
  </si>
  <si>
    <t>No-load Pressure</t>
  </si>
  <si>
    <t>psid</t>
  </si>
  <si>
    <t>Off/On Bottom Differential</t>
  </si>
  <si>
    <t>7/8 5-stage</t>
  </si>
  <si>
    <t>M1XL</t>
  </si>
  <si>
    <t>M1X</t>
  </si>
  <si>
    <t xml:space="preserve"> SS150</t>
  </si>
  <si>
    <t>OSES</t>
  </si>
  <si>
    <t>SRT G2</t>
  </si>
  <si>
    <t>Motor Diameter, mm</t>
  </si>
  <si>
    <t>Large</t>
  </si>
  <si>
    <t>Small</t>
  </si>
  <si>
    <t>X-Large</t>
  </si>
  <si>
    <t>Medium</t>
  </si>
  <si>
    <t>HiFlow</t>
  </si>
  <si>
    <t>LoFlow</t>
  </si>
  <si>
    <t>See Motor Data Sheet</t>
  </si>
  <si>
    <t>At fluid rate, both 0 if no motor</t>
  </si>
  <si>
    <t>BICO 7:8 2.5 Stage</t>
  </si>
  <si>
    <t>BICO 5:6 3.5 Stage</t>
  </si>
  <si>
    <t>SSS100</t>
  </si>
  <si>
    <t>7:8 5-stage</t>
  </si>
  <si>
    <t>Vlookup result</t>
  </si>
  <si>
    <r>
      <rPr>
        <i/>
        <sz val="10"/>
        <rFont val="Arial"/>
        <family val="2"/>
      </rPr>
      <t>nw</t>
    </r>
    <r>
      <rPr>
        <sz val="10"/>
        <rFont val="Arial"/>
      </rPr>
      <t xml:space="preserve"> =</t>
    </r>
  </si>
  <si>
    <t>dw =</t>
  </si>
  <si>
    <t>Max Port Size =</t>
  </si>
  <si>
    <t>Nb</t>
  </si>
  <si>
    <t>MGS has 1 port, WBS can have 2 to 6</t>
  </si>
  <si>
    <t>None=0, MGS=1, WBS=2</t>
  </si>
  <si>
    <t>Water Port Size</t>
  </si>
  <si>
    <t>2 PortWBS</t>
  </si>
  <si>
    <t>Nport WBS</t>
  </si>
  <si>
    <r>
      <t>HydroPull</t>
    </r>
    <r>
      <rPr>
        <sz val="16"/>
        <rFont val="Calibri"/>
        <family val="2"/>
      </rPr>
      <t>®</t>
    </r>
  </si>
  <si>
    <t>N/A</t>
  </si>
  <si>
    <t>Carbide Coated</t>
  </si>
  <si>
    <t>Equivalent Single Port Size (in)</t>
  </si>
  <si>
    <t>(estimated---&gt;DF: Adjusted from 0.95 on 1/15/2015)</t>
  </si>
  <si>
    <t>Side or Forward Firing</t>
  </si>
  <si>
    <t>Tool Size</t>
  </si>
  <si>
    <t>3.XX</t>
  </si>
  <si>
    <t>-</t>
  </si>
  <si>
    <t>Bullnose Type</t>
  </si>
  <si>
    <t>Flow Name</t>
  </si>
  <si>
    <r>
      <rPr>
        <i/>
        <sz val="10"/>
        <rFont val="Arial"/>
        <family val="2"/>
      </rPr>
      <t>dw</t>
    </r>
    <r>
      <rPr>
        <sz val="10"/>
        <rFont val="Arial"/>
      </rPr>
      <t xml:space="preserve"> is the diameter of the water ports in the MGS Motor Adapter.</t>
    </r>
  </si>
  <si>
    <t xml:space="preserve">  There are 4 ports on 2.88 and larger tools and 6 ports on smaller tools.</t>
  </si>
  <si>
    <t>HPeqOrifice is calculated in Standalone HP_Data Excel Sheet</t>
  </si>
  <si>
    <t>dhpeq =</t>
  </si>
  <si>
    <t>&lt;---------------Hide columns C-G----------------&gt;</t>
  </si>
  <si>
    <r>
      <t>Number of nozzles</t>
    </r>
    <r>
      <rPr>
        <sz val="8"/>
        <rFont val="Arial"/>
        <family val="2"/>
      </rPr>
      <t xml:space="preserve"> (bit, bullnose, or JetRotor)</t>
    </r>
  </si>
  <si>
    <t>Drilled &amp; Carbide Plugs</t>
  </si>
  <si>
    <t>.1</t>
  </si>
  <si>
    <t>.2</t>
  </si>
  <si>
    <t>.3</t>
  </si>
  <si>
    <t>.4</t>
  </si>
  <si>
    <t>Low      Flow</t>
  </si>
  <si>
    <t>Med      Flow</t>
  </si>
  <si>
    <t>High       Flow</t>
  </si>
  <si>
    <t>Max       Flow</t>
  </si>
  <si>
    <t>Med     Flow</t>
  </si>
  <si>
    <t>Number of nozzles</t>
  </si>
  <si>
    <t>Nozzle flow area</t>
  </si>
  <si>
    <t xml:space="preserve">Discharge coef. </t>
  </si>
  <si>
    <t>.31</t>
  </si>
  <si>
    <t>.32</t>
  </si>
  <si>
    <t>.33</t>
  </si>
  <si>
    <t>.62</t>
  </si>
  <si>
    <t>.63</t>
  </si>
  <si>
    <t>.64</t>
  </si>
  <si>
    <t>1/8" NPT Stoneage Carbide</t>
  </si>
  <si>
    <t>.34</t>
  </si>
  <si>
    <t>.44</t>
  </si>
  <si>
    <t>.65</t>
  </si>
  <si>
    <t>Low     Flow</t>
  </si>
  <si>
    <t>Med       Flow</t>
  </si>
  <si>
    <t>Max Flow</t>
  </si>
  <si>
    <t>Low    Flow</t>
  </si>
  <si>
    <t>Effective Port Size (in)</t>
  </si>
  <si>
    <t xml:space="preserve">1.69 Water Bypass Sub </t>
  </si>
  <si>
    <t>Orifice diameter (in)</t>
  </si>
  <si>
    <t>Result:</t>
  </si>
  <si>
    <t>.5*</t>
  </si>
  <si>
    <t>Max       Flow +*</t>
  </si>
  <si>
    <t>Actual Dia</t>
  </si>
  <si>
    <t>Effective Dia</t>
  </si>
  <si>
    <t>Number of Ports</t>
  </si>
  <si>
    <t>Lookup Effective Diameter</t>
  </si>
  <si>
    <t>Effective Area</t>
  </si>
  <si>
    <t>3.xx</t>
  </si>
  <si>
    <t>Hide all greyed out areas: rows with flow area, discharge coef., and effective port size</t>
  </si>
  <si>
    <t>Hide grey rows</t>
  </si>
  <si>
    <t>Cdg =</t>
  </si>
  <si>
    <t>Note:</t>
  </si>
  <si>
    <t>Effective Single Port Size (in)</t>
  </si>
  <si>
    <t>to be varified by testing</t>
  </si>
  <si>
    <t>Fluid pump flow rate</t>
  </si>
  <si>
    <t>On/Off Bottom motor pressure differential</t>
  </si>
  <si>
    <t xml:space="preserve"> No-load motor pressure</t>
  </si>
  <si>
    <t xml:space="preserve">Select bypass tool: MGS™ or WBS </t>
  </si>
  <si>
    <t>Select HydroPull® tool</t>
  </si>
  <si>
    <t>Minimum ID in motorhead</t>
  </si>
  <si>
    <t>Tubing wall thickness</t>
  </si>
  <si>
    <t>Length of tubing (coil or jointed)</t>
  </si>
  <si>
    <t>Horizontal casing or openhole ID</t>
  </si>
  <si>
    <t>Vertical casing ID</t>
  </si>
  <si>
    <t>use 1 for equivalent diameter values</t>
  </si>
  <si>
    <t>To unhide: select over hidden range, right click, select Unhide</t>
  </si>
  <si>
    <t>Tips</t>
  </si>
  <si>
    <t>To hide all rows to end of workbook:</t>
  </si>
  <si>
    <t>Select top row to hide, use shift+end then shift+down arrow past all entries</t>
  </si>
  <si>
    <t>Hide all rows here and below</t>
  </si>
  <si>
    <t>See Tempress Nozzle Sizes sheet</t>
  </si>
  <si>
    <t>Well     Data</t>
  </si>
  <si>
    <t>Work-   string</t>
  </si>
  <si>
    <t>Bypass   Ports</t>
  </si>
  <si>
    <t>Instructions for revising engineer when done revising and checking revisions</t>
  </si>
  <si>
    <t>Hide grey columns</t>
  </si>
  <si>
    <t>"Hide" columns, rows, and tabs as directed in notes</t>
  </si>
  <si>
    <t>"Protect" unhiden tabs</t>
  </si>
  <si>
    <t>"Lock" the worksheet (password protect)</t>
  </si>
  <si>
    <t>Save the file with the final revision/release date in the file name in: \Engineering \Circulation Models</t>
  </si>
  <si>
    <t>Check file for intended appearance and function on every visible tab</t>
  </si>
  <si>
    <t>Write protect the file using Windows Explorer</t>
  </si>
  <si>
    <t>Move the previous version(s) of the file into:  \Engineering \Circulation Models \Obsolete</t>
  </si>
  <si>
    <t>Replace the previous version of the file in: \Marketing \Catalog, Brochures &amp; Videos \Customer Suport Documents</t>
  </si>
  <si>
    <t>These are standard motor specifications based on motor data handbooks and recommended operating torque.</t>
  </si>
  <si>
    <t>No-load pressure is the free running pressure differential though the motor as observed on a dynamometer test with no torque.</t>
  </si>
  <si>
    <t>Off/On bottom differential pressure is the difference between pressure while running in hole and milling.</t>
  </si>
  <si>
    <t>Milling</t>
  </si>
  <si>
    <t>Milling/ Stim</t>
  </si>
  <si>
    <t>Milling - SD</t>
  </si>
  <si>
    <t>Stimulation</t>
  </si>
  <si>
    <t>Bullnose Configuration</t>
  </si>
  <si>
    <t>Equiv. Nozzles</t>
  </si>
  <si>
    <t>Head Type</t>
  </si>
  <si>
    <t>Configuration</t>
  </si>
  <si>
    <t>High Flow</t>
  </si>
  <si>
    <t>Med Flow</t>
  </si>
  <si>
    <t>Low Flow</t>
  </si>
  <si>
    <t>3-Port - 1/8" NPT</t>
  </si>
  <si>
    <t>2-Port</t>
  </si>
  <si>
    <t>6-Port - 1/8" NPT</t>
  </si>
  <si>
    <t>3-Port - 3/8" NPT</t>
  </si>
  <si>
    <t>2-Port - 1/2" NPT</t>
  </si>
  <si>
    <t>Jet Rotor™ Nozzle Head Confiurations</t>
  </si>
  <si>
    <t>Verify input cells (blue font) are unlocked and editable by users</t>
  </si>
  <si>
    <t>1.69 &amp; 2.12</t>
  </si>
  <si>
    <r>
      <t>Tempress</t>
    </r>
    <r>
      <rPr>
        <b/>
        <sz val="14"/>
        <rFont val="Calibri"/>
        <family val="2"/>
      </rPr>
      <t>®</t>
    </r>
    <r>
      <rPr>
        <b/>
        <sz val="14"/>
        <rFont val="Arial"/>
        <family val="2"/>
      </rPr>
      <t xml:space="preserve"> Bullnose Equivalent Nozzle Sizes</t>
    </r>
  </si>
  <si>
    <r>
      <t>Tempress</t>
    </r>
    <r>
      <rPr>
        <b/>
        <sz val="14"/>
        <rFont val="Calibri"/>
        <family val="2"/>
      </rPr>
      <t>®</t>
    </r>
    <r>
      <rPr>
        <b/>
        <sz val="14"/>
        <rFont val="Arial"/>
        <family val="2"/>
      </rPr>
      <t xml:space="preserve"> Jet Rotor™ Equivalent Nozzle Sizes</t>
    </r>
  </si>
  <si>
    <t>2.00/         2.06</t>
  </si>
  <si>
    <t>WBS Insert Type</t>
  </si>
  <si>
    <t>Custom Drilled</t>
  </si>
  <si>
    <t>Type of WBS Ports</t>
  </si>
  <si>
    <t>Standard Carbide</t>
  </si>
  <si>
    <t>Fluid velocity in horizontal section</t>
  </si>
  <si>
    <t>*  "Max Flow +" is only an option for 2.12</t>
  </si>
  <si>
    <r>
      <t>Tempress</t>
    </r>
    <r>
      <rPr>
        <b/>
        <sz val="14"/>
        <rFont val="Calibri"/>
        <family val="2"/>
      </rPr>
      <t>®</t>
    </r>
    <r>
      <rPr>
        <b/>
        <sz val="14"/>
        <rFont val="Arial"/>
        <family val="2"/>
      </rPr>
      <t xml:space="preserve">  WBS Standard Carbide Port Sizes</t>
    </r>
  </si>
  <si>
    <t>Num_Ports</t>
  </si>
  <si>
    <t>Should be &gt; 200 fpm</t>
  </si>
  <si>
    <t>WBS Max Drilled Size</t>
  </si>
  <si>
    <t>Lookup Result:</t>
  </si>
  <si>
    <r>
      <t>Two Phase Circulation Model with         MGS™ &amp; WBS Port Sizing</t>
    </r>
    <r>
      <rPr>
        <b/>
        <i/>
        <sz val="10"/>
        <color indexed="56"/>
        <rFont val="Arial"/>
        <family val="2"/>
      </rPr>
      <t xml:space="preserve"> (US Units)</t>
    </r>
  </si>
  <si>
    <t>Enter All                     Blue Data</t>
  </si>
  <si>
    <t xml:space="preserve"> Refer to MGS™ and WBS Operators Guides                                           for more information or call 425.251.8120 for                            well planning assistance</t>
  </si>
  <si>
    <t>Well Designation &amp; date</t>
  </si>
  <si>
    <r>
      <t>Actual Number of Jets                (</t>
    </r>
    <r>
      <rPr>
        <b/>
        <i/>
        <sz val="10"/>
        <color rgb="FFFF0000"/>
        <rFont val="Arial"/>
        <family val="2"/>
      </rPr>
      <t>value not used</t>
    </r>
    <r>
      <rPr>
        <i/>
        <sz val="10"/>
        <rFont val="Arial"/>
        <family val="2"/>
      </rPr>
      <t>)</t>
    </r>
  </si>
  <si>
    <t>Custom Drilled Not Available</t>
  </si>
  <si>
    <t>Number of MGS Ports</t>
  </si>
  <si>
    <t>Number of WBS ports</t>
  </si>
  <si>
    <t>© Tempress 2016</t>
  </si>
  <si>
    <t>HydroPull®</t>
  </si>
  <si>
    <r>
      <t>Performance Software is designed specifically for use with Tempress</t>
    </r>
    <r>
      <rPr>
        <sz val="8"/>
        <rFont val="Calibri"/>
        <family val="2"/>
      </rPr>
      <t>®</t>
    </r>
    <r>
      <rPr>
        <i/>
        <sz val="8"/>
        <rFont val="Arial"/>
        <family val="2"/>
      </rPr>
      <t xml:space="preserve"> tools only                                      </t>
    </r>
    <r>
      <rPr>
        <b/>
        <i/>
        <sz val="8"/>
        <rFont val="Arial"/>
        <family val="2"/>
      </rPr>
      <t>Released 2/11/2016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</si>
</sst>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(* #,##0.00_);_(* \(#,##0.00\);_(* &quot;-&quot;??_);_(@_)"/>
    <numFmt numFmtId="164" formatCode="0.000"/>
    <numFmt numFmtId="165" formatCode="0.0"/>
    <numFmt numFmtId="166" formatCode="0.0000000"/>
    <numFmt numFmtId="167" formatCode="0.000000"/>
    <numFmt numFmtId="168" formatCode="0.00000"/>
    <numFmt numFmtId="169" formatCode="0.0000"/>
    <numFmt numFmtId="170" formatCode="0.00000%"/>
    <numFmt numFmtId="171" formatCode="0.0%"/>
    <numFmt numFmtId="172" formatCode="0.00.E+00"/>
    <numFmt numFmtId="173" formatCode="0.000E+00"/>
    <numFmt numFmtId="174" formatCode="#,##0.000"/>
    <numFmt numFmtId="175" formatCode="0;_ps\i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10"/>
      <color indexed="60"/>
      <name val="Arial"/>
      <family val="2"/>
    </font>
    <font>
      <b/>
      <sz val="14"/>
      <name val="Arial"/>
      <family val="2"/>
    </font>
    <font>
      <sz val="10"/>
      <color indexed="56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2"/>
      <color indexed="10"/>
      <name val="Arial"/>
      <family val="2"/>
    </font>
    <font>
      <sz val="10"/>
      <color indexed="12"/>
      <name val="Arial"/>
      <family val="2"/>
    </font>
    <font>
      <b/>
      <i/>
      <u/>
      <sz val="10"/>
      <name val="Arial"/>
      <family val="2"/>
    </font>
    <font>
      <sz val="10"/>
      <color indexed="16"/>
      <name val="Arial"/>
      <family val="2"/>
    </font>
    <font>
      <sz val="10"/>
      <name val="Arial"/>
      <family val="2"/>
    </font>
    <font>
      <sz val="10"/>
      <color indexed="14"/>
      <name val="Arial"/>
      <family val="2"/>
    </font>
    <font>
      <b/>
      <i/>
      <sz val="10"/>
      <name val="Arial"/>
      <family val="2"/>
    </font>
    <font>
      <b/>
      <sz val="11"/>
      <color indexed="12"/>
      <name val="Arial"/>
      <family val="2"/>
    </font>
    <font>
      <i/>
      <sz val="10"/>
      <color indexed="16"/>
      <name val="Arial"/>
      <family val="2"/>
    </font>
    <font>
      <b/>
      <sz val="10"/>
      <color indexed="58"/>
      <name val="Arial"/>
      <family val="2"/>
    </font>
    <font>
      <sz val="10"/>
      <color indexed="58"/>
      <name val="Arial"/>
      <family val="2"/>
    </font>
    <font>
      <b/>
      <sz val="10"/>
      <color indexed="62"/>
      <name val="Arial"/>
      <family val="2"/>
    </font>
    <font>
      <sz val="8"/>
      <name val="Arial"/>
      <family val="2"/>
    </font>
    <font>
      <sz val="10"/>
      <color indexed="55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i/>
      <sz val="12"/>
      <color indexed="56"/>
      <name val="Arial"/>
      <family val="2"/>
    </font>
    <font>
      <sz val="9"/>
      <name val="Arial"/>
      <family val="2"/>
    </font>
    <font>
      <b/>
      <i/>
      <sz val="10"/>
      <color indexed="16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rgb="FF0070C0"/>
      <name val="Arial"/>
      <family val="2"/>
    </font>
    <font>
      <sz val="16"/>
      <name val="Calibri"/>
      <family val="2"/>
    </font>
    <font>
      <b/>
      <sz val="10"/>
      <color rgb="FF7030A0"/>
      <name val="Arial"/>
      <family val="2"/>
    </font>
    <font>
      <b/>
      <sz val="11"/>
      <name val="Arial"/>
      <family val="2"/>
    </font>
    <font>
      <b/>
      <sz val="11"/>
      <color rgb="FFC00000"/>
      <name val="Arial"/>
      <family val="2"/>
    </font>
    <font>
      <b/>
      <sz val="9"/>
      <name val="Arial"/>
      <family val="2"/>
    </font>
    <font>
      <b/>
      <u/>
      <sz val="12"/>
      <name val="Arial"/>
      <family val="2"/>
    </font>
    <font>
      <b/>
      <u/>
      <sz val="2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b/>
      <i/>
      <sz val="9"/>
      <color rgb="FFC00000"/>
      <name val="Arial"/>
      <family val="2"/>
    </font>
    <font>
      <b/>
      <u/>
      <sz val="16"/>
      <name val="Arial"/>
      <family val="2"/>
    </font>
    <font>
      <b/>
      <sz val="14"/>
      <name val="Calibri"/>
      <family val="2"/>
    </font>
    <font>
      <b/>
      <u/>
      <sz val="14"/>
      <name val="Arial"/>
      <family val="2"/>
    </font>
    <font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b/>
      <i/>
      <sz val="10"/>
      <color indexed="56"/>
      <name val="Arial"/>
      <family val="2"/>
    </font>
    <font>
      <i/>
      <sz val="9"/>
      <color indexed="56"/>
      <name val="Arial"/>
      <family val="2"/>
    </font>
    <font>
      <sz val="10"/>
      <color theme="1" tint="0.34998626667073579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b/>
      <i/>
      <sz val="10"/>
      <color rgb="FFFF0000"/>
      <name val="Arial"/>
      <family val="2"/>
    </font>
    <font>
      <sz val="8"/>
      <name val="Calibri"/>
      <family val="2"/>
    </font>
    <font>
      <b/>
      <i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2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2" fillId="0" borderId="0"/>
  </cellStyleXfs>
  <cellXfs count="1043">
    <xf numFmtId="0" fontId="0" fillId="0" borderId="0" xfId="0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1" fontId="0" fillId="0" borderId="0" xfId="0" applyNumberFormat="1"/>
    <xf numFmtId="169" fontId="0" fillId="0" borderId="0" xfId="0" applyNumberFormat="1"/>
    <xf numFmtId="1" fontId="2" fillId="0" borderId="0" xfId="1" applyNumberFormat="1"/>
    <xf numFmtId="2" fontId="2" fillId="0" borderId="0" xfId="1" applyNumberFormat="1"/>
    <xf numFmtId="164" fontId="2" fillId="0" borderId="0" xfId="1" applyNumberFormat="1"/>
    <xf numFmtId="0" fontId="4" fillId="0" borderId="0" xfId="0" applyFont="1"/>
    <xf numFmtId="11" fontId="0" fillId="0" borderId="0" xfId="0" applyNumberFormat="1"/>
    <xf numFmtId="2" fontId="2" fillId="0" borderId="0" xfId="1" applyNumberFormat="1" applyBorder="1"/>
    <xf numFmtId="0" fontId="0" fillId="0" borderId="0" xfId="0" applyAlignment="1">
      <alignment horizontal="center"/>
    </xf>
    <xf numFmtId="167" fontId="2" fillId="0" borderId="0" xfId="1" applyNumberFormat="1"/>
    <xf numFmtId="11" fontId="2" fillId="0" borderId="0" xfId="1" applyNumberFormat="1"/>
    <xf numFmtId="0" fontId="4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11" fontId="7" fillId="0" borderId="0" xfId="0" applyNumberFormat="1" applyFont="1"/>
    <xf numFmtId="0" fontId="4" fillId="0" borderId="0" xfId="0" applyFont="1" applyAlignment="1">
      <alignment horizontal="right"/>
    </xf>
    <xf numFmtId="172" fontId="4" fillId="0" borderId="0" xfId="0" applyNumberFormat="1" applyFont="1" applyBorder="1"/>
    <xf numFmtId="168" fontId="3" fillId="0" borderId="0" xfId="1" applyNumberFormat="1" applyFont="1"/>
    <xf numFmtId="11" fontId="8" fillId="0" borderId="0" xfId="0" applyNumberFormat="1" applyFont="1" applyBorder="1"/>
    <xf numFmtId="1" fontId="7" fillId="0" borderId="0" xfId="0" applyNumberFormat="1" applyFont="1"/>
    <xf numFmtId="0" fontId="0" fillId="0" borderId="0" xfId="0" applyAlignment="1">
      <alignment horizontal="right" wrapText="1"/>
    </xf>
    <xf numFmtId="0" fontId="0" fillId="0" borderId="0" xfId="0" applyAlignment="1">
      <alignment wrapText="1"/>
    </xf>
    <xf numFmtId="165" fontId="3" fillId="0" borderId="0" xfId="1" applyNumberFormat="1" applyFont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168" fontId="0" fillId="0" borderId="0" xfId="0" applyNumberFormat="1" applyAlignment="1">
      <alignment wrapText="1"/>
    </xf>
    <xf numFmtId="9" fontId="2" fillId="0" borderId="0" xfId="1" applyFont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 wrapText="1"/>
    </xf>
    <xf numFmtId="0" fontId="9" fillId="0" borderId="0" xfId="0" applyFont="1"/>
    <xf numFmtId="0" fontId="0" fillId="0" borderId="0" xfId="0" applyAlignment="1"/>
    <xf numFmtId="0" fontId="0" fillId="0" borderId="0" xfId="0" applyFill="1" applyProtection="1"/>
    <xf numFmtId="0" fontId="4" fillId="0" borderId="0" xfId="0" applyFont="1" applyFill="1" applyBorder="1" applyProtection="1"/>
    <xf numFmtId="0" fontId="0" fillId="0" borderId="0" xfId="0" applyProtection="1"/>
    <xf numFmtId="0" fontId="3" fillId="0" borderId="0" xfId="0" applyFont="1" applyFill="1" applyProtection="1"/>
    <xf numFmtId="1" fontId="3" fillId="0" borderId="0" xfId="0" applyNumberFormat="1" applyFont="1" applyFill="1" applyProtection="1"/>
    <xf numFmtId="0" fontId="4" fillId="0" borderId="0" xfId="0" applyFont="1" applyFill="1" applyProtection="1"/>
    <xf numFmtId="1" fontId="4" fillId="0" borderId="0" xfId="0" applyNumberFormat="1" applyFont="1" applyFill="1" applyProtection="1"/>
    <xf numFmtId="0" fontId="0" fillId="0" borderId="0" xfId="0" applyFill="1" applyAlignment="1" applyProtection="1">
      <alignment horizontal="right"/>
    </xf>
    <xf numFmtId="165" fontId="3" fillId="0" borderId="0" xfId="0" applyNumberFormat="1" applyFont="1" applyFill="1" applyBorder="1" applyProtection="1"/>
    <xf numFmtId="165" fontId="4" fillId="0" borderId="0" xfId="0" applyNumberFormat="1" applyFont="1" applyBorder="1" applyProtection="1"/>
    <xf numFmtId="9" fontId="0" fillId="0" borderId="0" xfId="1" applyFont="1" applyProtection="1"/>
    <xf numFmtId="9" fontId="4" fillId="0" borderId="0" xfId="1" applyFont="1" applyProtection="1"/>
    <xf numFmtId="0" fontId="0" fillId="0" borderId="0" xfId="0" applyFill="1" applyBorder="1" applyAlignment="1" applyProtection="1">
      <alignment horizontal="right"/>
    </xf>
    <xf numFmtId="165" fontId="4" fillId="0" borderId="0" xfId="0" applyNumberFormat="1" applyFont="1" applyFill="1" applyBorder="1" applyProtection="1"/>
    <xf numFmtId="165" fontId="4" fillId="0" borderId="0" xfId="1" applyNumberFormat="1" applyFont="1" applyFill="1" applyBorder="1" applyProtection="1"/>
    <xf numFmtId="1" fontId="3" fillId="0" borderId="0" xfId="0" applyNumberFormat="1" applyFont="1" applyFill="1" applyBorder="1" applyProtection="1"/>
    <xf numFmtId="165" fontId="3" fillId="0" borderId="0" xfId="1" applyNumberFormat="1" applyFont="1" applyFill="1" applyBorder="1" applyProtection="1"/>
    <xf numFmtId="0" fontId="0" fillId="0" borderId="0" xfId="0" applyFill="1" applyBorder="1" applyProtection="1"/>
    <xf numFmtId="165" fontId="3" fillId="0" borderId="0" xfId="1" applyNumberFormat="1" applyFont="1" applyFill="1" applyProtection="1"/>
    <xf numFmtId="165" fontId="3" fillId="0" borderId="0" xfId="1" applyNumberFormat="1" applyFont="1" applyBorder="1" applyProtection="1"/>
    <xf numFmtId="0" fontId="0" fillId="0" borderId="0" xfId="0" applyAlignment="1" applyProtection="1">
      <alignment horizontal="right"/>
    </xf>
    <xf numFmtId="0" fontId="0" fillId="0" borderId="0" xfId="0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1" fontId="3" fillId="0" borderId="0" xfId="0" applyNumberFormat="1" applyFont="1" applyFill="1" applyAlignment="1" applyProtection="1">
      <alignment horizontal="center"/>
    </xf>
    <xf numFmtId="9" fontId="0" fillId="0" borderId="0" xfId="1" applyNumberFormat="1" applyFont="1" applyProtection="1"/>
    <xf numFmtId="171" fontId="0" fillId="0" borderId="0" xfId="1" applyNumberFormat="1" applyFont="1" applyProtection="1"/>
    <xf numFmtId="0" fontId="4" fillId="0" borderId="0" xfId="0" applyFont="1" applyAlignment="1" applyProtection="1">
      <alignment horizontal="center" wrapText="1"/>
    </xf>
    <xf numFmtId="0" fontId="4" fillId="0" borderId="0" xfId="0" applyFont="1" applyFill="1" applyAlignment="1" applyProtection="1">
      <alignment horizontal="center" wrapText="1"/>
    </xf>
    <xf numFmtId="1" fontId="4" fillId="0" borderId="0" xfId="0" applyNumberFormat="1" applyFont="1" applyFill="1" applyAlignment="1" applyProtection="1">
      <alignment horizontal="center" wrapText="1"/>
    </xf>
    <xf numFmtId="1" fontId="4" fillId="0" borderId="0" xfId="1" applyNumberFormat="1" applyFont="1" applyFill="1" applyAlignment="1" applyProtection="1">
      <alignment horizontal="center" wrapText="1"/>
    </xf>
    <xf numFmtId="0" fontId="0" fillId="0" borderId="0" xfId="0" applyAlignment="1">
      <alignment horizontal="right"/>
    </xf>
    <xf numFmtId="11" fontId="2" fillId="3" borderId="0" xfId="1" applyNumberFormat="1" applyFill="1"/>
    <xf numFmtId="164" fontId="0" fillId="3" borderId="0" xfId="0" applyNumberFormat="1" applyFill="1"/>
    <xf numFmtId="0" fontId="5" fillId="0" borderId="0" xfId="0" applyFont="1" applyAlignment="1">
      <alignment horizontal="center"/>
    </xf>
    <xf numFmtId="0" fontId="13" fillId="4" borderId="0" xfId="0" applyFont="1" applyFill="1"/>
    <xf numFmtId="0" fontId="0" fillId="4" borderId="0" xfId="0" applyFill="1"/>
    <xf numFmtId="1" fontId="0" fillId="4" borderId="0" xfId="0" applyNumberFormat="1" applyFill="1" applyBorder="1"/>
    <xf numFmtId="0" fontId="3" fillId="0" borderId="0" xfId="0" applyFont="1" applyFill="1" applyBorder="1" applyProtection="1"/>
    <xf numFmtId="2" fontId="4" fillId="0" borderId="0" xfId="1" applyNumberFormat="1" applyFont="1" applyFill="1" applyBorder="1" applyProtection="1"/>
    <xf numFmtId="0" fontId="6" fillId="0" borderId="0" xfId="0" applyFont="1"/>
    <xf numFmtId="3" fontId="0" fillId="0" borderId="0" xfId="0" applyNumberFormat="1"/>
    <xf numFmtId="0" fontId="12" fillId="0" borderId="0" xfId="0" applyFont="1"/>
    <xf numFmtId="0" fontId="4" fillId="0" borderId="0" xfId="0" applyFont="1" applyAlignment="1">
      <alignment horizontal="left"/>
    </xf>
    <xf numFmtId="0" fontId="0" fillId="0" borderId="0" xfId="0" applyAlignment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165" fontId="4" fillId="0" borderId="0" xfId="1" applyNumberFormat="1" applyFont="1" applyFill="1" applyBorder="1" applyAlignment="1" applyProtection="1">
      <alignment vertical="center"/>
    </xf>
    <xf numFmtId="165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/>
    </xf>
    <xf numFmtId="165" fontId="3" fillId="0" borderId="0" xfId="0" applyNumberFormat="1" applyFont="1" applyFill="1" applyBorder="1" applyAlignment="1" applyProtection="1">
      <alignment vertical="center"/>
    </xf>
    <xf numFmtId="165" fontId="3" fillId="0" borderId="0" xfId="1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164" fontId="0" fillId="0" borderId="0" xfId="1" applyNumberFormat="1" applyFont="1" applyAlignment="1">
      <alignment vertical="center"/>
    </xf>
    <xf numFmtId="1" fontId="4" fillId="0" borderId="0" xfId="0" applyNumberFormat="1" applyFont="1" applyFill="1" applyAlignment="1" applyProtection="1">
      <alignment vertical="center"/>
    </xf>
    <xf numFmtId="2" fontId="4" fillId="0" borderId="0" xfId="1" applyNumberFormat="1" applyFont="1" applyFill="1" applyAlignment="1" applyProtection="1">
      <alignment vertical="center"/>
    </xf>
    <xf numFmtId="2" fontId="4" fillId="0" borderId="0" xfId="1" applyNumberFormat="1" applyFont="1" applyFill="1" applyBorder="1" applyAlignment="1" applyProtection="1">
      <alignment vertical="center"/>
    </xf>
    <xf numFmtId="1" fontId="4" fillId="0" borderId="0" xfId="0" applyNumberFormat="1" applyFont="1" applyFill="1" applyAlignment="1">
      <alignment vertical="center"/>
    </xf>
    <xf numFmtId="165" fontId="4" fillId="0" borderId="0" xfId="1" applyNumberFormat="1" applyFont="1" applyAlignment="1">
      <alignment vertical="center"/>
    </xf>
    <xf numFmtId="1" fontId="0" fillId="0" borderId="0" xfId="1" applyNumberFormat="1" applyFont="1" applyAlignment="1">
      <alignment vertical="center"/>
    </xf>
    <xf numFmtId="0" fontId="0" fillId="0" borderId="0" xfId="0" applyBorder="1" applyAlignment="1">
      <alignment vertical="center"/>
    </xf>
    <xf numFmtId="164" fontId="0" fillId="0" borderId="0" xfId="1" applyNumberFormat="1" applyFont="1" applyBorder="1" applyAlignment="1">
      <alignment vertical="center"/>
    </xf>
    <xf numFmtId="0" fontId="0" fillId="0" borderId="0" xfId="0" applyFill="1" applyAlignment="1" applyProtection="1">
      <alignment horizontal="right" vertical="center"/>
    </xf>
    <xf numFmtId="0" fontId="3" fillId="0" borderId="0" xfId="0" applyFont="1" applyFill="1" applyAlignment="1" applyProtection="1">
      <alignment vertical="center"/>
    </xf>
    <xf numFmtId="0" fontId="9" fillId="0" borderId="0" xfId="0" applyFont="1" applyProtection="1"/>
    <xf numFmtId="0" fontId="13" fillId="4" borderId="0" xfId="0" applyFont="1" applyFill="1" applyProtection="1"/>
    <xf numFmtId="0" fontId="0" fillId="0" borderId="0" xfId="0" applyBorder="1" applyProtection="1"/>
    <xf numFmtId="1" fontId="0" fillId="0" borderId="0" xfId="0" applyNumberFormat="1" applyBorder="1" applyProtection="1"/>
    <xf numFmtId="0" fontId="4" fillId="0" borderId="0" xfId="0" applyFont="1" applyFill="1" applyAlignment="1" applyProtection="1">
      <alignment horizontal="left"/>
    </xf>
    <xf numFmtId="0" fontId="4" fillId="3" borderId="0" xfId="0" applyFont="1" applyFill="1" applyAlignment="1" applyProtection="1">
      <alignment horizontal="left"/>
    </xf>
    <xf numFmtId="164" fontId="0" fillId="0" borderId="0" xfId="1" applyNumberFormat="1" applyFont="1" applyBorder="1" applyProtection="1"/>
    <xf numFmtId="1" fontId="0" fillId="0" borderId="0" xfId="1" applyNumberFormat="1" applyFont="1" applyProtection="1"/>
    <xf numFmtId="164" fontId="0" fillId="0" borderId="0" xfId="1" applyNumberFormat="1" applyFont="1" applyProtection="1"/>
    <xf numFmtId="2" fontId="4" fillId="0" borderId="0" xfId="0" applyNumberFormat="1" applyFont="1" applyFill="1" applyBorder="1" applyProtection="1"/>
    <xf numFmtId="164" fontId="4" fillId="0" borderId="0" xfId="1" applyNumberFormat="1" applyFont="1" applyFill="1" applyBorder="1" applyProtection="1"/>
    <xf numFmtId="171" fontId="4" fillId="0" borderId="0" xfId="1" applyNumberFormat="1" applyFont="1" applyFill="1" applyBorder="1" applyProtection="1"/>
    <xf numFmtId="164" fontId="3" fillId="0" borderId="0" xfId="1" applyNumberFormat="1" applyFont="1" applyFill="1" applyBorder="1" applyProtection="1"/>
    <xf numFmtId="171" fontId="3" fillId="0" borderId="0" xfId="1" applyNumberFormat="1" applyFont="1" applyFill="1" applyBorder="1" applyProtection="1"/>
    <xf numFmtId="164" fontId="3" fillId="0" borderId="0" xfId="1" applyNumberFormat="1" applyFont="1" applyBorder="1" applyProtection="1"/>
    <xf numFmtId="0" fontId="3" fillId="0" borderId="0" xfId="0" applyFont="1" applyProtection="1"/>
    <xf numFmtId="9" fontId="0" fillId="0" borderId="0" xfId="1" applyFont="1" applyBorder="1" applyProtection="1"/>
    <xf numFmtId="165" fontId="0" fillId="0" borderId="0" xfId="0" applyNumberFormat="1" applyBorder="1" applyProtection="1"/>
    <xf numFmtId="0" fontId="3" fillId="0" borderId="0" xfId="0" applyFont="1" applyFill="1" applyAlignment="1" applyProtection="1">
      <alignment horizontal="right"/>
    </xf>
    <xf numFmtId="0" fontId="0" fillId="0" borderId="0" xfId="0" applyFill="1" applyAlignment="1" applyProtection="1">
      <alignment horizontal="left"/>
    </xf>
    <xf numFmtId="0" fontId="5" fillId="0" borderId="0" xfId="0" applyFont="1" applyFill="1" applyProtection="1"/>
    <xf numFmtId="164" fontId="0" fillId="0" borderId="0" xfId="1" applyNumberFormat="1" applyFont="1" applyFill="1" applyBorder="1" applyProtection="1"/>
    <xf numFmtId="2" fontId="4" fillId="0" borderId="0" xfId="1" applyNumberFormat="1" applyFont="1" applyProtection="1"/>
    <xf numFmtId="2" fontId="4" fillId="0" borderId="0" xfId="0" applyNumberFormat="1" applyFont="1" applyBorder="1" applyProtection="1"/>
    <xf numFmtId="171" fontId="3" fillId="0" borderId="0" xfId="1" applyNumberFormat="1" applyFont="1" applyBorder="1" applyProtection="1"/>
    <xf numFmtId="165" fontId="4" fillId="0" borderId="0" xfId="1" applyNumberFormat="1" applyFont="1" applyFill="1" applyProtection="1"/>
    <xf numFmtId="165" fontId="4" fillId="0" borderId="0" xfId="1" applyNumberFormat="1" applyFont="1" applyBorder="1" applyProtection="1"/>
    <xf numFmtId="164" fontId="4" fillId="0" borderId="0" xfId="1" applyNumberFormat="1" applyFont="1" applyBorder="1" applyProtection="1"/>
    <xf numFmtId="171" fontId="4" fillId="0" borderId="0" xfId="1" applyNumberFormat="1" applyFont="1" applyBorder="1" applyProtection="1"/>
    <xf numFmtId="165" fontId="4" fillId="0" borderId="0" xfId="0" applyNumberFormat="1" applyFont="1" applyBorder="1" applyAlignment="1" applyProtection="1">
      <alignment horizontal="center" wrapText="1"/>
    </xf>
    <xf numFmtId="0" fontId="10" fillId="0" borderId="0" xfId="0" applyFont="1" applyBorder="1" applyAlignment="1" applyProtection="1">
      <alignment horizontal="right"/>
    </xf>
    <xf numFmtId="0" fontId="10" fillId="0" borderId="0" xfId="0" applyFont="1" applyFill="1" applyBorder="1" applyProtection="1"/>
    <xf numFmtId="0" fontId="10" fillId="0" borderId="0" xfId="0" applyFont="1" applyBorder="1" applyProtection="1"/>
    <xf numFmtId="1" fontId="4" fillId="3" borderId="0" xfId="0" applyNumberFormat="1" applyFont="1" applyFill="1" applyAlignment="1" applyProtection="1">
      <alignment horizontal="left"/>
    </xf>
    <xf numFmtId="1" fontId="0" fillId="0" borderId="0" xfId="0" applyNumberFormat="1" applyFill="1" applyAlignment="1" applyProtection="1">
      <alignment horizontal="right"/>
    </xf>
    <xf numFmtId="1" fontId="3" fillId="0" borderId="0" xfId="0" applyNumberFormat="1" applyFont="1" applyFill="1" applyAlignment="1" applyProtection="1">
      <alignment horizontal="right"/>
    </xf>
    <xf numFmtId="0" fontId="11" fillId="0" borderId="0" xfId="0" applyFont="1" applyProtection="1"/>
    <xf numFmtId="1" fontId="0" fillId="0" borderId="0" xfId="0" applyNumberFormat="1" applyFill="1" applyBorder="1" applyAlignment="1" applyProtection="1">
      <alignment horizontal="right"/>
    </xf>
    <xf numFmtId="165" fontId="3" fillId="0" borderId="0" xfId="0" applyNumberFormat="1" applyFont="1" applyFill="1" applyBorder="1" applyAlignment="1" applyProtection="1">
      <alignment horizontal="right"/>
    </xf>
    <xf numFmtId="0" fontId="0" fillId="0" borderId="0" xfId="0" applyAlignment="1" applyProtection="1">
      <alignment vertical="center"/>
    </xf>
    <xf numFmtId="165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0" fillId="0" borderId="0" xfId="0" applyAlignment="1" applyProtection="1">
      <alignment horizontal="left"/>
    </xf>
    <xf numFmtId="0" fontId="0" fillId="3" borderId="0" xfId="0" applyFill="1" applyProtection="1"/>
    <xf numFmtId="0" fontId="0" fillId="3" borderId="0" xfId="0" applyFill="1" applyAlignment="1" applyProtection="1">
      <alignment horizontal="left"/>
    </xf>
    <xf numFmtId="165" fontId="0" fillId="0" borderId="0" xfId="0" applyNumberFormat="1" applyFill="1" applyBorder="1" applyAlignment="1" applyProtection="1">
      <alignment horizontal="right"/>
    </xf>
    <xf numFmtId="165" fontId="0" fillId="0" borderId="0" xfId="0" applyNumberFormat="1" applyBorder="1" applyAlignment="1" applyProtection="1">
      <alignment horizontal="right"/>
    </xf>
    <xf numFmtId="0" fontId="12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Alignment="1" applyProtection="1">
      <alignment horizontal="right"/>
    </xf>
    <xf numFmtId="2" fontId="0" fillId="0" borderId="0" xfId="0" applyNumberFormat="1" applyAlignment="1" applyProtection="1">
      <alignment horizontal="right"/>
    </xf>
    <xf numFmtId="0" fontId="10" fillId="0" borderId="0" xfId="0" applyFont="1" applyFill="1" applyBorder="1" applyAlignment="1" applyProtection="1">
      <alignment horizontal="right"/>
    </xf>
    <xf numFmtId="1" fontId="0" fillId="0" borderId="0" xfId="0" applyNumberFormat="1" applyAlignment="1" applyProtection="1">
      <alignment horizontal="right"/>
    </xf>
    <xf numFmtId="3" fontId="3" fillId="0" borderId="0" xfId="0" applyNumberFormat="1" applyFont="1" applyFill="1" applyAlignment="1" applyProtection="1">
      <alignment horizontal="right"/>
    </xf>
    <xf numFmtId="164" fontId="10" fillId="0" borderId="0" xfId="1" applyNumberFormat="1" applyFont="1" applyFill="1" applyBorder="1" applyAlignment="1" applyProtection="1">
      <alignment horizontal="right"/>
    </xf>
    <xf numFmtId="1" fontId="3" fillId="0" borderId="0" xfId="0" applyNumberFormat="1" applyFont="1" applyFill="1" applyBorder="1" applyAlignment="1" applyProtection="1">
      <alignment vertical="center"/>
    </xf>
    <xf numFmtId="0" fontId="5" fillId="0" borderId="0" xfId="0" applyFont="1" applyFill="1" applyAlignment="1" applyProtection="1">
      <alignment horizontal="center" vertical="center"/>
    </xf>
    <xf numFmtId="2" fontId="3" fillId="0" borderId="0" xfId="0" applyNumberFormat="1" applyFont="1" applyFill="1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2" fontId="2" fillId="0" borderId="0" xfId="0" applyNumberFormat="1" applyFont="1" applyBorder="1" applyAlignment="1" applyProtection="1">
      <alignment horizontal="right"/>
    </xf>
    <xf numFmtId="164" fontId="12" fillId="0" borderId="0" xfId="0" applyNumberFormat="1" applyFont="1" applyFill="1" applyBorder="1" applyAlignment="1" applyProtection="1">
      <alignment horizontal="right"/>
    </xf>
    <xf numFmtId="0" fontId="14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Alignment="1" applyProtection="1">
      <alignment vertical="center"/>
    </xf>
    <xf numFmtId="171" fontId="16" fillId="0" borderId="0" xfId="1" applyNumberFormat="1" applyFont="1"/>
    <xf numFmtId="1" fontId="2" fillId="0" borderId="0" xfId="1" applyNumberFormat="1" applyFont="1"/>
    <xf numFmtId="2" fontId="3" fillId="0" borderId="0" xfId="0" applyNumberFormat="1" applyFont="1" applyFill="1" applyAlignment="1" applyProtection="1">
      <alignment horizontal="right"/>
    </xf>
    <xf numFmtId="164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 applyProtection="1">
      <alignment horizontal="right" vertical="center"/>
    </xf>
    <xf numFmtId="0" fontId="15" fillId="0" borderId="0" xfId="0" applyFont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9" fontId="0" fillId="0" borderId="0" xfId="1" applyNumberFormat="1" applyFont="1" applyAlignment="1" applyProtection="1">
      <alignment horizontal="center"/>
    </xf>
    <xf numFmtId="171" fontId="3" fillId="0" borderId="0" xfId="1" applyNumberFormat="1" applyFont="1" applyFill="1" applyProtection="1"/>
    <xf numFmtId="9" fontId="0" fillId="0" borderId="0" xfId="1" applyFont="1" applyAlignment="1" applyProtection="1">
      <alignment horizontal="center"/>
    </xf>
    <xf numFmtId="0" fontId="2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left"/>
    </xf>
    <xf numFmtId="0" fontId="2" fillId="0" borderId="0" xfId="0" applyFont="1" applyFill="1" applyAlignment="1" applyProtection="1">
      <alignment horizontal="center"/>
    </xf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Protection="1"/>
    <xf numFmtId="0" fontId="2" fillId="0" borderId="0" xfId="0" applyFont="1" applyAlignment="1" applyProtection="1">
      <alignment horizontal="center"/>
    </xf>
    <xf numFmtId="0" fontId="17" fillId="0" borderId="0" xfId="0" applyFont="1" applyFill="1" applyAlignment="1" applyProtection="1">
      <alignment horizontal="right"/>
    </xf>
    <xf numFmtId="0" fontId="17" fillId="0" borderId="0" xfId="0" applyFont="1" applyFill="1" applyProtection="1"/>
    <xf numFmtId="9" fontId="17" fillId="0" borderId="0" xfId="1" applyFont="1" applyAlignment="1" applyProtection="1">
      <alignment horizontal="center"/>
    </xf>
    <xf numFmtId="0" fontId="17" fillId="0" borderId="0" xfId="0" applyFont="1" applyAlignment="1" applyProtection="1">
      <alignment horizontal="right"/>
    </xf>
    <xf numFmtId="0" fontId="17" fillId="0" borderId="0" xfId="0" applyFont="1" applyAlignment="1" applyProtection="1">
      <alignment horizontal="left"/>
    </xf>
    <xf numFmtId="0" fontId="17" fillId="0" borderId="0" xfId="0" applyFont="1" applyAlignment="1" applyProtection="1">
      <alignment horizontal="center"/>
    </xf>
    <xf numFmtId="9" fontId="2" fillId="0" borderId="0" xfId="1" applyFont="1" applyAlignment="1" applyProtection="1">
      <alignment horizontal="center"/>
    </xf>
    <xf numFmtId="164" fontId="4" fillId="0" borderId="0" xfId="0" applyNumberFormat="1" applyFont="1" applyFill="1" applyAlignment="1" applyProtection="1">
      <alignment horizontal="right"/>
    </xf>
    <xf numFmtId="164" fontId="4" fillId="0" borderId="0" xfId="0" applyNumberFormat="1" applyFont="1" applyAlignment="1" applyProtection="1">
      <alignment horizontal="center"/>
    </xf>
    <xf numFmtId="2" fontId="12" fillId="0" borderId="0" xfId="0" applyNumberFormat="1" applyFont="1" applyBorder="1" applyAlignment="1" applyProtection="1">
      <alignment horizontal="right"/>
    </xf>
    <xf numFmtId="0" fontId="3" fillId="0" borderId="0" xfId="0" applyFont="1" applyAlignment="1">
      <alignment horizontal="center"/>
    </xf>
    <xf numFmtId="1" fontId="3" fillId="0" borderId="0" xfId="0" quotePrefix="1" applyNumberFormat="1" applyFont="1" applyFill="1" applyBorder="1" applyProtection="1"/>
    <xf numFmtId="0" fontId="0" fillId="0" borderId="0" xfId="0" applyNumberFormat="1" applyBorder="1" applyProtection="1"/>
    <xf numFmtId="0" fontId="0" fillId="0" borderId="0" xfId="1" applyNumberFormat="1" applyFont="1" applyBorder="1" applyProtection="1"/>
    <xf numFmtId="0" fontId="0" fillId="0" borderId="0" xfId="0" applyNumberFormat="1" applyProtection="1"/>
    <xf numFmtId="0" fontId="0" fillId="4" borderId="0" xfId="0" applyNumberFormat="1" applyFill="1" applyProtection="1"/>
    <xf numFmtId="0" fontId="0" fillId="0" borderId="0" xfId="0" applyNumberFormat="1"/>
    <xf numFmtId="0" fontId="4" fillId="0" borderId="0" xfId="0" applyNumberFormat="1" applyFont="1" applyBorder="1" applyProtection="1"/>
    <xf numFmtId="0" fontId="0" fillId="0" borderId="0" xfId="0" applyNumberFormat="1" applyFill="1" applyProtection="1"/>
    <xf numFmtId="0" fontId="0" fillId="0" borderId="0" xfId="1" applyNumberFormat="1" applyFont="1" applyBorder="1" applyAlignment="1">
      <alignment vertical="center"/>
    </xf>
    <xf numFmtId="0" fontId="4" fillId="0" borderId="0" xfId="0" applyNumberFormat="1" applyFont="1" applyFill="1" applyBorder="1" applyProtection="1"/>
    <xf numFmtId="0" fontId="3" fillId="0" borderId="0" xfId="0" applyNumberFormat="1" applyFont="1" applyFill="1" applyBorder="1" applyProtection="1"/>
    <xf numFmtId="0" fontId="17" fillId="0" borderId="0" xfId="0" applyNumberFormat="1" applyFont="1" applyFill="1" applyBorder="1" applyProtection="1"/>
    <xf numFmtId="0" fontId="0" fillId="0" borderId="0" xfId="0" applyNumberFormat="1" applyFill="1" applyBorder="1" applyAlignment="1" applyProtection="1">
      <alignment horizontal="right"/>
    </xf>
    <xf numFmtId="0" fontId="0" fillId="0" borderId="0" xfId="1" applyNumberFormat="1" applyFont="1" applyProtection="1"/>
    <xf numFmtId="0" fontId="4" fillId="0" borderId="0" xfId="1" applyNumberFormat="1" applyFont="1" applyFill="1" applyAlignment="1" applyProtection="1">
      <alignment vertical="center"/>
    </xf>
    <xf numFmtId="0" fontId="0" fillId="0" borderId="0" xfId="0" applyNumberFormat="1" applyFill="1" applyAlignment="1" applyProtection="1">
      <alignment horizontal="right"/>
    </xf>
    <xf numFmtId="0" fontId="3" fillId="4" borderId="0" xfId="0" applyFont="1" applyFill="1" applyProtection="1"/>
    <xf numFmtId="1" fontId="3" fillId="4" borderId="0" xfId="0" applyNumberFormat="1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left"/>
    </xf>
    <xf numFmtId="0" fontId="3" fillId="0" borderId="0" xfId="0" applyFont="1" applyAlignment="1" applyProtection="1">
      <alignment horizontal="right"/>
    </xf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right"/>
    </xf>
    <xf numFmtId="165" fontId="3" fillId="0" borderId="0" xfId="0" applyNumberFormat="1" applyFont="1" applyBorder="1" applyAlignment="1" applyProtection="1">
      <alignment horizontal="right"/>
    </xf>
    <xf numFmtId="1" fontId="3" fillId="0" borderId="0" xfId="0" applyNumberFormat="1" applyFont="1" applyFill="1" applyBorder="1" applyAlignment="1" applyProtection="1">
      <alignment horizontal="right"/>
    </xf>
    <xf numFmtId="0" fontId="14" fillId="0" borderId="0" xfId="0" applyFont="1" applyBorder="1" applyAlignment="1" applyProtection="1">
      <alignment horizontal="right"/>
    </xf>
    <xf numFmtId="164" fontId="3" fillId="0" borderId="0" xfId="0" applyNumberFormat="1" applyFont="1" applyFill="1" applyBorder="1" applyAlignment="1" applyProtection="1">
      <alignment horizontal="right"/>
    </xf>
    <xf numFmtId="11" fontId="14" fillId="0" borderId="0" xfId="0" applyNumberFormat="1" applyFont="1" applyFill="1"/>
    <xf numFmtId="0" fontId="3" fillId="0" borderId="0" xfId="0" applyFont="1" applyFill="1"/>
    <xf numFmtId="164" fontId="14" fillId="0" borderId="0" xfId="0" applyNumberFormat="1" applyFont="1" applyFill="1" applyBorder="1" applyAlignment="1" applyProtection="1">
      <alignment horizontal="right"/>
    </xf>
    <xf numFmtId="3" fontId="3" fillId="0" borderId="0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11" fontId="14" fillId="0" borderId="0" xfId="0" applyNumberFormat="1" applyFont="1" applyFill="1" applyBorder="1" applyAlignment="1" applyProtection="1">
      <alignment horizontal="right"/>
    </xf>
    <xf numFmtId="11" fontId="10" fillId="0" borderId="0" xfId="0" applyNumberFormat="1" applyFont="1" applyFill="1" applyBorder="1" applyAlignment="1" applyProtection="1">
      <alignment horizontal="right"/>
    </xf>
    <xf numFmtId="1" fontId="14" fillId="0" borderId="0" xfId="0" applyNumberFormat="1" applyFont="1" applyFill="1" applyBorder="1" applyAlignment="1" applyProtection="1">
      <alignment horizontal="right"/>
    </xf>
    <xf numFmtId="169" fontId="3" fillId="0" borderId="0" xfId="0" applyNumberFormat="1" applyFont="1" applyFill="1" applyBorder="1" applyAlignment="1" applyProtection="1">
      <alignment horizontal="right"/>
    </xf>
    <xf numFmtId="169" fontId="3" fillId="0" borderId="0" xfId="0" applyNumberFormat="1" applyFont="1" applyFill="1" applyBorder="1" applyAlignment="1" applyProtection="1">
      <alignment vertical="center"/>
    </xf>
    <xf numFmtId="0" fontId="19" fillId="0" borderId="0" xfId="0" applyFont="1" applyAlignment="1">
      <alignment horizontal="center"/>
    </xf>
    <xf numFmtId="0" fontId="3" fillId="0" borderId="0" xfId="0" applyFont="1" applyAlignment="1" applyProtection="1">
      <alignment horizontal="left"/>
    </xf>
    <xf numFmtId="171" fontId="3" fillId="0" borderId="0" xfId="1" applyNumberFormat="1" applyFont="1" applyFill="1" applyAlignment="1" applyProtection="1">
      <alignment horizontal="right"/>
    </xf>
    <xf numFmtId="1" fontId="3" fillId="0" borderId="0" xfId="0" applyNumberFormat="1" applyFont="1" applyAlignment="1" applyProtection="1">
      <alignment horizontal="right"/>
    </xf>
    <xf numFmtId="0" fontId="11" fillId="0" borderId="0" xfId="0" applyFont="1" applyAlignment="1" applyProtection="1">
      <alignment horizontal="left"/>
    </xf>
    <xf numFmtId="166" fontId="3" fillId="0" borderId="0" xfId="0" applyNumberFormat="1" applyFont="1" applyFill="1" applyAlignment="1" applyProtection="1">
      <alignment horizontal="right"/>
    </xf>
    <xf numFmtId="166" fontId="3" fillId="0" borderId="0" xfId="0" applyNumberFormat="1" applyFont="1" applyFill="1" applyBorder="1" applyAlignment="1" applyProtection="1">
      <alignment horizontal="right"/>
    </xf>
    <xf numFmtId="169" fontId="3" fillId="0" borderId="0" xfId="0" applyNumberFormat="1" applyFont="1" applyFill="1" applyAlignment="1" applyProtection="1">
      <alignment horizontal="right"/>
    </xf>
    <xf numFmtId="164" fontId="3" fillId="0" borderId="0" xfId="0" applyNumberFormat="1" applyFont="1" applyAlignment="1" applyProtection="1">
      <alignment horizontal="right"/>
    </xf>
    <xf numFmtId="173" fontId="10" fillId="0" borderId="0" xfId="1" applyNumberFormat="1" applyFont="1" applyFill="1" applyBorder="1" applyAlignment="1" applyProtection="1">
      <alignment horizontal="right"/>
    </xf>
    <xf numFmtId="165" fontId="3" fillId="0" borderId="0" xfId="0" applyNumberFormat="1" applyFont="1" applyFill="1" applyAlignment="1" applyProtection="1">
      <alignment horizontal="right"/>
    </xf>
    <xf numFmtId="168" fontId="3" fillId="0" borderId="0" xfId="0" applyNumberFormat="1" applyFont="1" applyFill="1" applyBorder="1" applyAlignment="1" applyProtection="1">
      <alignment horizontal="right"/>
    </xf>
    <xf numFmtId="164" fontId="3" fillId="2" borderId="1" xfId="0" applyNumberFormat="1" applyFont="1" applyFill="1" applyBorder="1" applyAlignment="1" applyProtection="1">
      <alignment horizontal="right"/>
    </xf>
    <xf numFmtId="9" fontId="3" fillId="0" borderId="0" xfId="1" applyFont="1" applyFill="1" applyAlignment="1" applyProtection="1">
      <alignment horizontal="right"/>
    </xf>
    <xf numFmtId="10" fontId="10" fillId="0" borderId="0" xfId="1" applyNumberFormat="1" applyFont="1" applyFill="1" applyBorder="1" applyAlignment="1" applyProtection="1">
      <alignment horizontal="right"/>
    </xf>
    <xf numFmtId="0" fontId="3" fillId="0" borderId="0" xfId="0" applyFont="1" applyAlignment="1">
      <alignment horizontal="right"/>
    </xf>
    <xf numFmtId="1" fontId="3" fillId="0" borderId="0" xfId="0" applyNumberFormat="1" applyFont="1" applyFill="1" applyBorder="1" applyAlignment="1" applyProtection="1">
      <alignment horizontal="right" vertical="center"/>
    </xf>
    <xf numFmtId="164" fontId="3" fillId="0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Alignment="1" applyProtection="1">
      <alignment horizontal="right"/>
    </xf>
    <xf numFmtId="165" fontId="3" fillId="0" borderId="0" xfId="0" quotePrefix="1" applyNumberFormat="1" applyFont="1" applyFill="1" applyBorder="1" applyAlignment="1" applyProtection="1">
      <alignment horizontal="right" vertical="center"/>
    </xf>
    <xf numFmtId="165" fontId="3" fillId="0" borderId="0" xfId="0" quotePrefix="1" applyNumberFormat="1" applyFont="1" applyBorder="1" applyAlignment="1" applyProtection="1">
      <alignment horizontal="right"/>
    </xf>
    <xf numFmtId="171" fontId="3" fillId="0" borderId="0" xfId="1" applyNumberFormat="1" applyFont="1" applyAlignment="1" applyProtection="1">
      <alignment horizontal="right"/>
    </xf>
    <xf numFmtId="9" fontId="3" fillId="0" borderId="0" xfId="1" applyNumberFormat="1" applyFont="1" applyAlignment="1" applyProtection="1">
      <alignment horizontal="right"/>
    </xf>
    <xf numFmtId="174" fontId="3" fillId="0" borderId="0" xfId="0" applyNumberFormat="1" applyFont="1" applyFill="1" applyAlignment="1" applyProtection="1">
      <alignment horizontal="right"/>
    </xf>
    <xf numFmtId="1" fontId="3" fillId="0" borderId="0" xfId="0" applyNumberFormat="1" applyFont="1" applyBorder="1" applyAlignment="1" applyProtection="1">
      <alignment horizontal="right"/>
    </xf>
    <xf numFmtId="165" fontId="3" fillId="0" borderId="0" xfId="0" applyNumberFormat="1" applyFont="1" applyFill="1" applyBorder="1" applyAlignment="1" applyProtection="1">
      <alignment horizontal="left"/>
    </xf>
    <xf numFmtId="0" fontId="3" fillId="0" borderId="0" xfId="0" applyFont="1" applyFill="1" applyBorder="1" applyAlignment="1" applyProtection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Fill="1" applyAlignment="1" applyProtection="1">
      <alignment horizontal="left" vertical="center"/>
    </xf>
    <xf numFmtId="1" fontId="3" fillId="0" borderId="0" xfId="0" applyNumberFormat="1" applyFont="1" applyAlignment="1" applyProtection="1">
      <alignment horizontal="left"/>
    </xf>
    <xf numFmtId="0" fontId="3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right"/>
    </xf>
    <xf numFmtId="0" fontId="3" fillId="4" borderId="0" xfId="0" applyFont="1" applyFill="1" applyAlignment="1" applyProtection="1">
      <alignment horizontal="right"/>
    </xf>
    <xf numFmtId="0" fontId="3" fillId="0" borderId="0" xfId="0" applyFont="1" applyFill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 quotePrefix="1" applyFill="1" applyAlignment="1" applyProtection="1">
      <alignment horizontal="left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1" fontId="3" fillId="3" borderId="0" xfId="0" applyNumberFormat="1" applyFont="1" applyFill="1"/>
    <xf numFmtId="165" fontId="18" fillId="0" borderId="0" xfId="0" applyNumberFormat="1" applyFont="1"/>
    <xf numFmtId="3" fontId="18" fillId="0" borderId="0" xfId="0" applyNumberFormat="1" applyFont="1"/>
    <xf numFmtId="0" fontId="0" fillId="5" borderId="0" xfId="0" applyFill="1" applyAlignment="1">
      <alignment horizontal="center"/>
    </xf>
    <xf numFmtId="1" fontId="0" fillId="5" borderId="0" xfId="0" applyNumberFormat="1" applyFill="1"/>
    <xf numFmtId="0" fontId="0" fillId="0" borderId="0" xfId="0" quotePrefix="1"/>
    <xf numFmtId="164" fontId="12" fillId="0" borderId="0" xfId="0" applyNumberFormat="1" applyFont="1"/>
    <xf numFmtId="1" fontId="12" fillId="0" borderId="0" xfId="0" applyNumberFormat="1" applyFont="1"/>
    <xf numFmtId="167" fontId="3" fillId="0" borderId="0" xfId="0" applyNumberFormat="1" applyFont="1" applyAlignment="1" applyProtection="1">
      <alignment horizontal="right"/>
    </xf>
    <xf numFmtId="169" fontId="3" fillId="0" borderId="0" xfId="0" applyNumberFormat="1" applyFont="1" applyAlignment="1" applyProtection="1">
      <alignment horizontal="right"/>
    </xf>
    <xf numFmtId="2" fontId="3" fillId="0" borderId="0" xfId="0" applyNumberFormat="1" applyFont="1" applyAlignment="1" applyProtection="1">
      <alignment horizontal="right"/>
    </xf>
    <xf numFmtId="164" fontId="2" fillId="0" borderId="0" xfId="1" quotePrefix="1" applyNumberFormat="1" applyFont="1"/>
    <xf numFmtId="165" fontId="0" fillId="0" borderId="0" xfId="0" quotePrefix="1" applyNumberFormat="1"/>
    <xf numFmtId="2" fontId="0" fillId="0" borderId="0" xfId="0" quotePrefix="1" applyNumberFormat="1"/>
    <xf numFmtId="1" fontId="0" fillId="0" borderId="0" xfId="0" quotePrefix="1" applyNumberFormat="1"/>
    <xf numFmtId="0" fontId="0" fillId="0" borderId="0" xfId="0" quotePrefix="1" applyAlignment="1">
      <alignment horizontal="left"/>
    </xf>
    <xf numFmtId="1" fontId="3" fillId="0" borderId="0" xfId="0" quotePrefix="1" applyNumberFormat="1" applyFont="1" applyFill="1"/>
    <xf numFmtId="0" fontId="0" fillId="6" borderId="0" xfId="0" applyFill="1" applyAlignment="1">
      <alignment horizontal="center"/>
    </xf>
    <xf numFmtId="1" fontId="0" fillId="6" borderId="0" xfId="0" applyNumberFormat="1" applyFill="1"/>
    <xf numFmtId="1" fontId="18" fillId="6" borderId="0" xfId="0" applyNumberFormat="1" applyFont="1" applyFill="1"/>
    <xf numFmtId="1" fontId="3" fillId="3" borderId="0" xfId="0" applyNumberFormat="1" applyFont="1" applyFill="1" applyAlignment="1">
      <alignment horizontal="right"/>
    </xf>
    <xf numFmtId="0" fontId="3" fillId="0" borderId="0" xfId="0" quotePrefix="1" applyFont="1" applyAlignment="1" applyProtection="1">
      <alignment horizontal="center"/>
    </xf>
    <xf numFmtId="0" fontId="4" fillId="0" borderId="0" xfId="1" applyNumberFormat="1" applyFont="1" applyAlignment="1" applyProtection="1">
      <alignment horizontal="center"/>
    </xf>
    <xf numFmtId="9" fontId="3" fillId="0" borderId="0" xfId="1" applyFont="1" applyAlignment="1" applyProtection="1">
      <alignment horizontal="center"/>
    </xf>
    <xf numFmtId="164" fontId="0" fillId="0" borderId="0" xfId="0" applyNumberFormat="1" applyFill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164" fontId="0" fillId="0" borderId="0" xfId="1" applyNumberFormat="1" applyFont="1" applyFill="1" applyBorder="1" applyAlignment="1" applyProtection="1">
      <alignment vertical="center"/>
    </xf>
    <xf numFmtId="165" fontId="14" fillId="0" borderId="0" xfId="0" applyNumberFormat="1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center" vertical="center"/>
    </xf>
    <xf numFmtId="1" fontId="4" fillId="0" borderId="0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1" fontId="4" fillId="0" borderId="0" xfId="0" applyNumberFormat="1" applyFont="1" applyFill="1" applyAlignment="1" applyProtection="1">
      <alignment horizontal="center" vertical="center"/>
    </xf>
    <xf numFmtId="165" fontId="0" fillId="0" borderId="0" xfId="0" applyNumberFormat="1" applyFill="1" applyBorder="1" applyProtection="1"/>
    <xf numFmtId="1" fontId="3" fillId="0" borderId="0" xfId="0" applyNumberFormat="1" applyFont="1" applyFill="1" applyAlignment="1" applyProtection="1">
      <alignment horizontal="left"/>
    </xf>
    <xf numFmtId="168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Border="1" applyAlignment="1" applyProtection="1">
      <alignment horizontal="center" vertical="center" wrapText="1"/>
    </xf>
    <xf numFmtId="1" fontId="3" fillId="0" borderId="0" xfId="0" applyNumberFormat="1" applyFont="1" applyFill="1" applyAlignment="1" applyProtection="1">
      <alignment vertical="center"/>
    </xf>
    <xf numFmtId="164" fontId="3" fillId="0" borderId="0" xfId="0" applyNumberFormat="1" applyFont="1" applyFill="1" applyAlignment="1" applyProtection="1">
      <alignment vertical="center"/>
    </xf>
    <xf numFmtId="164" fontId="3" fillId="0" borderId="0" xfId="0" applyNumberFormat="1" applyFont="1" applyFill="1" applyAlignment="1" applyProtection="1">
      <alignment horizontal="center" vertical="center"/>
    </xf>
    <xf numFmtId="175" fontId="3" fillId="0" borderId="0" xfId="0" applyNumberFormat="1" applyFont="1" applyFill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right" vertical="center"/>
    </xf>
    <xf numFmtId="0" fontId="2" fillId="0" borderId="0" xfId="0" applyFont="1" applyFill="1" applyBorder="1" applyAlignment="1" applyProtection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right"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Border="1" applyAlignment="1" applyProtection="1">
      <alignment horizontal="center" vertical="center"/>
    </xf>
    <xf numFmtId="1" fontId="0" fillId="0" borderId="0" xfId="1" applyNumberFormat="1" applyFont="1" applyFill="1" applyBorder="1" applyAlignment="1" applyProtection="1">
      <alignment vertical="center"/>
    </xf>
    <xf numFmtId="165" fontId="3" fillId="0" borderId="0" xfId="1" applyNumberFormat="1" applyFont="1" applyFill="1" applyBorder="1" applyAlignment="1" applyProtection="1">
      <alignment horizontal="center" vertical="center"/>
    </xf>
    <xf numFmtId="164" fontId="0" fillId="0" borderId="0" xfId="0" applyNumberFormat="1" applyFill="1" applyBorder="1" applyAlignment="1" applyProtection="1">
      <alignment vertical="center"/>
    </xf>
    <xf numFmtId="164" fontId="3" fillId="0" borderId="0" xfId="1" applyNumberFormat="1" applyFont="1" applyFill="1" applyBorder="1" applyAlignment="1" applyProtection="1">
      <alignment vertical="center"/>
    </xf>
    <xf numFmtId="164" fontId="3" fillId="0" borderId="0" xfId="0" applyNumberFormat="1" applyFont="1" applyFill="1" applyBorder="1" applyAlignment="1" applyProtection="1">
      <alignment vertical="center"/>
    </xf>
    <xf numFmtId="0" fontId="3" fillId="0" borderId="0" xfId="0" applyFont="1" applyFill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2" fontId="3" fillId="0" borderId="0" xfId="0" applyNumberFormat="1" applyFont="1" applyFill="1" applyAlignment="1" applyProtection="1">
      <alignment vertical="center"/>
    </xf>
    <xf numFmtId="2" fontId="0" fillId="0" borderId="0" xfId="0" applyNumberFormat="1" applyFill="1" applyAlignment="1" applyProtection="1">
      <alignment vertical="center"/>
    </xf>
    <xf numFmtId="175" fontId="0" fillId="0" borderId="0" xfId="0" applyNumberFormat="1" applyFill="1" applyAlignment="1" applyProtection="1">
      <alignment vertical="center"/>
    </xf>
    <xf numFmtId="164" fontId="12" fillId="8" borderId="1" xfId="0" applyNumberFormat="1" applyFont="1" applyFill="1" applyBorder="1" applyAlignment="1" applyProtection="1">
      <alignment horizontal="center" vertical="center"/>
      <protection locked="0"/>
    </xf>
    <xf numFmtId="0" fontId="14" fillId="8" borderId="1" xfId="0" applyFont="1" applyFill="1" applyBorder="1" applyAlignment="1" applyProtection="1">
      <alignment horizontal="center" vertical="center"/>
      <protection locked="0"/>
    </xf>
    <xf numFmtId="9" fontId="12" fillId="8" borderId="1" xfId="1" applyFont="1" applyFill="1" applyBorder="1" applyAlignment="1" applyProtection="1">
      <alignment horizontal="center" vertical="center"/>
      <protection locked="0"/>
    </xf>
    <xf numFmtId="9" fontId="14" fillId="8" borderId="1" xfId="1" applyFont="1" applyFill="1" applyBorder="1" applyAlignment="1" applyProtection="1">
      <alignment horizontal="center" vertical="center"/>
      <protection locked="0"/>
    </xf>
    <xf numFmtId="11" fontId="7" fillId="0" borderId="0" xfId="1" applyNumberFormat="1" applyFont="1" applyBorder="1"/>
    <xf numFmtId="0" fontId="12" fillId="0" borderId="0" xfId="1" applyNumberFormat="1" applyFont="1" applyFill="1" applyBorder="1" applyProtection="1"/>
    <xf numFmtId="0" fontId="12" fillId="0" borderId="0" xfId="0" applyNumberFormat="1" applyFont="1" applyFill="1" applyProtection="1"/>
    <xf numFmtId="0" fontId="12" fillId="0" borderId="0" xfId="1" applyNumberFormat="1" applyFont="1" applyBorder="1" applyProtection="1"/>
    <xf numFmtId="0" fontId="12" fillId="0" borderId="0" xfId="0" applyNumberFormat="1" applyFont="1" applyProtection="1"/>
    <xf numFmtId="2" fontId="14" fillId="8" borderId="1" xfId="0" applyNumberFormat="1" applyFont="1" applyFill="1" applyBorder="1" applyAlignment="1" applyProtection="1">
      <alignment horizontal="center" vertical="center"/>
      <protection locked="0"/>
    </xf>
    <xf numFmtId="2" fontId="12" fillId="8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1" fontId="0" fillId="0" borderId="0" xfId="0" applyNumberFormat="1" applyFill="1" applyBorder="1"/>
    <xf numFmtId="164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Protection="1"/>
    <xf numFmtId="164" fontId="0" fillId="0" borderId="0" xfId="0" applyNumberFormat="1" applyProtection="1"/>
    <xf numFmtId="165" fontId="2" fillId="0" borderId="0" xfId="1" applyNumberFormat="1"/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ill="1" applyAlignment="1">
      <alignment horizontal="center"/>
    </xf>
    <xf numFmtId="165" fontId="2" fillId="0" borderId="0" xfId="1" applyNumberFormat="1" applyFill="1"/>
    <xf numFmtId="11" fontId="2" fillId="0" borderId="0" xfId="1" applyNumberFormat="1" applyFill="1"/>
    <xf numFmtId="1" fontId="2" fillId="0" borderId="0" xfId="1" applyNumberFormat="1" applyFill="1"/>
    <xf numFmtId="1" fontId="0" fillId="0" borderId="0" xfId="0" applyNumberFormat="1" applyBorder="1"/>
    <xf numFmtId="165" fontId="0" fillId="0" borderId="0" xfId="0" applyNumberFormat="1" applyBorder="1"/>
    <xf numFmtId="0" fontId="0" fillId="5" borderId="0" xfId="0" applyFill="1" applyAlignment="1">
      <alignment horizontal="center" wrapText="1"/>
    </xf>
    <xf numFmtId="2" fontId="2" fillId="5" borderId="0" xfId="1" applyNumberFormat="1" applyFill="1"/>
    <xf numFmtId="9" fontId="2" fillId="5" borderId="0" xfId="1" applyFill="1"/>
    <xf numFmtId="9" fontId="2" fillId="3" borderId="0" xfId="1" applyFill="1"/>
    <xf numFmtId="1" fontId="2" fillId="5" borderId="0" xfId="1" applyNumberFormat="1" applyFill="1"/>
    <xf numFmtId="0" fontId="0" fillId="0" borderId="0" xfId="0" applyAlignment="1">
      <alignment horizontal="center" textRotation="90" wrapText="1"/>
    </xf>
    <xf numFmtId="0" fontId="0" fillId="0" borderId="0" xfId="0" applyAlignment="1">
      <alignment textRotation="90" wrapText="1"/>
    </xf>
    <xf numFmtId="168" fontId="0" fillId="0" borderId="0" xfId="0" applyNumberFormat="1" applyAlignment="1">
      <alignment textRotation="90" wrapText="1"/>
    </xf>
    <xf numFmtId="0" fontId="0" fillId="0" borderId="0" xfId="0" applyFill="1" applyAlignment="1">
      <alignment textRotation="90" wrapText="1"/>
    </xf>
    <xf numFmtId="0" fontId="4" fillId="0" borderId="0" xfId="0" applyFont="1" applyBorder="1" applyAlignment="1">
      <alignment textRotation="90" wrapText="1"/>
    </xf>
    <xf numFmtId="168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/>
    </xf>
    <xf numFmtId="11" fontId="0" fillId="0" borderId="0" xfId="0" applyNumberFormat="1" applyBorder="1"/>
    <xf numFmtId="2" fontId="0" fillId="0" borderId="0" xfId="0" applyNumberFormat="1" applyBorder="1"/>
    <xf numFmtId="164" fontId="0" fillId="0" borderId="0" xfId="0" applyNumberFormat="1" applyBorder="1"/>
    <xf numFmtId="171" fontId="16" fillId="0" borderId="0" xfId="1" applyNumberFormat="1" applyFont="1" applyBorder="1"/>
    <xf numFmtId="1" fontId="2" fillId="0" borderId="0" xfId="1" applyNumberFormat="1" applyFont="1" applyBorder="1"/>
    <xf numFmtId="167" fontId="2" fillId="0" borderId="0" xfId="1" applyNumberFormat="1" applyBorder="1"/>
    <xf numFmtId="168" fontId="3" fillId="0" borderId="0" xfId="1" applyNumberFormat="1" applyFont="1" applyBorder="1"/>
    <xf numFmtId="165" fontId="2" fillId="0" borderId="0" xfId="1" applyNumberFormat="1" applyBorder="1"/>
    <xf numFmtId="11" fontId="2" fillId="3" borderId="0" xfId="1" applyNumberFormat="1" applyFill="1" applyBorder="1"/>
    <xf numFmtId="11" fontId="2" fillId="0" borderId="0" xfId="1" applyNumberFormat="1" applyBorder="1"/>
    <xf numFmtId="165" fontId="2" fillId="0" borderId="0" xfId="1" applyNumberFormat="1" applyFill="1" applyBorder="1"/>
    <xf numFmtId="0" fontId="4" fillId="0" borderId="0" xfId="0" applyFont="1" applyBorder="1" applyAlignment="1">
      <alignment horizontal="center"/>
    </xf>
    <xf numFmtId="1" fontId="7" fillId="0" borderId="0" xfId="0" applyNumberFormat="1" applyFont="1" applyBorder="1"/>
    <xf numFmtId="171" fontId="2" fillId="0" borderId="0" xfId="1" applyNumberFormat="1" applyBorder="1"/>
    <xf numFmtId="165" fontId="7" fillId="0" borderId="0" xfId="1" applyNumberFormat="1" applyFont="1" applyBorder="1"/>
    <xf numFmtId="0" fontId="0" fillId="3" borderId="0" xfId="0" applyFill="1" applyBorder="1"/>
    <xf numFmtId="1" fontId="0" fillId="3" borderId="0" xfId="0" applyNumberFormat="1" applyFill="1" applyBorder="1"/>
    <xf numFmtId="0" fontId="4" fillId="3" borderId="0" xfId="0" applyFont="1" applyFill="1" applyBorder="1" applyAlignment="1">
      <alignment horizontal="center"/>
    </xf>
    <xf numFmtId="1" fontId="7" fillId="3" borderId="0" xfId="0" applyNumberFormat="1" applyFont="1" applyFill="1" applyBorder="1"/>
    <xf numFmtId="1" fontId="0" fillId="3" borderId="0" xfId="0" applyNumberFormat="1" applyFill="1"/>
    <xf numFmtId="11" fontId="7" fillId="3" borderId="0" xfId="1" applyNumberFormat="1" applyFont="1" applyFill="1" applyBorder="1"/>
    <xf numFmtId="2" fontId="0" fillId="3" borderId="0" xfId="0" applyNumberFormat="1" applyFill="1" applyBorder="1"/>
    <xf numFmtId="2" fontId="2" fillId="3" borderId="0" xfId="1" applyNumberFormat="1" applyFill="1" applyBorder="1"/>
    <xf numFmtId="171" fontId="16" fillId="3" borderId="0" xfId="1" applyNumberFormat="1" applyFont="1" applyFill="1"/>
    <xf numFmtId="171" fontId="2" fillId="3" borderId="0" xfId="1" applyNumberFormat="1" applyFill="1" applyBorder="1"/>
    <xf numFmtId="168" fontId="3" fillId="3" borderId="0" xfId="1" applyNumberFormat="1" applyFont="1" applyFill="1" applyBorder="1"/>
    <xf numFmtId="165" fontId="7" fillId="3" borderId="0" xfId="1" applyNumberFormat="1" applyFont="1" applyFill="1" applyBorder="1"/>
    <xf numFmtId="2" fontId="2" fillId="0" borderId="0" xfId="1" applyNumberFormat="1" applyFill="1" applyBorder="1"/>
    <xf numFmtId="9" fontId="2" fillId="0" borderId="0" xfId="1" applyFill="1" applyBorder="1"/>
    <xf numFmtId="11" fontId="2" fillId="7" borderId="0" xfId="1" applyNumberFormat="1" applyFill="1"/>
    <xf numFmtId="0" fontId="0" fillId="7" borderId="0" xfId="0" applyFill="1"/>
    <xf numFmtId="168" fontId="3" fillId="7" borderId="0" xfId="1" applyNumberFormat="1" applyFont="1" applyFill="1"/>
    <xf numFmtId="171" fontId="16" fillId="7" borderId="0" xfId="1" applyNumberFormat="1" applyFont="1" applyFill="1"/>
    <xf numFmtId="171" fontId="2" fillId="7" borderId="0" xfId="1" applyNumberFormat="1" applyFill="1"/>
    <xf numFmtId="11" fontId="3" fillId="0" borderId="0" xfId="1" applyNumberFormat="1" applyFont="1" applyBorder="1"/>
    <xf numFmtId="1" fontId="3" fillId="3" borderId="0" xfId="1" applyNumberFormat="1" applyFont="1" applyFill="1" applyBorder="1"/>
    <xf numFmtId="167" fontId="3" fillId="3" borderId="0" xfId="1" applyNumberFormat="1" applyFont="1" applyFill="1" applyBorder="1"/>
    <xf numFmtId="166" fontId="3" fillId="3" borderId="0" xfId="1" applyNumberFormat="1" applyFont="1" applyFill="1" applyBorder="1"/>
    <xf numFmtId="167" fontId="3" fillId="3" borderId="0" xfId="1" applyNumberFormat="1" applyFont="1" applyFill="1"/>
    <xf numFmtId="1" fontId="3" fillId="0" borderId="0" xfId="1" applyNumberFormat="1" applyFont="1" applyBorder="1"/>
    <xf numFmtId="167" fontId="3" fillId="0" borderId="0" xfId="1" applyNumberFormat="1" applyFont="1" applyBorder="1"/>
    <xf numFmtId="166" fontId="3" fillId="0" borderId="0" xfId="1" applyNumberFormat="1" applyFont="1" applyBorder="1"/>
    <xf numFmtId="167" fontId="3" fillId="0" borderId="0" xfId="1" applyNumberFormat="1" applyFont="1"/>
    <xf numFmtId="1" fontId="3" fillId="0" borderId="0" xfId="1" applyNumberFormat="1" applyFont="1"/>
    <xf numFmtId="164" fontId="3" fillId="0" borderId="0" xfId="1" applyNumberFormat="1" applyFont="1"/>
    <xf numFmtId="0" fontId="3" fillId="0" borderId="0" xfId="0" applyFont="1"/>
    <xf numFmtId="2" fontId="0" fillId="0" borderId="0" xfId="0" applyNumberFormat="1" applyFill="1" applyBorder="1"/>
    <xf numFmtId="164" fontId="0" fillId="0" borderId="0" xfId="0" applyNumberFormat="1" applyFill="1" applyBorder="1"/>
    <xf numFmtId="165" fontId="0" fillId="0" borderId="0" xfId="0" applyNumberFormat="1" applyFill="1" applyBorder="1"/>
    <xf numFmtId="1" fontId="2" fillId="0" borderId="0" xfId="1" applyNumberFormat="1" applyFill="1" applyBorder="1"/>
    <xf numFmtId="0" fontId="0" fillId="0" borderId="0" xfId="0" applyFill="1" applyBorder="1"/>
    <xf numFmtId="165" fontId="3" fillId="0" borderId="0" xfId="1" applyNumberFormat="1" applyFont="1" applyFill="1" applyBorder="1"/>
    <xf numFmtId="168" fontId="3" fillId="0" borderId="0" xfId="1" applyNumberFormat="1" applyFont="1" applyFill="1" applyBorder="1"/>
    <xf numFmtId="11" fontId="2" fillId="0" borderId="0" xfId="1" applyNumberFormat="1" applyFill="1" applyBorder="1"/>
    <xf numFmtId="170" fontId="3" fillId="0" borderId="0" xfId="1" applyNumberFormat="1" applyFont="1" applyFill="1" applyAlignment="1" applyProtection="1">
      <alignment horizontal="right"/>
    </xf>
    <xf numFmtId="164" fontId="3" fillId="0" borderId="0" xfId="1" applyNumberFormat="1" applyFont="1" applyBorder="1"/>
    <xf numFmtId="1" fontId="4" fillId="2" borderId="0" xfId="0" applyNumberFormat="1" applyFont="1" applyFill="1" applyBorder="1" applyAlignment="1" applyProtection="1">
      <alignment horizontal="left"/>
    </xf>
    <xf numFmtId="0" fontId="0" fillId="2" borderId="0" xfId="0" applyFill="1" applyProtection="1"/>
    <xf numFmtId="166" fontId="3" fillId="9" borderId="0" xfId="0" applyNumberFormat="1" applyFont="1" applyFill="1" applyBorder="1" applyAlignment="1" applyProtection="1">
      <alignment horizontal="right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1" applyNumberFormat="1" applyFont="1" applyProtection="1"/>
    <xf numFmtId="1" fontId="0" fillId="0" borderId="0" xfId="0" applyNumberFormat="1" applyProtection="1"/>
    <xf numFmtId="0" fontId="2" fillId="0" borderId="0" xfId="0" applyNumberFormat="1" applyFont="1" applyFill="1" applyBorder="1" applyProtection="1"/>
    <xf numFmtId="0" fontId="0" fillId="0" borderId="0" xfId="0" applyFill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3" fontId="12" fillId="8" borderId="9" xfId="0" applyNumberFormat="1" applyFont="1" applyFill="1" applyBorder="1" applyAlignment="1" applyProtection="1">
      <alignment horizontal="center" vertical="center"/>
      <protection locked="0"/>
    </xf>
    <xf numFmtId="0" fontId="14" fillId="8" borderId="9" xfId="0" applyFont="1" applyFill="1" applyBorder="1" applyAlignment="1" applyProtection="1">
      <alignment horizontal="center" vertical="center"/>
      <protection locked="0"/>
    </xf>
    <xf numFmtId="1" fontId="5" fillId="0" borderId="0" xfId="0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left" vertical="center"/>
    </xf>
    <xf numFmtId="1" fontId="0" fillId="0" borderId="0" xfId="0" applyNumberFormat="1" applyFill="1" applyAlignment="1" applyProtection="1">
      <alignment vertical="center"/>
    </xf>
    <xf numFmtId="0" fontId="2" fillId="0" borderId="0" xfId="0" applyFont="1" applyFill="1" applyAlignment="1" applyProtection="1">
      <alignment horizontal="left" vertical="center"/>
    </xf>
    <xf numFmtId="0" fontId="24" fillId="0" borderId="0" xfId="0" applyFont="1" applyFill="1" applyAlignment="1" applyProtection="1">
      <alignment vertical="center"/>
    </xf>
    <xf numFmtId="0" fontId="0" fillId="10" borderId="0" xfId="0" applyFill="1" applyBorder="1" applyAlignment="1" applyProtection="1">
      <alignment vertical="center"/>
    </xf>
    <xf numFmtId="0" fontId="0" fillId="10" borderId="0" xfId="0" applyFill="1" applyBorder="1" applyAlignment="1" applyProtection="1">
      <alignment horizontal="center" vertical="center"/>
    </xf>
    <xf numFmtId="0" fontId="4" fillId="10" borderId="0" xfId="0" applyFont="1" applyFill="1" applyBorder="1" applyAlignment="1" applyProtection="1">
      <alignment horizontal="center" vertical="center"/>
    </xf>
    <xf numFmtId="165" fontId="4" fillId="10" borderId="0" xfId="0" applyNumberFormat="1" applyFont="1" applyFill="1" applyBorder="1" applyAlignment="1" applyProtection="1">
      <alignment vertical="center"/>
    </xf>
    <xf numFmtId="165" fontId="4" fillId="10" borderId="0" xfId="1" applyNumberFormat="1" applyFont="1" applyFill="1" applyBorder="1" applyAlignment="1" applyProtection="1">
      <alignment vertical="center"/>
    </xf>
    <xf numFmtId="1" fontId="4" fillId="10" borderId="0" xfId="0" applyNumberFormat="1" applyFont="1" applyFill="1" applyBorder="1" applyAlignment="1" applyProtection="1">
      <alignment vertical="center"/>
    </xf>
    <xf numFmtId="165" fontId="3" fillId="10" borderId="0" xfId="0" applyNumberFormat="1" applyFont="1" applyFill="1" applyAlignment="1" applyProtection="1">
      <alignment vertical="center"/>
    </xf>
    <xf numFmtId="1" fontId="3" fillId="10" borderId="0" xfId="0" applyNumberFormat="1" applyFont="1" applyFill="1" applyBorder="1" applyAlignment="1" applyProtection="1">
      <alignment horizontal="center" vertical="center"/>
    </xf>
    <xf numFmtId="0" fontId="3" fillId="10" borderId="0" xfId="0" applyFont="1" applyFill="1" applyBorder="1" applyAlignment="1" applyProtection="1">
      <alignment horizontal="center" vertical="center"/>
    </xf>
    <xf numFmtId="165" fontId="3" fillId="10" borderId="0" xfId="0" applyNumberFormat="1" applyFont="1" applyFill="1" applyBorder="1" applyAlignment="1" applyProtection="1">
      <alignment vertical="center"/>
    </xf>
    <xf numFmtId="165" fontId="3" fillId="10" borderId="0" xfId="1" applyNumberFormat="1" applyFont="1" applyFill="1" applyBorder="1" applyAlignment="1" applyProtection="1">
      <alignment vertical="center"/>
    </xf>
    <xf numFmtId="0" fontId="0" fillId="10" borderId="0" xfId="0" applyFill="1" applyAlignment="1" applyProtection="1">
      <alignment vertical="center"/>
    </xf>
    <xf numFmtId="165" fontId="3" fillId="10" borderId="0" xfId="1" applyNumberFormat="1" applyFont="1" applyFill="1" applyAlignment="1" applyProtection="1">
      <alignment vertical="center"/>
    </xf>
    <xf numFmtId="0" fontId="4" fillId="10" borderId="0" xfId="0" applyFont="1" applyFill="1" applyAlignment="1" applyProtection="1">
      <alignment vertical="center"/>
    </xf>
    <xf numFmtId="1" fontId="4" fillId="10" borderId="0" xfId="0" applyNumberFormat="1" applyFont="1" applyFill="1" applyAlignment="1" applyProtection="1">
      <alignment vertical="center"/>
    </xf>
    <xf numFmtId="2" fontId="4" fillId="10" borderId="0" xfId="1" applyNumberFormat="1" applyFont="1" applyFill="1" applyAlignment="1" applyProtection="1">
      <alignment vertical="center"/>
    </xf>
    <xf numFmtId="2" fontId="4" fillId="10" borderId="0" xfId="1" applyNumberFormat="1" applyFont="1" applyFill="1" applyBorder="1" applyAlignment="1" applyProtection="1">
      <alignment vertical="center"/>
    </xf>
    <xf numFmtId="0" fontId="4" fillId="10" borderId="0" xfId="0" applyFont="1" applyFill="1" applyBorder="1" applyAlignment="1" applyProtection="1">
      <alignment vertical="center"/>
    </xf>
    <xf numFmtId="0" fontId="3" fillId="10" borderId="0" xfId="0" applyFont="1" applyFill="1" applyBorder="1" applyAlignment="1" applyProtection="1">
      <alignment vertical="center" wrapText="1"/>
    </xf>
    <xf numFmtId="0" fontId="2" fillId="10" borderId="0" xfId="0" applyFont="1" applyFill="1" applyBorder="1" applyAlignment="1" applyProtection="1">
      <alignment vertical="center"/>
    </xf>
    <xf numFmtId="1" fontId="4" fillId="10" borderId="0" xfId="1" applyNumberFormat="1" applyFont="1" applyFill="1" applyAlignment="1" applyProtection="1">
      <alignment vertical="center"/>
    </xf>
    <xf numFmtId="9" fontId="4" fillId="10" borderId="0" xfId="1" applyFont="1" applyFill="1" applyBorder="1" applyAlignment="1" applyProtection="1">
      <alignment vertical="center"/>
    </xf>
    <xf numFmtId="9" fontId="4" fillId="10" borderId="0" xfId="1" applyFont="1" applyFill="1" applyAlignment="1" applyProtection="1">
      <alignment vertical="center"/>
    </xf>
    <xf numFmtId="164" fontId="0" fillId="10" borderId="0" xfId="1" applyNumberFormat="1" applyFont="1" applyFill="1" applyBorder="1" applyAlignment="1" applyProtection="1">
      <alignment vertical="center"/>
    </xf>
    <xf numFmtId="3" fontId="0" fillId="10" borderId="0" xfId="0" applyNumberFormat="1" applyFill="1" applyAlignment="1" applyProtection="1">
      <alignment vertical="center"/>
    </xf>
    <xf numFmtId="1" fontId="0" fillId="10" borderId="0" xfId="0" applyNumberFormat="1" applyFill="1" applyAlignment="1" applyProtection="1">
      <alignment vertical="center"/>
    </xf>
    <xf numFmtId="0" fontId="0" fillId="11" borderId="0" xfId="0" applyFill="1" applyAlignment="1" applyProtection="1">
      <alignment horizontal="right" vertical="center"/>
    </xf>
    <xf numFmtId="0" fontId="5" fillId="11" borderId="0" xfId="0" applyFont="1" applyFill="1" applyAlignment="1" applyProtection="1">
      <alignment horizontal="center" vertical="center"/>
    </xf>
    <xf numFmtId="0" fontId="0" fillId="11" borderId="0" xfId="0" applyFill="1" applyAlignment="1" applyProtection="1">
      <alignment vertical="center"/>
    </xf>
    <xf numFmtId="3" fontId="0" fillId="11" borderId="0" xfId="0" applyNumberFormat="1" applyFill="1" applyAlignment="1" applyProtection="1">
      <alignment vertical="center"/>
    </xf>
    <xf numFmtId="0" fontId="4" fillId="11" borderId="0" xfId="0" applyFont="1" applyFill="1" applyBorder="1" applyAlignment="1" applyProtection="1">
      <alignment vertical="center"/>
    </xf>
    <xf numFmtId="1" fontId="23" fillId="11" borderId="0" xfId="0" applyNumberFormat="1" applyFont="1" applyFill="1" applyBorder="1" applyAlignment="1" applyProtection="1">
      <alignment horizontal="center" vertical="center"/>
    </xf>
    <xf numFmtId="0" fontId="0" fillId="11" borderId="0" xfId="0" applyFill="1" applyBorder="1" applyAlignment="1" applyProtection="1">
      <alignment vertical="center"/>
    </xf>
    <xf numFmtId="0" fontId="2" fillId="11" borderId="0" xfId="0" applyFont="1" applyFill="1" applyAlignment="1" applyProtection="1">
      <alignment horizontal="right" vertical="center"/>
    </xf>
    <xf numFmtId="0" fontId="2" fillId="11" borderId="0" xfId="0" applyFont="1" applyFill="1" applyAlignment="1" applyProtection="1">
      <alignment vertical="center"/>
    </xf>
    <xf numFmtId="1" fontId="23" fillId="11" borderId="0" xfId="0" quotePrefix="1" applyNumberFormat="1" applyFont="1" applyFill="1" applyBorder="1" applyAlignment="1" applyProtection="1">
      <alignment horizontal="center" vertical="center"/>
    </xf>
    <xf numFmtId="0" fontId="2" fillId="11" borderId="0" xfId="0" applyFont="1" applyFill="1" applyBorder="1" applyAlignment="1" applyProtection="1">
      <alignment vertical="center"/>
    </xf>
    <xf numFmtId="1" fontId="0" fillId="11" borderId="0" xfId="0" applyNumberFormat="1" applyFill="1" applyAlignment="1" applyProtection="1">
      <alignment vertical="center"/>
    </xf>
    <xf numFmtId="0" fontId="0" fillId="11" borderId="0" xfId="0" applyFill="1" applyAlignment="1" applyProtection="1">
      <alignment horizontal="center" vertical="center"/>
    </xf>
    <xf numFmtId="168" fontId="2" fillId="11" borderId="0" xfId="0" applyNumberFormat="1" applyFont="1" applyFill="1" applyBorder="1" applyAlignment="1" applyProtection="1">
      <alignment vertical="center"/>
    </xf>
    <xf numFmtId="9" fontId="2" fillId="11" borderId="0" xfId="1" applyFont="1" applyFill="1" applyBorder="1" applyAlignment="1" applyProtection="1">
      <alignment horizontal="right" vertical="center"/>
    </xf>
    <xf numFmtId="0" fontId="2" fillId="11" borderId="0" xfId="0" applyFont="1" applyFill="1" applyBorder="1" applyAlignment="1" applyProtection="1">
      <alignment horizontal="center" vertical="center"/>
    </xf>
    <xf numFmtId="165" fontId="2" fillId="11" borderId="0" xfId="0" applyNumberFormat="1" applyFont="1" applyFill="1" applyBorder="1" applyAlignment="1" applyProtection="1">
      <alignment vertical="center"/>
    </xf>
    <xf numFmtId="165" fontId="0" fillId="11" borderId="0" xfId="0" applyNumberFormat="1" applyFill="1" applyAlignment="1" applyProtection="1">
      <alignment vertical="center"/>
    </xf>
    <xf numFmtId="0" fontId="2" fillId="11" borderId="0" xfId="0" applyFont="1" applyFill="1" applyBorder="1" applyAlignment="1" applyProtection="1">
      <alignment horizontal="center" vertical="center" wrapText="1"/>
    </xf>
    <xf numFmtId="168" fontId="0" fillId="11" borderId="0" xfId="0" applyNumberFormat="1" applyFill="1" applyAlignment="1" applyProtection="1">
      <alignment vertical="center"/>
    </xf>
    <xf numFmtId="9" fontId="2" fillId="11" borderId="0" xfId="1" applyNumberFormat="1" applyFont="1" applyFill="1" applyBorder="1" applyAlignment="1" applyProtection="1">
      <alignment horizontal="center" vertical="center"/>
    </xf>
    <xf numFmtId="0" fontId="16" fillId="10" borderId="0" xfId="0" applyFont="1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center" vertical="center"/>
    </xf>
    <xf numFmtId="0" fontId="0" fillId="11" borderId="10" xfId="0" applyFill="1" applyBorder="1" applyAlignment="1" applyProtection="1">
      <alignment vertical="center"/>
    </xf>
    <xf numFmtId="165" fontId="23" fillId="11" borderId="0" xfId="0" applyNumberFormat="1" applyFont="1" applyFill="1" applyBorder="1" applyAlignment="1" applyProtection="1">
      <alignment horizontal="center" vertical="center"/>
    </xf>
    <xf numFmtId="1" fontId="12" fillId="8" borderId="1" xfId="0" applyNumberFormat="1" applyFont="1" applyFill="1" applyBorder="1" applyAlignment="1" applyProtection="1">
      <alignment horizontal="center" vertical="center"/>
      <protection locked="0"/>
    </xf>
    <xf numFmtId="0" fontId="27" fillId="0" borderId="9" xfId="0" applyFont="1" applyFill="1" applyBorder="1" applyAlignment="1" applyProtection="1">
      <alignment horizontal="center" vertical="center"/>
      <protection locked="0"/>
    </xf>
    <xf numFmtId="1" fontId="14" fillId="8" borderId="1" xfId="0" applyNumberFormat="1" applyFont="1" applyFill="1" applyBorder="1" applyAlignment="1" applyProtection="1">
      <alignment horizontal="center" vertical="center"/>
      <protection locked="0"/>
    </xf>
    <xf numFmtId="1" fontId="14" fillId="8" borderId="9" xfId="0" applyNumberFormat="1" applyFont="1" applyFill="1" applyBorder="1" applyAlignment="1" applyProtection="1">
      <alignment horizontal="center" vertical="center"/>
      <protection locked="0"/>
    </xf>
    <xf numFmtId="3" fontId="12" fillId="8" borderId="1" xfId="0" applyNumberFormat="1" applyFont="1" applyFill="1" applyBorder="1" applyAlignment="1" applyProtection="1">
      <alignment horizontal="center" vertical="center"/>
      <protection locked="0"/>
    </xf>
    <xf numFmtId="0" fontId="12" fillId="8" borderId="9" xfId="0" applyFont="1" applyFill="1" applyBorder="1" applyAlignment="1" applyProtection="1">
      <alignment horizontal="center" vertical="center"/>
      <protection locked="0"/>
    </xf>
    <xf numFmtId="0" fontId="12" fillId="8" borderId="1" xfId="0" applyFont="1" applyFill="1" applyBorder="1" applyAlignment="1" applyProtection="1">
      <alignment horizontal="center" vertical="center"/>
      <protection locked="0"/>
    </xf>
    <xf numFmtId="2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17" borderId="1" xfId="0" applyFont="1" applyFill="1" applyBorder="1" applyAlignment="1" applyProtection="1">
      <alignment horizontal="right"/>
    </xf>
    <xf numFmtId="0" fontId="36" fillId="0" borderId="0" xfId="0" applyFont="1" applyFill="1" applyAlignment="1" applyProtection="1">
      <alignment horizontal="left"/>
    </xf>
    <xf numFmtId="0" fontId="2" fillId="0" borderId="0" xfId="4" applyAlignment="1">
      <alignment vertical="center"/>
    </xf>
    <xf numFmtId="0" fontId="33" fillId="16" borderId="18" xfId="4" applyFont="1" applyFill="1" applyBorder="1" applyAlignment="1">
      <alignment horizontal="center" vertical="center"/>
    </xf>
    <xf numFmtId="0" fontId="33" fillId="16" borderId="19" xfId="4" applyFont="1" applyFill="1" applyBorder="1" applyAlignment="1">
      <alignment horizontal="center" vertical="center"/>
    </xf>
    <xf numFmtId="0" fontId="33" fillId="0" borderId="18" xfId="4" applyFont="1" applyFill="1" applyBorder="1" applyAlignment="1">
      <alignment horizontal="center" vertical="center"/>
    </xf>
    <xf numFmtId="0" fontId="33" fillId="0" borderId="19" xfId="4" applyFont="1" applyFill="1" applyBorder="1" applyAlignment="1">
      <alignment horizontal="center" vertical="center"/>
    </xf>
    <xf numFmtId="0" fontId="33" fillId="16" borderId="1" xfId="4" applyFont="1" applyFill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1" fontId="0" fillId="0" borderId="0" xfId="0" applyNumberFormat="1" applyAlignment="1">
      <alignment vertical="center"/>
    </xf>
    <xf numFmtId="0" fontId="2" fillId="0" borderId="0" xfId="0" applyFont="1" applyAlignment="1">
      <alignment vertical="center"/>
    </xf>
    <xf numFmtId="2" fontId="2" fillId="0" borderId="0" xfId="0" applyNumberFormat="1" applyFont="1" applyFill="1" applyBorder="1" applyAlignment="1" applyProtection="1">
      <alignment horizontal="left" vertical="center"/>
    </xf>
    <xf numFmtId="1" fontId="2" fillId="0" borderId="0" xfId="1" applyNumberFormat="1" applyFont="1" applyBorder="1" applyAlignment="1" applyProtection="1">
      <alignment horizontal="center" vertical="center"/>
    </xf>
    <xf numFmtId="164" fontId="2" fillId="0" borderId="0" xfId="1" applyNumberFormat="1" applyFont="1" applyBorder="1" applyAlignment="1" applyProtection="1">
      <alignment horizontal="center" vertical="center"/>
    </xf>
    <xf numFmtId="164" fontId="2" fillId="0" borderId="8" xfId="1" applyNumberFormat="1" applyFont="1" applyBorder="1" applyAlignment="1" applyProtection="1">
      <alignment horizontal="center" vertical="center"/>
    </xf>
    <xf numFmtId="0" fontId="2" fillId="0" borderId="7" xfId="0" applyFont="1" applyBorder="1" applyAlignment="1">
      <alignment horizontal="right" vertical="center"/>
    </xf>
    <xf numFmtId="2" fontId="2" fillId="0" borderId="0" xfId="0" applyNumberFormat="1" applyFont="1" applyFill="1" applyBorder="1" applyAlignment="1" applyProtection="1">
      <alignment horizontal="center" vertical="center"/>
    </xf>
    <xf numFmtId="164" fontId="5" fillId="0" borderId="0" xfId="1" applyNumberFormat="1" applyFont="1" applyBorder="1" applyAlignment="1" applyProtection="1">
      <alignment horizontal="center" vertical="center"/>
    </xf>
    <xf numFmtId="164" fontId="2" fillId="0" borderId="0" xfId="1" applyNumberFormat="1" applyFont="1" applyBorder="1" applyAlignment="1" applyProtection="1">
      <alignment vertical="center"/>
    </xf>
    <xf numFmtId="164" fontId="0" fillId="0" borderId="0" xfId="0" applyNumberForma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7" borderId="9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</xf>
    <xf numFmtId="2" fontId="2" fillId="0" borderId="0" xfId="0" applyNumberFormat="1" applyFont="1" applyFill="1" applyBorder="1" applyAlignment="1" applyProtection="1">
      <alignment horizontal="left" vertical="center" indent="1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2" xfId="0" applyFont="1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164" fontId="2" fillId="0" borderId="12" xfId="1" applyNumberFormat="1" applyFont="1" applyBorder="1" applyAlignment="1" applyProtection="1">
      <alignment horizontal="center" vertical="center"/>
    </xf>
    <xf numFmtId="1" fontId="0" fillId="0" borderId="12" xfId="0" applyNumberFormat="1" applyBorder="1" applyAlignment="1" applyProtection="1">
      <alignment horizontal="center" vertical="center"/>
    </xf>
    <xf numFmtId="1" fontId="2" fillId="0" borderId="12" xfId="1" applyNumberFormat="1" applyFont="1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</xf>
    <xf numFmtId="164" fontId="2" fillId="0" borderId="13" xfId="1" applyNumberFormat="1" applyFont="1" applyBorder="1" applyAlignment="1" applyProtection="1">
      <alignment horizontal="center" vertical="center"/>
    </xf>
    <xf numFmtId="1" fontId="0" fillId="0" borderId="13" xfId="0" applyNumberFormat="1" applyBorder="1" applyAlignment="1" applyProtection="1">
      <alignment horizontal="center" vertical="center"/>
    </xf>
    <xf numFmtId="1" fontId="2" fillId="0" borderId="13" xfId="1" applyNumberFormat="1" applyFont="1" applyBorder="1" applyAlignment="1" applyProtection="1">
      <alignment horizontal="center" vertical="center"/>
    </xf>
    <xf numFmtId="0" fontId="2" fillId="12" borderId="13" xfId="0" applyFont="1" applyFill="1" applyBorder="1" applyAlignment="1" applyProtection="1">
      <alignment horizontal="center" vertical="center"/>
    </xf>
    <xf numFmtId="1" fontId="2" fillId="0" borderId="13" xfId="0" applyNumberFormat="1" applyFont="1" applyBorder="1" applyAlignment="1" applyProtection="1">
      <alignment horizontal="center" vertical="center"/>
    </xf>
    <xf numFmtId="164" fontId="2" fillId="0" borderId="9" xfId="1" applyNumberFormat="1" applyFont="1" applyBorder="1" applyAlignment="1" applyProtection="1">
      <alignment horizontal="center" vertical="center"/>
    </xf>
    <xf numFmtId="1" fontId="2" fillId="0" borderId="9" xfId="1" applyNumberFormat="1" applyFont="1" applyBorder="1" applyAlignment="1" applyProtection="1">
      <alignment horizontal="center" vertical="center"/>
    </xf>
    <xf numFmtId="2" fontId="2" fillId="0" borderId="9" xfId="0" applyNumberFormat="1" applyFont="1" applyFill="1" applyBorder="1" applyAlignment="1" applyProtection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164" fontId="0" fillId="0" borderId="12" xfId="0" applyNumberFormat="1" applyBorder="1" applyAlignment="1" applyProtection="1">
      <alignment horizontal="center" vertical="center"/>
    </xf>
    <xf numFmtId="164" fontId="2" fillId="12" borderId="13" xfId="1" applyNumberFormat="1" applyFont="1" applyFill="1" applyBorder="1" applyAlignment="1" applyProtection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37" fillId="0" borderId="15" xfId="0" applyFont="1" applyBorder="1" applyAlignment="1">
      <alignment horizontal="right" vertical="center"/>
    </xf>
    <xf numFmtId="0" fontId="0" fillId="0" borderId="11" xfId="0" applyBorder="1" applyAlignment="1">
      <alignment horizontal="center" vertical="center"/>
    </xf>
    <xf numFmtId="164" fontId="0" fillId="17" borderId="12" xfId="0" applyNumberFormat="1" applyFill="1" applyBorder="1" applyAlignment="1">
      <alignment horizontal="center" vertical="center"/>
    </xf>
    <xf numFmtId="164" fontId="0" fillId="0" borderId="13" xfId="0" applyNumberFormat="1" applyFill="1" applyBorder="1" applyAlignment="1">
      <alignment horizontal="center" vertical="center"/>
    </xf>
    <xf numFmtId="0" fontId="2" fillId="0" borderId="0" xfId="0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164" fontId="5" fillId="0" borderId="9" xfId="1" applyNumberFormat="1" applyFont="1" applyBorder="1" applyAlignment="1" applyProtection="1">
      <alignment horizontal="right" vertical="center"/>
    </xf>
    <xf numFmtId="1" fontId="2" fillId="0" borderId="9" xfId="1" applyNumberFormat="1" applyFont="1" applyBorder="1" applyAlignment="1" applyProtection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0" fillId="0" borderId="0" xfId="0" applyFill="1" applyAlignment="1" applyProtection="1">
      <alignment horizontal="right" vertical="center" indent="1"/>
    </xf>
    <xf numFmtId="0" fontId="33" fillId="16" borderId="20" xfId="4" applyFont="1" applyFill="1" applyBorder="1" applyAlignment="1">
      <alignment horizontal="center" vertical="center"/>
    </xf>
    <xf numFmtId="0" fontId="2" fillId="0" borderId="0" xfId="4" applyFont="1" applyBorder="1" applyAlignment="1">
      <alignment vertical="center"/>
    </xf>
    <xf numFmtId="0" fontId="0" fillId="12" borderId="1" xfId="0" applyFill="1" applyBorder="1" applyAlignment="1">
      <alignment horizontal="center" vertical="center"/>
    </xf>
    <xf numFmtId="164" fontId="33" fillId="0" borderId="19" xfId="4" applyNumberFormat="1" applyFont="1" applyFill="1" applyBorder="1" applyAlignment="1">
      <alignment horizontal="center" vertical="center"/>
    </xf>
    <xf numFmtId="164" fontId="33" fillId="16" borderId="19" xfId="4" applyNumberFormat="1" applyFont="1" applyFill="1" applyBorder="1" applyAlignment="1">
      <alignment horizontal="center" vertical="center"/>
    </xf>
    <xf numFmtId="2" fontId="2" fillId="12" borderId="1" xfId="0" applyNumberFormat="1" applyFont="1" applyFill="1" applyBorder="1" applyAlignment="1" applyProtection="1">
      <alignment horizontal="center" vertical="center"/>
    </xf>
    <xf numFmtId="169" fontId="2" fillId="12" borderId="1" xfId="0" applyNumberFormat="1" applyFont="1" applyFill="1" applyBorder="1" applyAlignment="1" applyProtection="1">
      <alignment horizontal="center" vertical="center"/>
    </xf>
    <xf numFmtId="2" fontId="2" fillId="12" borderId="24" xfId="0" applyNumberFormat="1" applyFont="1" applyFill="1" applyBorder="1" applyAlignment="1" applyProtection="1">
      <alignment horizontal="center" vertical="center"/>
    </xf>
    <xf numFmtId="169" fontId="2" fillId="12" borderId="24" xfId="0" applyNumberFormat="1" applyFont="1" applyFill="1" applyBorder="1" applyAlignment="1" applyProtection="1">
      <alignment horizontal="center" vertical="center"/>
    </xf>
    <xf numFmtId="2" fontId="2" fillId="12" borderId="23" xfId="0" applyNumberFormat="1" applyFont="1" applyFill="1" applyBorder="1" applyAlignment="1" applyProtection="1">
      <alignment horizontal="center" vertical="center"/>
    </xf>
    <xf numFmtId="169" fontId="2" fillId="12" borderId="23" xfId="0" applyNumberFormat="1" applyFont="1" applyFill="1" applyBorder="1" applyAlignment="1" applyProtection="1">
      <alignment horizontal="center" vertical="center"/>
    </xf>
    <xf numFmtId="2" fontId="2" fillId="12" borderId="26" xfId="0" applyNumberFormat="1" applyFont="1" applyFill="1" applyBorder="1" applyAlignment="1" applyProtection="1">
      <alignment horizontal="center" vertical="center"/>
    </xf>
    <xf numFmtId="2" fontId="2" fillId="12" borderId="27" xfId="0" applyNumberFormat="1" applyFont="1" applyFill="1" applyBorder="1" applyAlignment="1" applyProtection="1">
      <alignment horizontal="center" vertical="center"/>
    </xf>
    <xf numFmtId="2" fontId="2" fillId="12" borderId="28" xfId="0" applyNumberFormat="1" applyFont="1" applyFill="1" applyBorder="1" applyAlignment="1" applyProtection="1">
      <alignment horizontal="center" vertical="center"/>
    </xf>
    <xf numFmtId="2" fontId="2" fillId="12" borderId="2" xfId="0" applyNumberFormat="1" applyFont="1" applyFill="1" applyBorder="1" applyAlignment="1" applyProtection="1">
      <alignment horizontal="center" vertical="center"/>
    </xf>
    <xf numFmtId="169" fontId="2" fillId="12" borderId="2" xfId="0" applyNumberFormat="1" applyFont="1" applyFill="1" applyBorder="1" applyAlignment="1" applyProtection="1">
      <alignment horizontal="center" vertical="center"/>
    </xf>
    <xf numFmtId="2" fontId="2" fillId="12" borderId="15" xfId="0" applyNumberFormat="1" applyFont="1" applyFill="1" applyBorder="1" applyAlignment="1" applyProtection="1">
      <alignment horizontal="center" vertical="center"/>
    </xf>
    <xf numFmtId="169" fontId="2" fillId="12" borderId="15" xfId="0" applyNumberFormat="1" applyFont="1" applyFill="1" applyBorder="1" applyAlignment="1" applyProtection="1">
      <alignment horizontal="center" vertical="center"/>
    </xf>
    <xf numFmtId="164" fontId="33" fillId="0" borderId="18" xfId="4" applyNumberFormat="1" applyFont="1" applyFill="1" applyBorder="1" applyAlignment="1">
      <alignment horizontal="center" vertical="center"/>
    </xf>
    <xf numFmtId="164" fontId="33" fillId="16" borderId="1" xfId="4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 applyProtection="1">
      <alignment horizontal="center" vertical="center"/>
    </xf>
    <xf numFmtId="2" fontId="2" fillId="7" borderId="1" xfId="0" applyNumberFormat="1" applyFont="1" applyFill="1" applyBorder="1" applyAlignment="1" applyProtection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0" fontId="28" fillId="8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/>
    </xf>
    <xf numFmtId="0" fontId="37" fillId="0" borderId="0" xfId="0" applyFont="1" applyFill="1" applyAlignment="1" applyProtection="1">
      <alignment vertical="center"/>
    </xf>
    <xf numFmtId="0" fontId="37" fillId="0" borderId="0" xfId="0" applyFont="1" applyFill="1" applyBorder="1" applyAlignment="1" applyProtection="1">
      <alignment vertical="center"/>
    </xf>
    <xf numFmtId="0" fontId="2" fillId="18" borderId="11" xfId="0" applyFont="1" applyFill="1" applyBorder="1" applyAlignment="1" applyProtection="1">
      <alignment horizontal="right" vertical="center"/>
    </xf>
    <xf numFmtId="0" fontId="0" fillId="18" borderId="14" xfId="0" applyFill="1" applyBorder="1" applyAlignment="1" applyProtection="1">
      <alignment vertical="center"/>
    </xf>
    <xf numFmtId="0" fontId="0" fillId="18" borderId="14" xfId="0" applyFill="1" applyBorder="1" applyAlignment="1" applyProtection="1">
      <alignment horizontal="center" vertical="center"/>
    </xf>
    <xf numFmtId="0" fontId="0" fillId="18" borderId="15" xfId="0" applyFill="1" applyBorder="1" applyAlignment="1" applyProtection="1">
      <alignment vertical="center"/>
    </xf>
    <xf numFmtId="0" fontId="0" fillId="18" borderId="0" xfId="0" applyFill="1" applyAlignment="1" applyProtection="1">
      <alignment horizontal="right" vertical="center" wrapText="1"/>
    </xf>
    <xf numFmtId="0" fontId="5" fillId="18" borderId="0" xfId="0" applyFont="1" applyFill="1" applyAlignment="1" applyProtection="1">
      <alignment horizontal="center" vertical="center" wrapText="1"/>
    </xf>
    <xf numFmtId="0" fontId="0" fillId="18" borderId="0" xfId="0" applyFill="1" applyAlignment="1" applyProtection="1">
      <alignment vertical="center" wrapText="1"/>
    </xf>
    <xf numFmtId="1" fontId="3" fillId="18" borderId="0" xfId="0" applyNumberFormat="1" applyFont="1" applyFill="1" applyBorder="1" applyAlignment="1" applyProtection="1">
      <alignment vertical="center" wrapText="1"/>
    </xf>
    <xf numFmtId="0" fontId="2" fillId="18" borderId="0" xfId="0" applyFont="1" applyFill="1" applyAlignment="1" applyProtection="1">
      <alignment horizontal="right" vertical="center"/>
    </xf>
    <xf numFmtId="0" fontId="5" fillId="18" borderId="0" xfId="0" applyFont="1" applyFill="1" applyAlignment="1" applyProtection="1">
      <alignment horizontal="center" vertical="center"/>
    </xf>
    <xf numFmtId="0" fontId="0" fillId="18" borderId="0" xfId="0" applyFill="1" applyAlignment="1" applyProtection="1">
      <alignment vertical="center"/>
    </xf>
    <xf numFmtId="164" fontId="0" fillId="18" borderId="0" xfId="0" applyNumberFormat="1" applyFill="1" applyAlignment="1" applyProtection="1">
      <alignment vertical="center"/>
    </xf>
    <xf numFmtId="0" fontId="0" fillId="18" borderId="11" xfId="0" applyFill="1" applyBorder="1" applyAlignment="1" applyProtection="1">
      <alignment horizontal="right" vertical="center"/>
    </xf>
    <xf numFmtId="0" fontId="5" fillId="18" borderId="11" xfId="0" applyFont="1" applyFill="1" applyBorder="1" applyAlignment="1" applyProtection="1">
      <alignment horizontal="center" vertical="center"/>
    </xf>
    <xf numFmtId="0" fontId="0" fillId="18" borderId="11" xfId="0" applyFill="1" applyBorder="1" applyAlignment="1" applyProtection="1">
      <alignment vertical="center"/>
    </xf>
    <xf numFmtId="164" fontId="0" fillId="18" borderId="11" xfId="0" applyNumberFormat="1" applyFill="1" applyBorder="1" applyAlignment="1" applyProtection="1">
      <alignment vertical="center"/>
    </xf>
    <xf numFmtId="1" fontId="3" fillId="18" borderId="0" xfId="0" applyNumberFormat="1" applyFont="1" applyFill="1" applyBorder="1" applyAlignment="1" applyProtection="1">
      <alignment vertical="center"/>
    </xf>
    <xf numFmtId="169" fontId="0" fillId="18" borderId="11" xfId="0" applyNumberFormat="1" applyFill="1" applyBorder="1" applyAlignment="1" applyProtection="1">
      <alignment vertical="center"/>
    </xf>
    <xf numFmtId="169" fontId="3" fillId="18" borderId="0" xfId="0" applyNumberFormat="1" applyFont="1" applyFill="1" applyBorder="1" applyAlignment="1" applyProtection="1">
      <alignment vertical="center"/>
    </xf>
    <xf numFmtId="0" fontId="3" fillId="18" borderId="0" xfId="0" applyFont="1" applyFill="1" applyBorder="1" applyAlignment="1" applyProtection="1">
      <alignment vertical="center"/>
    </xf>
    <xf numFmtId="1" fontId="3" fillId="18" borderId="0" xfId="0" applyNumberFormat="1" applyFont="1" applyFill="1" applyAlignment="1" applyProtection="1">
      <alignment vertical="center"/>
    </xf>
    <xf numFmtId="0" fontId="2" fillId="18" borderId="0" xfId="0" applyFont="1" applyFill="1" applyBorder="1" applyAlignment="1" applyProtection="1">
      <alignment horizontal="right" vertical="center" wrapText="1"/>
    </xf>
    <xf numFmtId="0" fontId="2" fillId="18" borderId="0" xfId="0" applyFont="1" applyFill="1" applyBorder="1" applyAlignment="1" applyProtection="1">
      <alignment horizontal="right" vertical="center"/>
    </xf>
    <xf numFmtId="0" fontId="5" fillId="18" borderId="0" xfId="0" applyFont="1" applyFill="1" applyBorder="1" applyAlignment="1" applyProtection="1">
      <alignment horizontal="center" vertical="center"/>
    </xf>
    <xf numFmtId="0" fontId="0" fillId="18" borderId="0" xfId="0" applyFill="1" applyBorder="1" applyAlignment="1" applyProtection="1">
      <alignment vertical="center"/>
    </xf>
    <xf numFmtId="168" fontId="0" fillId="18" borderId="0" xfId="0" applyNumberFormat="1" applyFill="1" applyBorder="1" applyAlignment="1" applyProtection="1">
      <alignment vertical="center"/>
    </xf>
    <xf numFmtId="3" fontId="0" fillId="18" borderId="11" xfId="0" applyNumberFormat="1" applyFill="1" applyBorder="1" applyAlignment="1" applyProtection="1">
      <alignment vertical="center"/>
    </xf>
    <xf numFmtId="0" fontId="0" fillId="18" borderId="10" xfId="0" applyFill="1" applyBorder="1" applyAlignment="1" applyProtection="1">
      <alignment horizontal="right" vertical="center"/>
    </xf>
    <xf numFmtId="0" fontId="5" fillId="18" borderId="10" xfId="0" applyFont="1" applyFill="1" applyBorder="1" applyAlignment="1" applyProtection="1">
      <alignment horizontal="center" vertical="center"/>
    </xf>
    <xf numFmtId="0" fontId="0" fillId="18" borderId="10" xfId="0" applyFill="1" applyBorder="1" applyAlignment="1" applyProtection="1">
      <alignment vertical="center"/>
    </xf>
    <xf numFmtId="164" fontId="0" fillId="18" borderId="10" xfId="0" applyNumberFormat="1" applyFill="1" applyBorder="1" applyAlignment="1" applyProtection="1">
      <alignment vertical="center"/>
    </xf>
    <xf numFmtId="1" fontId="0" fillId="18" borderId="0" xfId="0" applyNumberFormat="1" applyFill="1" applyBorder="1" applyAlignment="1" applyProtection="1">
      <alignment vertical="center"/>
    </xf>
    <xf numFmtId="1" fontId="0" fillId="18" borderId="11" xfId="0" applyNumberFormat="1" applyFill="1" applyBorder="1" applyAlignment="1" applyProtection="1">
      <alignment vertical="center"/>
    </xf>
    <xf numFmtId="0" fontId="0" fillId="18" borderId="0" xfId="0" applyFill="1" applyBorder="1" applyAlignment="1" applyProtection="1">
      <alignment horizontal="right" vertical="center"/>
    </xf>
    <xf numFmtId="3" fontId="0" fillId="18" borderId="0" xfId="0" applyNumberFormat="1" applyFill="1" applyBorder="1" applyAlignment="1" applyProtection="1">
      <alignment vertical="center"/>
    </xf>
    <xf numFmtId="0" fontId="0" fillId="18" borderId="0" xfId="0" applyFill="1" applyAlignment="1" applyProtection="1">
      <alignment horizontal="right" vertical="center"/>
    </xf>
    <xf numFmtId="169" fontId="0" fillId="18" borderId="0" xfId="0" applyNumberFormat="1" applyFill="1" applyAlignment="1" applyProtection="1">
      <alignment vertical="center"/>
    </xf>
    <xf numFmtId="0" fontId="3" fillId="18" borderId="0" xfId="0" applyFont="1" applyFill="1" applyBorder="1" applyAlignment="1" applyProtection="1">
      <alignment horizontal="right" vertical="center"/>
    </xf>
    <xf numFmtId="165" fontId="5" fillId="18" borderId="0" xfId="0" applyNumberFormat="1" applyFont="1" applyFill="1" applyBorder="1" applyAlignment="1" applyProtection="1">
      <alignment vertical="center"/>
    </xf>
    <xf numFmtId="168" fontId="3" fillId="18" borderId="0" xfId="0" applyNumberFormat="1" applyFont="1" applyFill="1" applyBorder="1" applyAlignment="1" applyProtection="1">
      <alignment vertical="center"/>
    </xf>
    <xf numFmtId="0" fontId="21" fillId="18" borderId="11" xfId="0" applyFont="1" applyFill="1" applyBorder="1" applyAlignment="1" applyProtection="1">
      <alignment horizontal="center" vertical="center"/>
    </xf>
    <xf numFmtId="2" fontId="0" fillId="18" borderId="0" xfId="0" applyNumberFormat="1" applyFill="1" applyAlignment="1" applyProtection="1">
      <alignment vertical="center" wrapText="1"/>
    </xf>
    <xf numFmtId="165" fontId="0" fillId="18" borderId="0" xfId="0" applyNumberFormat="1" applyFill="1" applyAlignment="1" applyProtection="1">
      <alignment vertical="center"/>
    </xf>
    <xf numFmtId="165" fontId="0" fillId="18" borderId="11" xfId="0" applyNumberFormat="1" applyFill="1" applyBorder="1" applyAlignment="1" applyProtection="1">
      <alignment vertical="center"/>
    </xf>
    <xf numFmtId="0" fontId="0" fillId="18" borderId="0" xfId="0" applyFill="1" applyBorder="1" applyAlignment="1" applyProtection="1">
      <alignment horizontal="left" vertical="center"/>
    </xf>
    <xf numFmtId="0" fontId="0" fillId="18" borderId="11" xfId="0" applyFill="1" applyBorder="1" applyAlignment="1" applyProtection="1">
      <alignment horizontal="left" vertical="center"/>
    </xf>
    <xf numFmtId="0" fontId="3" fillId="18" borderId="11" xfId="0" applyFont="1" applyFill="1" applyBorder="1" applyAlignment="1" applyProtection="1">
      <alignment vertical="center"/>
    </xf>
    <xf numFmtId="0" fontId="5" fillId="18" borderId="0" xfId="0" applyFont="1" applyFill="1" applyBorder="1" applyAlignment="1" applyProtection="1">
      <alignment vertical="center"/>
    </xf>
    <xf numFmtId="0" fontId="3" fillId="18" borderId="0" xfId="0" applyFont="1" applyFill="1" applyAlignment="1" applyProtection="1">
      <alignment vertical="center"/>
    </xf>
    <xf numFmtId="0" fontId="3" fillId="18" borderId="0" xfId="0" applyFont="1" applyFill="1" applyAlignment="1" applyProtection="1">
      <alignment horizontal="center" vertical="center"/>
    </xf>
    <xf numFmtId="0" fontId="2" fillId="18" borderId="0" xfId="0" applyFont="1" applyFill="1" applyAlignment="1" applyProtection="1">
      <alignment vertical="center"/>
    </xf>
    <xf numFmtId="165" fontId="5" fillId="18" borderId="11" xfId="0" applyNumberFormat="1" applyFont="1" applyFill="1" applyBorder="1" applyAlignment="1" applyProtection="1">
      <alignment vertical="center"/>
    </xf>
    <xf numFmtId="1" fontId="3" fillId="18" borderId="10" xfId="0" applyNumberFormat="1" applyFont="1" applyFill="1" applyBorder="1" applyAlignment="1" applyProtection="1">
      <alignment vertical="center"/>
    </xf>
    <xf numFmtId="1" fontId="3" fillId="18" borderId="11" xfId="0" applyNumberFormat="1" applyFont="1" applyFill="1" applyBorder="1" applyAlignment="1" applyProtection="1">
      <alignment vertical="center"/>
    </xf>
    <xf numFmtId="1" fontId="2" fillId="18" borderId="10" xfId="0" applyNumberFormat="1" applyFont="1" applyFill="1" applyBorder="1" applyAlignment="1" applyProtection="1">
      <alignment vertical="center"/>
    </xf>
    <xf numFmtId="1" fontId="5" fillId="18" borderId="11" xfId="0" applyNumberFormat="1" applyFont="1" applyFill="1" applyBorder="1" applyAlignment="1" applyProtection="1">
      <alignment vertical="center"/>
    </xf>
    <xf numFmtId="0" fontId="0" fillId="18" borderId="3" xfId="0" applyFill="1" applyBorder="1" applyAlignment="1" applyProtection="1">
      <alignment horizontal="left" vertical="center"/>
    </xf>
    <xf numFmtId="165" fontId="0" fillId="18" borderId="0" xfId="0" applyNumberFormat="1" applyFill="1" applyBorder="1" applyAlignment="1" applyProtection="1">
      <alignment horizontal="right" vertical="center"/>
    </xf>
    <xf numFmtId="0" fontId="31" fillId="18" borderId="11" xfId="0" applyFont="1" applyFill="1" applyBorder="1" applyAlignment="1" applyProtection="1">
      <alignment horizontal="right" vertical="center"/>
    </xf>
    <xf numFmtId="0" fontId="45" fillId="0" borderId="0" xfId="0" applyFont="1" applyFill="1" applyAlignment="1" applyProtection="1">
      <alignment horizontal="center" vertical="center"/>
    </xf>
    <xf numFmtId="164" fontId="20" fillId="0" borderId="9" xfId="0" applyNumberFormat="1" applyFont="1" applyFill="1" applyBorder="1" applyAlignment="1" applyProtection="1">
      <alignment horizontal="center" vertical="center"/>
      <protection locked="0"/>
    </xf>
    <xf numFmtId="0" fontId="37" fillId="10" borderId="10" xfId="4" applyFont="1" applyFill="1" applyBorder="1" applyAlignment="1">
      <alignment horizontal="center" vertical="center"/>
    </xf>
    <xf numFmtId="0" fontId="33" fillId="10" borderId="10" xfId="4" applyFont="1" applyFill="1" applyBorder="1" applyAlignment="1">
      <alignment horizontal="center" vertical="center"/>
    </xf>
    <xf numFmtId="0" fontId="38" fillId="10" borderId="10" xfId="4" applyFont="1" applyFill="1" applyBorder="1" applyAlignment="1">
      <alignment horizontal="center" vertical="center"/>
    </xf>
    <xf numFmtId="164" fontId="38" fillId="10" borderId="10" xfId="4" applyNumberFormat="1" applyFont="1" applyFill="1" applyBorder="1" applyAlignment="1">
      <alignment horizontal="center" vertical="center"/>
    </xf>
    <xf numFmtId="0" fontId="2" fillId="10" borderId="0" xfId="4" applyFill="1" applyAlignment="1">
      <alignment vertical="center"/>
    </xf>
    <xf numFmtId="0" fontId="33" fillId="10" borderId="0" xfId="4" applyFont="1" applyFill="1" applyAlignment="1">
      <alignment vertical="center"/>
    </xf>
    <xf numFmtId="0" fontId="33" fillId="10" borderId="0" xfId="4" applyFont="1" applyFill="1" applyAlignment="1"/>
    <xf numFmtId="0" fontId="2" fillId="10" borderId="0" xfId="4" applyFill="1" applyAlignment="1"/>
    <xf numFmtId="0" fontId="2" fillId="10" borderId="0" xfId="4" applyFill="1" applyAlignment="1">
      <alignment horizontal="center" vertical="center"/>
    </xf>
    <xf numFmtId="0" fontId="2" fillId="10" borderId="0" xfId="4" applyFont="1" applyFill="1" applyBorder="1" applyAlignment="1">
      <alignment vertical="center"/>
    </xf>
    <xf numFmtId="0" fontId="2" fillId="10" borderId="0" xfId="4" applyFont="1" applyFill="1" applyBorder="1" applyAlignment="1"/>
    <xf numFmtId="0" fontId="2" fillId="10" borderId="0" xfId="4" applyFill="1" applyBorder="1" applyAlignment="1">
      <alignment vertical="center"/>
    </xf>
    <xf numFmtId="0" fontId="0" fillId="13" borderId="0" xfId="0" applyFill="1" applyAlignment="1">
      <alignment horizontal="center" vertical="center"/>
    </xf>
    <xf numFmtId="0" fontId="0" fillId="13" borderId="0" xfId="0" applyFill="1" applyAlignment="1">
      <alignment vertical="center"/>
    </xf>
    <xf numFmtId="0" fontId="4" fillId="14" borderId="10" xfId="0" applyFont="1" applyFill="1" applyBorder="1" applyAlignment="1">
      <alignment horizontal="center" vertical="center"/>
    </xf>
    <xf numFmtId="0" fontId="2" fillId="15" borderId="0" xfId="0" applyFont="1" applyFill="1" applyBorder="1" applyAlignment="1">
      <alignment horizontal="right" vertical="center"/>
    </xf>
    <xf numFmtId="2" fontId="0" fillId="0" borderId="0" xfId="0" applyNumberFormat="1" applyAlignment="1">
      <alignment vertical="center"/>
    </xf>
    <xf numFmtId="0" fontId="2" fillId="16" borderId="0" xfId="0" applyFont="1" applyFill="1" applyBorder="1" applyAlignment="1">
      <alignment horizontal="right" vertical="center"/>
    </xf>
    <xf numFmtId="0" fontId="34" fillId="0" borderId="0" xfId="0" applyFont="1" applyAlignment="1">
      <alignment vertical="center"/>
    </xf>
    <xf numFmtId="0" fontId="2" fillId="16" borderId="11" xfId="0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37" fillId="14" borderId="12" xfId="0" applyFont="1" applyFill="1" applyBorder="1" applyAlignment="1">
      <alignment horizontal="center" vertical="center"/>
    </xf>
    <xf numFmtId="0" fontId="33" fillId="14" borderId="12" xfId="0" applyFont="1" applyFill="1" applyBorder="1" applyAlignment="1">
      <alignment horizontal="center" vertical="center"/>
    </xf>
    <xf numFmtId="1" fontId="33" fillId="15" borderId="13" xfId="0" applyNumberFormat="1" applyFont="1" applyFill="1" applyBorder="1" applyAlignment="1">
      <alignment horizontal="center" vertical="center"/>
    </xf>
    <xf numFmtId="165" fontId="33" fillId="15" borderId="13" xfId="0" applyNumberFormat="1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165" fontId="33" fillId="16" borderId="13" xfId="0" applyNumberFormat="1" applyFont="1" applyFill="1" applyBorder="1" applyAlignment="1">
      <alignment horizontal="center" vertical="center"/>
    </xf>
    <xf numFmtId="0" fontId="33" fillId="16" borderId="13" xfId="0" applyFont="1" applyFill="1" applyBorder="1" applyAlignment="1">
      <alignment horizontal="center" vertical="center"/>
    </xf>
    <xf numFmtId="0" fontId="33" fillId="16" borderId="9" xfId="0" applyFont="1" applyFill="1" applyBorder="1" applyAlignment="1">
      <alignment horizontal="center" vertical="center"/>
    </xf>
    <xf numFmtId="3" fontId="37" fillId="14" borderId="12" xfId="0" applyNumberFormat="1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right" vertical="center"/>
    </xf>
    <xf numFmtId="0" fontId="33" fillId="16" borderId="13" xfId="0" applyFont="1" applyFill="1" applyBorder="1" applyAlignment="1">
      <alignment horizontal="right" vertical="center"/>
    </xf>
    <xf numFmtId="0" fontId="33" fillId="16" borderId="9" xfId="0" applyFont="1" applyFill="1" applyBorder="1" applyAlignment="1">
      <alignment horizontal="right" vertical="center"/>
    </xf>
    <xf numFmtId="165" fontId="33" fillId="16" borderId="9" xfId="0" applyNumberFormat="1" applyFont="1" applyFill="1" applyBorder="1" applyAlignment="1">
      <alignment horizontal="center" vertical="center"/>
    </xf>
    <xf numFmtId="0" fontId="37" fillId="14" borderId="13" xfId="0" applyFont="1" applyFill="1" applyBorder="1" applyAlignment="1">
      <alignment horizontal="center" vertical="center"/>
    </xf>
    <xf numFmtId="0" fontId="33" fillId="14" borderId="13" xfId="0" applyFont="1" applyFill="1" applyBorder="1" applyAlignment="1">
      <alignment horizontal="center" vertical="center"/>
    </xf>
    <xf numFmtId="0" fontId="37" fillId="14" borderId="0" xfId="0" applyFont="1" applyFill="1" applyAlignment="1">
      <alignment horizontal="left" vertical="center" indent="1"/>
    </xf>
    <xf numFmtId="0" fontId="37" fillId="14" borderId="10" xfId="0" applyFont="1" applyFill="1" applyBorder="1" applyAlignment="1">
      <alignment horizontal="left" vertical="center" indent="1"/>
    </xf>
    <xf numFmtId="0" fontId="2" fillId="10" borderId="3" xfId="4" applyFont="1" applyFill="1" applyBorder="1" applyAlignment="1"/>
    <xf numFmtId="0" fontId="2" fillId="10" borderId="3" xfId="4" applyFill="1" applyBorder="1" applyAlignment="1">
      <alignment vertical="center"/>
    </xf>
    <xf numFmtId="0" fontId="49" fillId="10" borderId="3" xfId="4" applyFont="1" applyFill="1" applyBorder="1" applyAlignment="1">
      <alignment horizontal="center" vertical="center"/>
    </xf>
    <xf numFmtId="0" fontId="26" fillId="18" borderId="11" xfId="0" applyFont="1" applyFill="1" applyBorder="1" applyAlignment="1" applyProtection="1">
      <alignment horizontal="right" vertical="center"/>
    </xf>
    <xf numFmtId="164" fontId="26" fillId="18" borderId="11" xfId="0" applyNumberFormat="1" applyFont="1" applyFill="1" applyBorder="1" applyAlignment="1" applyProtection="1">
      <alignment horizontal="center" vertical="center"/>
    </xf>
    <xf numFmtId="1" fontId="26" fillId="18" borderId="11" xfId="0" applyNumberFormat="1" applyFont="1" applyFill="1" applyBorder="1" applyAlignment="1" applyProtection="1">
      <alignment horizontal="left" vertical="center"/>
    </xf>
    <xf numFmtId="0" fontId="33" fillId="16" borderId="2" xfId="4" applyFont="1" applyFill="1" applyBorder="1" applyAlignment="1">
      <alignment horizontal="center" vertical="center"/>
    </xf>
    <xf numFmtId="0" fontId="50" fillId="0" borderId="0" xfId="0" applyFont="1" applyFill="1" applyAlignment="1" applyProtection="1">
      <alignment vertical="center"/>
    </xf>
    <xf numFmtId="0" fontId="33" fillId="16" borderId="9" xfId="4" applyFont="1" applyFill="1" applyBorder="1" applyAlignment="1">
      <alignment horizontal="center" vertical="center"/>
    </xf>
    <xf numFmtId="0" fontId="2" fillId="0" borderId="0" xfId="4" applyFont="1" applyBorder="1" applyAlignment="1"/>
    <xf numFmtId="164" fontId="33" fillId="16" borderId="18" xfId="4" applyNumberFormat="1" applyFont="1" applyFill="1" applyBorder="1" applyAlignment="1">
      <alignment horizontal="center" vertical="center"/>
    </xf>
    <xf numFmtId="0" fontId="47" fillId="10" borderId="0" xfId="4" applyFont="1" applyFill="1" applyBorder="1" applyAlignment="1">
      <alignment vertical="center"/>
    </xf>
    <xf numFmtId="0" fontId="2" fillId="0" borderId="0" xfId="4" applyBorder="1" applyAlignment="1">
      <alignment vertical="center"/>
    </xf>
    <xf numFmtId="0" fontId="41" fillId="0" borderId="0" xfId="4" applyFont="1" applyBorder="1" applyAlignment="1">
      <alignment vertical="center"/>
    </xf>
    <xf numFmtId="0" fontId="49" fillId="0" borderId="0" xfId="4" applyFont="1" applyFill="1" applyBorder="1" applyAlignment="1">
      <alignment horizontal="left" vertical="center" indent="4"/>
    </xf>
    <xf numFmtId="0" fontId="33" fillId="16" borderId="16" xfId="4" applyFont="1" applyFill="1" applyBorder="1" applyAlignment="1">
      <alignment horizontal="center" vertical="center"/>
    </xf>
    <xf numFmtId="0" fontId="33" fillId="16" borderId="17" xfId="4" applyFont="1" applyFill="1" applyBorder="1" applyAlignment="1">
      <alignment horizontal="center" vertical="center"/>
    </xf>
    <xf numFmtId="0" fontId="33" fillId="0" borderId="16" xfId="4" applyFont="1" applyFill="1" applyBorder="1" applyAlignment="1">
      <alignment horizontal="center" vertical="center"/>
    </xf>
    <xf numFmtId="0" fontId="33" fillId="0" borderId="17" xfId="4" applyFont="1" applyFill="1" applyBorder="1" applyAlignment="1">
      <alignment horizontal="center" vertical="center"/>
    </xf>
    <xf numFmtId="0" fontId="33" fillId="0" borderId="1" xfId="4" applyFont="1" applyFill="1" applyBorder="1" applyAlignment="1">
      <alignment horizontal="center" vertical="center"/>
    </xf>
    <xf numFmtId="164" fontId="33" fillId="0" borderId="1" xfId="4" applyNumberFormat="1" applyFont="1" applyFill="1" applyBorder="1" applyAlignment="1">
      <alignment horizontal="center" vertical="center"/>
    </xf>
    <xf numFmtId="0" fontId="33" fillId="10" borderId="0" xfId="4" applyFont="1" applyFill="1" applyAlignment="1">
      <alignment horizontal="center" vertical="center"/>
    </xf>
    <xf numFmtId="0" fontId="51" fillId="0" borderId="0" xfId="4" applyFont="1" applyFill="1" applyBorder="1" applyAlignment="1">
      <alignment horizontal="left" vertical="center" indent="4"/>
    </xf>
    <xf numFmtId="0" fontId="2" fillId="0" borderId="1" xfId="4" applyFont="1" applyFill="1" applyBorder="1" applyAlignment="1">
      <alignment horizontal="center" vertical="center"/>
    </xf>
    <xf numFmtId="0" fontId="4" fillId="0" borderId="3" xfId="4" applyFont="1" applyFill="1" applyBorder="1" applyAlignment="1">
      <alignment vertical="center" wrapText="1"/>
    </xf>
    <xf numFmtId="0" fontId="2" fillId="0" borderId="7" xfId="4" applyFont="1" applyFill="1" applyBorder="1" applyAlignment="1">
      <alignment horizontal="center" vertical="center" wrapText="1"/>
    </xf>
    <xf numFmtId="0" fontId="2" fillId="0" borderId="15" xfId="4" applyFont="1" applyFill="1" applyBorder="1" applyAlignment="1">
      <alignment horizontal="center" vertical="center"/>
    </xf>
    <xf numFmtId="0" fontId="2" fillId="0" borderId="2" xfId="4" applyFont="1" applyFill="1" applyBorder="1" applyAlignment="1">
      <alignment horizontal="center" vertical="center"/>
    </xf>
    <xf numFmtId="0" fontId="33" fillId="0" borderId="9" xfId="4" applyFont="1" applyFill="1" applyBorder="1" applyAlignment="1">
      <alignment horizontal="center" vertical="center"/>
    </xf>
    <xf numFmtId="0" fontId="28" fillId="8" borderId="9" xfId="0" applyFont="1" applyFill="1" applyBorder="1" applyAlignment="1" applyProtection="1">
      <alignment horizontal="center" vertical="center"/>
      <protection locked="0"/>
    </xf>
    <xf numFmtId="0" fontId="9" fillId="0" borderId="3" xfId="4" applyFont="1" applyFill="1" applyBorder="1" applyAlignment="1">
      <alignment horizontal="left" vertical="center" indent="1"/>
    </xf>
    <xf numFmtId="0" fontId="2" fillId="10" borderId="10" xfId="4" applyFill="1" applyBorder="1" applyAlignment="1">
      <alignment vertical="center"/>
    </xf>
    <xf numFmtId="0" fontId="2" fillId="10" borderId="5" xfId="4" applyFill="1" applyBorder="1" applyAlignment="1">
      <alignment vertical="center"/>
    </xf>
    <xf numFmtId="0" fontId="2" fillId="10" borderId="6" xfId="4" applyFill="1" applyBorder="1" applyAlignment="1">
      <alignment vertical="center"/>
    </xf>
    <xf numFmtId="164" fontId="33" fillId="0" borderId="9" xfId="4" applyNumberFormat="1" applyFont="1" applyFill="1" applyBorder="1" applyAlignment="1">
      <alignment horizontal="center" vertical="center"/>
    </xf>
    <xf numFmtId="0" fontId="33" fillId="0" borderId="2" xfId="4" applyFont="1" applyFill="1" applyBorder="1" applyAlignment="1">
      <alignment horizontal="center" vertical="center"/>
    </xf>
    <xf numFmtId="0" fontId="6" fillId="0" borderId="2" xfId="4" applyFont="1" applyFill="1" applyBorder="1" applyAlignment="1">
      <alignment horizontal="center" vertical="center"/>
    </xf>
    <xf numFmtId="0" fontId="49" fillId="0" borderId="0" xfId="4" applyFont="1" applyFill="1" applyBorder="1" applyAlignment="1">
      <alignment horizontal="center" vertical="center"/>
    </xf>
    <xf numFmtId="0" fontId="33" fillId="0" borderId="13" xfId="4" applyFont="1" applyFill="1" applyBorder="1" applyAlignment="1">
      <alignment horizontal="center" vertical="center"/>
    </xf>
    <xf numFmtId="0" fontId="33" fillId="0" borderId="9" xfId="4" applyFont="1" applyFill="1" applyBorder="1" applyAlignment="1">
      <alignment horizontal="center" vertical="center"/>
    </xf>
    <xf numFmtId="0" fontId="9" fillId="0" borderId="4" xfId="4" applyFont="1" applyFill="1" applyBorder="1" applyAlignment="1">
      <alignment horizontal="left" vertical="center" indent="1"/>
    </xf>
    <xf numFmtId="0" fontId="9" fillId="0" borderId="10" xfId="4" applyFont="1" applyFill="1" applyBorder="1" applyAlignment="1">
      <alignment horizontal="left" vertical="center" indent="1"/>
    </xf>
    <xf numFmtId="0" fontId="33" fillId="16" borderId="12" xfId="4" applyFont="1" applyFill="1" applyBorder="1" applyAlignment="1">
      <alignment horizontal="center" vertical="center"/>
    </xf>
    <xf numFmtId="0" fontId="33" fillId="16" borderId="9" xfId="4" applyFont="1" applyFill="1" applyBorder="1" applyAlignment="1">
      <alignment horizontal="center" vertical="center"/>
    </xf>
    <xf numFmtId="0" fontId="33" fillId="16" borderId="20" xfId="4" applyFont="1" applyFill="1" applyBorder="1" applyAlignment="1">
      <alignment horizontal="center" vertical="center"/>
    </xf>
    <xf numFmtId="0" fontId="0" fillId="12" borderId="0" xfId="0" applyFill="1" applyAlignment="1" applyProtection="1">
      <alignment horizontal="center" vertical="center"/>
    </xf>
    <xf numFmtId="0" fontId="0" fillId="12" borderId="0" xfId="0" applyFill="1" applyBorder="1" applyAlignment="1" applyProtection="1">
      <alignment horizontal="center" vertical="center"/>
    </xf>
    <xf numFmtId="0" fontId="0" fillId="12" borderId="0" xfId="0" applyFill="1" applyProtection="1"/>
    <xf numFmtId="0" fontId="0" fillId="12" borderId="0" xfId="0" applyFill="1" applyAlignment="1" applyProtection="1">
      <alignment horizontal="left"/>
    </xf>
    <xf numFmtId="0" fontId="0" fillId="12" borderId="0" xfId="0" applyFill="1" applyAlignment="1" applyProtection="1">
      <alignment horizontal="center" vertical="center" wrapText="1"/>
    </xf>
    <xf numFmtId="0" fontId="0" fillId="12" borderId="0" xfId="0" applyFill="1" applyAlignment="1" applyProtection="1">
      <alignment horizontal="left" wrapText="1"/>
    </xf>
    <xf numFmtId="0" fontId="2" fillId="12" borderId="1" xfId="0" applyFont="1" applyFill="1" applyBorder="1" applyAlignment="1" applyProtection="1">
      <alignment horizontal="center" vertical="center" wrapText="1"/>
    </xf>
    <xf numFmtId="168" fontId="4" fillId="1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165" fontId="4" fillId="12" borderId="23" xfId="0" quotePrefix="1" applyNumberFormat="1" applyFont="1" applyFill="1" applyBorder="1" applyAlignment="1" applyProtection="1">
      <alignment horizontal="center" vertical="center" wrapText="1"/>
    </xf>
    <xf numFmtId="165" fontId="4" fillId="12" borderId="1" xfId="0" quotePrefix="1" applyNumberFormat="1" applyFont="1" applyFill="1" applyBorder="1" applyAlignment="1" applyProtection="1">
      <alignment horizontal="center" vertical="center" wrapText="1"/>
    </xf>
    <xf numFmtId="165" fontId="4" fillId="12" borderId="15" xfId="0" quotePrefix="1" applyNumberFormat="1" applyFont="1" applyFill="1" applyBorder="1" applyAlignment="1" applyProtection="1">
      <alignment horizontal="center" vertical="center" wrapText="1"/>
    </xf>
    <xf numFmtId="165" fontId="4" fillId="12" borderId="24" xfId="0" quotePrefix="1" applyNumberFormat="1" applyFont="1" applyFill="1" applyBorder="1" applyAlignment="1" applyProtection="1">
      <alignment horizontal="center" vertical="center" wrapText="1"/>
    </xf>
    <xf numFmtId="0" fontId="0" fillId="12" borderId="13" xfId="0" applyFill="1" applyBorder="1" applyAlignment="1" applyProtection="1">
      <alignment horizontal="center" vertical="center"/>
    </xf>
    <xf numFmtId="164" fontId="0" fillId="12" borderId="13" xfId="0" applyNumberFormat="1" applyFill="1" applyBorder="1" applyAlignment="1" applyProtection="1">
      <alignment horizontal="center" vertical="center"/>
    </xf>
    <xf numFmtId="0" fontId="2" fillId="12" borderId="25" xfId="0" applyFont="1" applyFill="1" applyBorder="1" applyAlignment="1" applyProtection="1">
      <alignment horizontal="center" vertical="center"/>
    </xf>
    <xf numFmtId="0" fontId="2" fillId="12" borderId="26" xfId="0" applyFont="1" applyFill="1" applyBorder="1" applyAlignment="1" applyProtection="1">
      <alignment horizontal="center" vertical="center" wrapText="1"/>
    </xf>
    <xf numFmtId="0" fontId="2" fillId="12" borderId="27" xfId="0" applyFont="1" applyFill="1" applyBorder="1" applyAlignment="1" applyProtection="1">
      <alignment horizontal="center" vertical="center" wrapText="1"/>
    </xf>
    <xf numFmtId="0" fontId="2" fillId="12" borderId="29" xfId="0" applyFont="1" applyFill="1" applyBorder="1" applyAlignment="1" applyProtection="1">
      <alignment horizontal="center" vertical="center" wrapText="1"/>
    </xf>
    <xf numFmtId="0" fontId="2" fillId="12" borderId="28" xfId="0" applyFont="1" applyFill="1" applyBorder="1" applyAlignment="1" applyProtection="1">
      <alignment horizontal="center" vertical="center" wrapText="1"/>
    </xf>
    <xf numFmtId="0" fontId="2" fillId="12" borderId="49" xfId="0" applyFont="1" applyFill="1" applyBorder="1" applyAlignment="1" applyProtection="1">
      <alignment horizontal="center" vertical="center" wrapText="1"/>
    </xf>
    <xf numFmtId="0" fontId="4" fillId="12" borderId="47" xfId="0" applyFont="1" applyFill="1" applyBorder="1" applyAlignment="1" applyProtection="1">
      <alignment horizontal="center" vertical="center" wrapText="1"/>
    </xf>
    <xf numFmtId="0" fontId="4" fillId="12" borderId="46" xfId="0" applyFont="1" applyFill="1" applyBorder="1" applyAlignment="1" applyProtection="1">
      <alignment horizontal="center" vertical="center" wrapText="1"/>
    </xf>
    <xf numFmtId="0" fontId="4" fillId="12" borderId="48" xfId="0" applyFont="1" applyFill="1" applyBorder="1" applyAlignment="1" applyProtection="1">
      <alignment horizontal="center" vertical="center" wrapText="1"/>
    </xf>
    <xf numFmtId="0" fontId="2" fillId="12" borderId="0" xfId="0" applyFont="1" applyFill="1" applyAlignment="1" applyProtection="1">
      <alignment horizontal="center" vertical="center"/>
    </xf>
    <xf numFmtId="0" fontId="2" fillId="12" borderId="0" xfId="0" applyFont="1" applyFill="1" applyAlignment="1" applyProtection="1">
      <alignment horizontal="right" vertical="center"/>
    </xf>
    <xf numFmtId="0" fontId="2" fillId="12" borderId="50" xfId="0" applyFont="1" applyFill="1" applyBorder="1" applyAlignment="1" applyProtection="1">
      <alignment horizontal="center" vertical="center" wrapText="1"/>
    </xf>
    <xf numFmtId="164" fontId="2" fillId="12" borderId="26" xfId="0" applyNumberFormat="1" applyFont="1" applyFill="1" applyBorder="1" applyAlignment="1" applyProtection="1">
      <alignment horizontal="center" vertical="center" wrapText="1"/>
    </xf>
    <xf numFmtId="164" fontId="2" fillId="12" borderId="27" xfId="0" applyNumberFormat="1" applyFont="1" applyFill="1" applyBorder="1" applyAlignment="1" applyProtection="1">
      <alignment horizontal="center" vertical="center" wrapText="1"/>
    </xf>
    <xf numFmtId="164" fontId="2" fillId="12" borderId="28" xfId="0" applyNumberFormat="1" applyFont="1" applyFill="1" applyBorder="1" applyAlignment="1" applyProtection="1">
      <alignment horizontal="center" vertical="center" wrapText="1"/>
    </xf>
    <xf numFmtId="0" fontId="2" fillId="12" borderId="49" xfId="0" applyFont="1" applyFill="1" applyBorder="1" applyAlignment="1" applyProtection="1">
      <alignment horizontal="center" vertical="center"/>
    </xf>
    <xf numFmtId="164" fontId="2" fillId="12" borderId="47" xfId="0" applyNumberFormat="1" applyFont="1" applyFill="1" applyBorder="1" applyAlignment="1" applyProtection="1">
      <alignment horizontal="center" vertical="center" wrapText="1"/>
    </xf>
    <xf numFmtId="164" fontId="2" fillId="12" borderId="46" xfId="0" applyNumberFormat="1" applyFont="1" applyFill="1" applyBorder="1" applyAlignment="1" applyProtection="1">
      <alignment horizontal="center" vertical="center" wrapText="1"/>
    </xf>
    <xf numFmtId="164" fontId="2" fillId="12" borderId="48" xfId="0" applyNumberFormat="1" applyFont="1" applyFill="1" applyBorder="1" applyAlignment="1" applyProtection="1">
      <alignment horizontal="center" vertical="center" wrapText="1"/>
    </xf>
    <xf numFmtId="164" fontId="2" fillId="12" borderId="50" xfId="0" applyNumberFormat="1" applyFont="1" applyFill="1" applyBorder="1" applyAlignment="1" applyProtection="1">
      <alignment horizontal="center" vertical="center"/>
    </xf>
    <xf numFmtId="0" fontId="4" fillId="12" borderId="0" xfId="0" applyFont="1" applyFill="1" applyAlignment="1" applyProtection="1">
      <alignment horizontal="center"/>
    </xf>
    <xf numFmtId="0" fontId="19" fillId="12" borderId="35" xfId="0" applyFont="1" applyFill="1" applyBorder="1" applyAlignment="1" applyProtection="1">
      <alignment horizontal="center" vertical="center" wrapText="1"/>
    </xf>
    <xf numFmtId="164" fontId="5" fillId="12" borderId="38" xfId="0" applyNumberFormat="1" applyFont="1" applyFill="1" applyBorder="1" applyAlignment="1" applyProtection="1">
      <alignment horizontal="center" vertical="center"/>
    </xf>
    <xf numFmtId="164" fontId="5" fillId="12" borderId="39" xfId="0" applyNumberFormat="1" applyFont="1" applyFill="1" applyBorder="1" applyAlignment="1" applyProtection="1">
      <alignment horizontal="center" vertical="center"/>
    </xf>
    <xf numFmtId="164" fontId="5" fillId="12" borderId="41" xfId="0" applyNumberFormat="1" applyFont="1" applyFill="1" applyBorder="1" applyAlignment="1" applyProtection="1">
      <alignment horizontal="center" vertical="center"/>
    </xf>
    <xf numFmtId="164" fontId="5" fillId="12" borderId="36" xfId="0" applyNumberFormat="1" applyFont="1" applyFill="1" applyBorder="1" applyAlignment="1" applyProtection="1">
      <alignment horizontal="center" vertical="center"/>
    </xf>
    <xf numFmtId="164" fontId="5" fillId="12" borderId="40" xfId="0" applyNumberFormat="1" applyFont="1" applyFill="1" applyBorder="1" applyAlignment="1" applyProtection="1">
      <alignment horizontal="center" vertical="center"/>
    </xf>
    <xf numFmtId="164" fontId="5" fillId="12" borderId="37" xfId="0" applyNumberFormat="1" applyFont="1" applyFill="1" applyBorder="1" applyAlignment="1" applyProtection="1">
      <alignment horizontal="center" vertical="center"/>
    </xf>
    <xf numFmtId="0" fontId="9" fillId="10" borderId="0" xfId="0" applyFont="1" applyFill="1" applyAlignment="1" applyProtection="1">
      <alignment horizontal="left" vertical="center" indent="1"/>
    </xf>
    <xf numFmtId="0" fontId="0" fillId="10" borderId="0" xfId="0" applyFill="1" applyProtection="1"/>
    <xf numFmtId="0" fontId="0" fillId="10" borderId="0" xfId="0" applyFill="1" applyAlignment="1" applyProtection="1">
      <alignment horizontal="center" vertical="center"/>
    </xf>
    <xf numFmtId="0" fontId="0" fillId="12" borderId="12" xfId="0" applyFill="1" applyBorder="1" applyAlignment="1" applyProtection="1">
      <alignment horizontal="center" vertical="center"/>
    </xf>
    <xf numFmtId="164" fontId="0" fillId="12" borderId="12" xfId="0" applyNumberFormat="1" applyFill="1" applyBorder="1" applyAlignment="1" applyProtection="1">
      <alignment horizontal="center" vertical="center"/>
    </xf>
    <xf numFmtId="165" fontId="33" fillId="14" borderId="15" xfId="0" quotePrefix="1" applyNumberFormat="1" applyFont="1" applyFill="1" applyBorder="1" applyAlignment="1" applyProtection="1">
      <alignment horizontal="center" vertical="center" wrapText="1"/>
    </xf>
    <xf numFmtId="165" fontId="33" fillId="14" borderId="1" xfId="0" quotePrefix="1" applyNumberFormat="1" applyFont="1" applyFill="1" applyBorder="1" applyAlignment="1" applyProtection="1">
      <alignment horizontal="center" vertical="center" wrapText="1"/>
    </xf>
    <xf numFmtId="165" fontId="33" fillId="14" borderId="24" xfId="0" quotePrefix="1" applyNumberFormat="1" applyFont="1" applyFill="1" applyBorder="1" applyAlignment="1" applyProtection="1">
      <alignment horizontal="center" vertical="center" wrapText="1"/>
    </xf>
    <xf numFmtId="165" fontId="33" fillId="16" borderId="23" xfId="0" quotePrefix="1" applyNumberFormat="1" applyFont="1" applyFill="1" applyBorder="1" applyAlignment="1" applyProtection="1">
      <alignment horizontal="center" vertical="center" wrapText="1"/>
    </xf>
    <xf numFmtId="165" fontId="33" fillId="16" borderId="1" xfId="0" quotePrefix="1" applyNumberFormat="1" applyFont="1" applyFill="1" applyBorder="1" applyAlignment="1" applyProtection="1">
      <alignment horizontal="center" vertical="center" wrapText="1"/>
    </xf>
    <xf numFmtId="165" fontId="33" fillId="16" borderId="24" xfId="0" quotePrefix="1" applyNumberFormat="1" applyFont="1" applyFill="1" applyBorder="1" applyAlignment="1" applyProtection="1">
      <alignment horizontal="center" vertical="center" wrapText="1"/>
    </xf>
    <xf numFmtId="0" fontId="2" fillId="0" borderId="44" xfId="0" applyFont="1" applyFill="1" applyBorder="1" applyAlignment="1" applyProtection="1">
      <alignment horizontal="center" vertical="center"/>
    </xf>
    <xf numFmtId="0" fontId="33" fillId="14" borderId="23" xfId="0" applyFont="1" applyFill="1" applyBorder="1" applyAlignment="1" applyProtection="1">
      <alignment horizontal="center" vertical="center" wrapText="1"/>
    </xf>
    <xf numFmtId="0" fontId="33" fillId="14" borderId="1" xfId="0" applyFont="1" applyFill="1" applyBorder="1" applyAlignment="1" applyProtection="1">
      <alignment horizontal="center" vertical="center" wrapText="1"/>
    </xf>
    <xf numFmtId="0" fontId="33" fillId="14" borderId="24" xfId="0" applyFont="1" applyFill="1" applyBorder="1" applyAlignment="1" applyProtection="1">
      <alignment horizontal="center" vertical="center" wrapText="1"/>
    </xf>
    <xf numFmtId="0" fontId="33" fillId="16" borderId="23" xfId="0" applyFont="1" applyFill="1" applyBorder="1" applyAlignment="1" applyProtection="1">
      <alignment horizontal="center" vertical="center" wrapText="1"/>
    </xf>
    <xf numFmtId="0" fontId="33" fillId="16" borderId="1" xfId="0" applyFont="1" applyFill="1" applyBorder="1" applyAlignment="1" applyProtection="1">
      <alignment horizontal="center" vertical="center" wrapText="1"/>
    </xf>
    <xf numFmtId="0" fontId="33" fillId="16" borderId="24" xfId="0" applyFont="1" applyFill="1" applyBorder="1" applyAlignment="1" applyProtection="1">
      <alignment horizontal="center" vertical="center" wrapText="1"/>
    </xf>
    <xf numFmtId="0" fontId="2" fillId="0" borderId="53" xfId="0" applyFont="1" applyFill="1" applyBorder="1" applyAlignment="1" applyProtection="1">
      <alignment horizontal="center" vertical="center" wrapText="1"/>
    </xf>
    <xf numFmtId="0" fontId="33" fillId="14" borderId="15" xfId="0" applyFont="1" applyFill="1" applyBorder="1" applyAlignment="1" applyProtection="1">
      <alignment horizontal="center" vertical="center" wrapText="1"/>
    </xf>
    <xf numFmtId="0" fontId="2" fillId="10" borderId="0" xfId="0" applyFont="1" applyFill="1" applyAlignment="1" applyProtection="1">
      <alignment horizontal="center" vertical="center"/>
    </xf>
    <xf numFmtId="0" fontId="2" fillId="0" borderId="54" xfId="0" applyFont="1" applyFill="1" applyBorder="1" applyAlignment="1" applyProtection="1">
      <alignment horizontal="center" vertical="center" wrapText="1"/>
    </xf>
    <xf numFmtId="164" fontId="33" fillId="14" borderId="8" xfId="0" applyNumberFormat="1" applyFont="1" applyFill="1" applyBorder="1" applyAlignment="1" applyProtection="1">
      <alignment horizontal="center" vertical="center" wrapText="1"/>
    </xf>
    <xf numFmtId="164" fontId="33" fillId="14" borderId="9" xfId="0" applyNumberFormat="1" applyFont="1" applyFill="1" applyBorder="1" applyAlignment="1" applyProtection="1">
      <alignment horizontal="center" vertical="center" wrapText="1"/>
    </xf>
    <xf numFmtId="164" fontId="33" fillId="14" borderId="52" xfId="0" applyNumberFormat="1" applyFont="1" applyFill="1" applyBorder="1" applyAlignment="1" applyProtection="1">
      <alignment horizontal="center" vertical="center" wrapText="1"/>
    </xf>
    <xf numFmtId="164" fontId="33" fillId="16" borderId="51" xfId="0" applyNumberFormat="1" applyFont="1" applyFill="1" applyBorder="1" applyAlignment="1" applyProtection="1">
      <alignment horizontal="center" vertical="center" wrapText="1"/>
    </xf>
    <xf numFmtId="164" fontId="33" fillId="16" borderId="9" xfId="0" applyNumberFormat="1" applyFont="1" applyFill="1" applyBorder="1" applyAlignment="1" applyProtection="1">
      <alignment horizontal="center" vertical="center" wrapText="1"/>
    </xf>
    <xf numFmtId="164" fontId="33" fillId="16" borderId="52" xfId="0" applyNumberFormat="1" applyFont="1" applyFill="1" applyBorder="1" applyAlignment="1" applyProtection="1">
      <alignment horizontal="center" vertical="center" wrapText="1"/>
    </xf>
    <xf numFmtId="0" fontId="2" fillId="12" borderId="44" xfId="0" applyFont="1" applyFill="1" applyBorder="1" applyAlignment="1" applyProtection="1">
      <alignment horizontal="center" vertical="center"/>
    </xf>
    <xf numFmtId="164" fontId="2" fillId="12" borderId="51" xfId="0" applyNumberFormat="1" applyFont="1" applyFill="1" applyBorder="1" applyAlignment="1" applyProtection="1">
      <alignment horizontal="center" vertical="center" wrapText="1"/>
    </xf>
    <xf numFmtId="164" fontId="2" fillId="12" borderId="9" xfId="0" applyNumberFormat="1" applyFont="1" applyFill="1" applyBorder="1" applyAlignment="1" applyProtection="1">
      <alignment horizontal="center" vertical="center" wrapText="1"/>
    </xf>
    <xf numFmtId="164" fontId="2" fillId="12" borderId="7" xfId="0" applyNumberFormat="1" applyFont="1" applyFill="1" applyBorder="1" applyAlignment="1" applyProtection="1">
      <alignment horizontal="center" vertical="center" wrapText="1"/>
    </xf>
    <xf numFmtId="164" fontId="2" fillId="12" borderId="52" xfId="0" applyNumberFormat="1" applyFont="1" applyFill="1" applyBorder="1" applyAlignment="1" applyProtection="1">
      <alignment horizontal="center" vertical="center" wrapText="1"/>
    </xf>
    <xf numFmtId="164" fontId="0" fillId="0" borderId="0" xfId="0" applyNumberFormat="1" applyFill="1" applyProtection="1"/>
    <xf numFmtId="164" fontId="2" fillId="12" borderId="21" xfId="0" applyNumberFormat="1" applyFont="1" applyFill="1" applyBorder="1" applyAlignment="1" applyProtection="1">
      <alignment horizontal="center" vertical="center"/>
    </xf>
    <xf numFmtId="0" fontId="19" fillId="12" borderId="34" xfId="0" applyFont="1" applyFill="1" applyBorder="1" applyAlignment="1" applyProtection="1">
      <alignment horizontal="center" vertical="center" wrapText="1"/>
    </xf>
    <xf numFmtId="164" fontId="2" fillId="12" borderId="26" xfId="0" applyNumberFormat="1" applyFont="1" applyFill="1" applyBorder="1" applyAlignment="1" applyProtection="1">
      <alignment horizontal="center" vertical="center"/>
    </xf>
    <xf numFmtId="164" fontId="2" fillId="12" borderId="27" xfId="0" applyNumberFormat="1" applyFont="1" applyFill="1" applyBorder="1" applyAlignment="1" applyProtection="1">
      <alignment horizontal="center" vertical="center"/>
    </xf>
    <xf numFmtId="164" fontId="2" fillId="12" borderId="33" xfId="0" applyNumberFormat="1" applyFont="1" applyFill="1" applyBorder="1" applyAlignment="1" applyProtection="1">
      <alignment horizontal="center" vertical="center"/>
    </xf>
    <xf numFmtId="164" fontId="2" fillId="12" borderId="28" xfId="0" applyNumberFormat="1" applyFont="1" applyFill="1" applyBorder="1" applyAlignment="1" applyProtection="1">
      <alignment horizontal="center" vertical="center"/>
    </xf>
    <xf numFmtId="0" fontId="0" fillId="12" borderId="9" xfId="0" applyFill="1" applyBorder="1" applyAlignment="1" applyProtection="1">
      <alignment horizontal="center" vertical="center"/>
    </xf>
    <xf numFmtId="164" fontId="0" fillId="12" borderId="9" xfId="0" applyNumberFormat="1" applyFill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vertical="top"/>
    </xf>
    <xf numFmtId="0" fontId="2" fillId="0" borderId="0" xfId="0" applyFont="1" applyBorder="1" applyAlignment="1" applyProtection="1">
      <alignment vertical="center"/>
    </xf>
    <xf numFmtId="0" fontId="2" fillId="0" borderId="53" xfId="0" applyFont="1" applyFill="1" applyBorder="1" applyAlignment="1" applyProtection="1">
      <alignment horizontal="center" vertical="center"/>
    </xf>
    <xf numFmtId="165" fontId="33" fillId="14" borderId="23" xfId="0" quotePrefix="1" applyNumberFormat="1" applyFont="1" applyFill="1" applyBorder="1" applyAlignment="1" applyProtection="1">
      <alignment horizontal="center" vertical="center" wrapText="1"/>
    </xf>
    <xf numFmtId="0" fontId="33" fillId="14" borderId="2" xfId="0" applyFont="1" applyFill="1" applyBorder="1" applyAlignment="1" applyProtection="1">
      <alignment horizontal="center" vertical="center" wrapText="1"/>
    </xf>
    <xf numFmtId="164" fontId="33" fillId="14" borderId="51" xfId="0" applyNumberFormat="1" applyFont="1" applyFill="1" applyBorder="1" applyAlignment="1" applyProtection="1">
      <alignment horizontal="center" vertical="center" wrapText="1"/>
    </xf>
    <xf numFmtId="164" fontId="5" fillId="12" borderId="26" xfId="0" applyNumberFormat="1" applyFont="1" applyFill="1" applyBorder="1" applyAlignment="1" applyProtection="1">
      <alignment horizontal="center" vertical="center"/>
    </xf>
    <xf numFmtId="164" fontId="5" fillId="12" borderId="27" xfId="0" applyNumberFormat="1" applyFont="1" applyFill="1" applyBorder="1" applyAlignment="1" applyProtection="1">
      <alignment horizontal="center" vertical="center"/>
    </xf>
    <xf numFmtId="164" fontId="5" fillId="12" borderId="28" xfId="0" applyNumberFormat="1" applyFont="1" applyFill="1" applyBorder="1" applyAlignment="1" applyProtection="1">
      <alignment horizontal="center" vertical="center"/>
    </xf>
    <xf numFmtId="165" fontId="33" fillId="15" borderId="23" xfId="0" quotePrefix="1" applyNumberFormat="1" applyFont="1" applyFill="1" applyBorder="1" applyAlignment="1" applyProtection="1">
      <alignment horizontal="center" vertical="center" wrapText="1"/>
    </xf>
    <xf numFmtId="165" fontId="33" fillId="15" borderId="1" xfId="0" quotePrefix="1" applyNumberFormat="1" applyFont="1" applyFill="1" applyBorder="1" applyAlignment="1" applyProtection="1">
      <alignment horizontal="center" vertical="center" wrapText="1"/>
    </xf>
    <xf numFmtId="165" fontId="33" fillId="15" borderId="24" xfId="0" quotePrefix="1" applyNumberFormat="1" applyFont="1" applyFill="1" applyBorder="1" applyAlignment="1" applyProtection="1">
      <alignment horizontal="center" vertical="center" wrapText="1"/>
    </xf>
    <xf numFmtId="0" fontId="33" fillId="15" borderId="15" xfId="0" applyFont="1" applyFill="1" applyBorder="1" applyAlignment="1" applyProtection="1">
      <alignment horizontal="center" vertical="center" wrapText="1"/>
    </xf>
    <xf numFmtId="0" fontId="33" fillId="15" borderId="1" xfId="0" applyFont="1" applyFill="1" applyBorder="1" applyAlignment="1" applyProtection="1">
      <alignment horizontal="center" vertical="center" wrapText="1"/>
    </xf>
    <xf numFmtId="0" fontId="33" fillId="15" borderId="24" xfId="0" applyFont="1" applyFill="1" applyBorder="1" applyAlignment="1" applyProtection="1">
      <alignment horizontal="center" vertical="center" wrapText="1"/>
    </xf>
    <xf numFmtId="0" fontId="33" fillId="16" borderId="2" xfId="0" applyFont="1" applyFill="1" applyBorder="1" applyAlignment="1" applyProtection="1">
      <alignment horizontal="center" vertical="center" wrapText="1"/>
    </xf>
    <xf numFmtId="0" fontId="33" fillId="16" borderId="21" xfId="0" applyFont="1" applyFill="1" applyBorder="1" applyAlignment="1" applyProtection="1">
      <alignment horizontal="center" vertical="center" wrapText="1"/>
    </xf>
    <xf numFmtId="0" fontId="33" fillId="16" borderId="22" xfId="0" applyFont="1" applyFill="1" applyBorder="1" applyAlignment="1" applyProtection="1">
      <alignment horizontal="center" vertical="center" wrapText="1"/>
    </xf>
    <xf numFmtId="164" fontId="33" fillId="15" borderId="8" xfId="0" applyNumberFormat="1" applyFont="1" applyFill="1" applyBorder="1" applyAlignment="1" applyProtection="1">
      <alignment horizontal="center" vertical="center" wrapText="1"/>
    </xf>
    <xf numFmtId="164" fontId="33" fillId="15" borderId="9" xfId="0" applyNumberFormat="1" applyFont="1" applyFill="1" applyBorder="1" applyAlignment="1" applyProtection="1">
      <alignment horizontal="center" vertical="center" wrapText="1"/>
    </xf>
    <xf numFmtId="164" fontId="33" fillId="15" borderId="52" xfId="0" applyNumberFormat="1" applyFont="1" applyFill="1" applyBorder="1" applyAlignment="1" applyProtection="1">
      <alignment horizontal="center" vertical="center" wrapText="1"/>
    </xf>
    <xf numFmtId="164" fontId="33" fillId="16" borderId="44" xfId="0" applyNumberFormat="1" applyFont="1" applyFill="1" applyBorder="1" applyAlignment="1" applyProtection="1">
      <alignment horizontal="center" vertical="center" wrapText="1"/>
    </xf>
    <xf numFmtId="164" fontId="33" fillId="16" borderId="45" xfId="0" applyNumberFormat="1" applyFont="1" applyFill="1" applyBorder="1" applyAlignment="1" applyProtection="1">
      <alignment horizontal="center" vertical="center" wrapText="1"/>
    </xf>
    <xf numFmtId="164" fontId="2" fillId="12" borderId="8" xfId="0" applyNumberFormat="1" applyFont="1" applyFill="1" applyBorder="1" applyAlignment="1" applyProtection="1">
      <alignment horizontal="center" vertical="center" wrapText="1"/>
    </xf>
    <xf numFmtId="164" fontId="0" fillId="12" borderId="0" xfId="0" applyNumberFormat="1" applyFill="1" applyProtection="1"/>
    <xf numFmtId="164" fontId="5" fillId="12" borderId="33" xfId="0" applyNumberFormat="1" applyFont="1" applyFill="1" applyBorder="1" applyAlignment="1" applyProtection="1">
      <alignment horizontal="center" vertical="center"/>
    </xf>
    <xf numFmtId="164" fontId="5" fillId="12" borderId="29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165" fontId="33" fillId="16" borderId="21" xfId="0" quotePrefix="1" applyNumberFormat="1" applyFont="1" applyFill="1" applyBorder="1" applyAlignment="1" applyProtection="1">
      <alignment horizontal="center" vertical="center" wrapText="1"/>
    </xf>
    <xf numFmtId="165" fontId="33" fillId="16" borderId="22" xfId="0" quotePrefix="1" applyNumberFormat="1" applyFont="1" applyFill="1" applyBorder="1" applyAlignment="1" applyProtection="1">
      <alignment horizontal="center" vertical="center" wrapText="1"/>
    </xf>
    <xf numFmtId="168" fontId="0" fillId="12" borderId="1" xfId="0" applyNumberFormat="1" applyFill="1" applyBorder="1" applyAlignment="1" applyProtection="1">
      <alignment horizontal="center" vertical="center"/>
    </xf>
    <xf numFmtId="0" fontId="2" fillId="12" borderId="0" xfId="0" applyFont="1" applyFill="1" applyAlignment="1" applyProtection="1">
      <alignment horizontal="center"/>
    </xf>
    <xf numFmtId="0" fontId="2" fillId="12" borderId="0" xfId="0" applyFont="1" applyFill="1" applyAlignment="1" applyProtection="1">
      <alignment horizontal="center" vertical="top"/>
    </xf>
    <xf numFmtId="0" fontId="6" fillId="0" borderId="21" xfId="0" applyFont="1" applyFill="1" applyBorder="1" applyAlignment="1" applyProtection="1">
      <alignment horizontal="left" vertical="center" indent="1"/>
    </xf>
    <xf numFmtId="0" fontId="2" fillId="0" borderId="10" xfId="4" applyFont="1" applyFill="1" applyBorder="1" applyAlignment="1">
      <alignment vertical="center"/>
    </xf>
    <xf numFmtId="0" fontId="2" fillId="0" borderId="10" xfId="4" applyFont="1" applyFill="1" applyBorder="1" applyAlignment="1"/>
    <xf numFmtId="0" fontId="2" fillId="0" borderId="5" xfId="4" applyFont="1" applyFill="1" applyBorder="1" applyAlignment="1"/>
    <xf numFmtId="0" fontId="2" fillId="16" borderId="12" xfId="4" applyFont="1" applyFill="1" applyBorder="1" applyAlignment="1">
      <alignment horizontal="center" vertical="center"/>
    </xf>
    <xf numFmtId="164" fontId="2" fillId="16" borderId="12" xfId="4" applyNumberFormat="1" applyFont="1" applyFill="1" applyBorder="1" applyAlignment="1">
      <alignment horizontal="center" vertical="center"/>
    </xf>
    <xf numFmtId="0" fontId="2" fillId="0" borderId="9" xfId="4" applyFill="1" applyBorder="1" applyAlignment="1">
      <alignment horizontal="center" vertical="center"/>
    </xf>
    <xf numFmtId="164" fontId="33" fillId="16" borderId="9" xfId="4" applyNumberFormat="1" applyFont="1" applyFill="1" applyBorder="1" applyAlignment="1">
      <alignment horizontal="center" vertical="center"/>
    </xf>
    <xf numFmtId="0" fontId="2" fillId="16" borderId="20" xfId="4" applyFill="1" applyBorder="1" applyAlignment="1">
      <alignment horizontal="center"/>
    </xf>
    <xf numFmtId="0" fontId="2" fillId="0" borderId="13" xfId="4" applyFont="1" applyFill="1" applyBorder="1" applyAlignment="1">
      <alignment horizontal="center" vertical="center"/>
    </xf>
    <xf numFmtId="0" fontId="2" fillId="16" borderId="12" xfId="4" applyFont="1" applyFill="1" applyBorder="1" applyAlignment="1">
      <alignment wrapText="1"/>
    </xf>
    <xf numFmtId="0" fontId="33" fillId="0" borderId="13" xfId="4" applyFont="1" applyFill="1" applyBorder="1" applyAlignment="1">
      <alignment vertical="center"/>
    </xf>
    <xf numFmtId="165" fontId="33" fillId="14" borderId="2" xfId="0" quotePrefix="1" applyNumberFormat="1" applyFont="1" applyFill="1" applyBorder="1" applyAlignment="1" applyProtection="1">
      <alignment horizontal="center" vertical="center" wrapText="1"/>
    </xf>
    <xf numFmtId="164" fontId="33" fillId="14" borderId="7" xfId="0" applyNumberFormat="1" applyFont="1" applyFill="1" applyBorder="1" applyAlignment="1" applyProtection="1">
      <alignment horizontal="center" vertical="center" wrapText="1"/>
    </xf>
    <xf numFmtId="0" fontId="33" fillId="14" borderId="24" xfId="0" applyFont="1" applyFill="1" applyBorder="1" applyAlignment="1" applyProtection="1">
      <alignment horizontal="center" vertical="center"/>
    </xf>
    <xf numFmtId="164" fontId="33" fillId="12" borderId="51" xfId="0" applyNumberFormat="1" applyFont="1" applyFill="1" applyBorder="1" applyAlignment="1" applyProtection="1">
      <alignment horizontal="center" vertical="center" wrapText="1"/>
    </xf>
    <xf numFmtId="164" fontId="33" fillId="12" borderId="9" xfId="0" applyNumberFormat="1" applyFont="1" applyFill="1" applyBorder="1" applyAlignment="1" applyProtection="1">
      <alignment horizontal="center" vertical="center" wrapText="1"/>
    </xf>
    <xf numFmtId="164" fontId="33" fillId="12" borderId="7" xfId="0" applyNumberFormat="1" applyFont="1" applyFill="1" applyBorder="1" applyAlignment="1" applyProtection="1">
      <alignment horizontal="center" vertical="center" wrapText="1"/>
    </xf>
    <xf numFmtId="164" fontId="33" fillId="12" borderId="24" xfId="0" applyNumberFormat="1" applyFont="1" applyFill="1" applyBorder="1" applyAlignment="1" applyProtection="1">
      <alignment horizontal="center" vertical="center" wrapText="1"/>
    </xf>
    <xf numFmtId="2" fontId="33" fillId="12" borderId="23" xfId="0" applyNumberFormat="1" applyFont="1" applyFill="1" applyBorder="1" applyAlignment="1" applyProtection="1">
      <alignment horizontal="center" vertical="center"/>
    </xf>
    <xf numFmtId="2" fontId="33" fillId="12" borderId="1" xfId="0" applyNumberFormat="1" applyFont="1" applyFill="1" applyBorder="1" applyAlignment="1" applyProtection="1">
      <alignment horizontal="center" vertical="center"/>
    </xf>
    <xf numFmtId="2" fontId="33" fillId="12" borderId="2" xfId="0" applyNumberFormat="1" applyFont="1" applyFill="1" applyBorder="1" applyAlignment="1" applyProtection="1">
      <alignment horizontal="center" vertical="center"/>
    </xf>
    <xf numFmtId="2" fontId="33" fillId="12" borderId="24" xfId="0" applyNumberFormat="1" applyFont="1" applyFill="1" applyBorder="1" applyAlignment="1" applyProtection="1">
      <alignment horizontal="center" vertical="center"/>
    </xf>
    <xf numFmtId="0" fontId="2" fillId="18" borderId="0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9" fillId="12" borderId="11" xfId="0" applyFont="1" applyFill="1" applyBorder="1" applyAlignment="1" applyProtection="1">
      <alignment horizontal="center" vertical="center"/>
    </xf>
    <xf numFmtId="0" fontId="0" fillId="12" borderId="0" xfId="0" applyFill="1" applyBorder="1" applyAlignment="1" applyProtection="1">
      <alignment horizontal="center" vertical="center" wrapText="1"/>
    </xf>
    <xf numFmtId="0" fontId="2" fillId="12" borderId="12" xfId="0" applyFont="1" applyFill="1" applyBorder="1" applyAlignment="1" applyProtection="1">
      <alignment horizontal="center" vertical="center"/>
    </xf>
    <xf numFmtId="0" fontId="2" fillId="12" borderId="9" xfId="0" applyFont="1" applyFill="1" applyBorder="1" applyAlignment="1" applyProtection="1">
      <alignment horizontal="center" vertical="center"/>
    </xf>
    <xf numFmtId="0" fontId="37" fillId="12" borderId="0" xfId="4" applyFont="1" applyFill="1" applyBorder="1" applyAlignment="1" applyProtection="1">
      <alignment vertical="center"/>
    </xf>
    <xf numFmtId="0" fontId="2" fillId="12" borderId="0" xfId="0" applyFont="1" applyFill="1" applyBorder="1" applyProtection="1"/>
    <xf numFmtId="0" fontId="0" fillId="12" borderId="0" xfId="0" applyFill="1" applyBorder="1" applyProtection="1"/>
    <xf numFmtId="0" fontId="37" fillId="12" borderId="0" xfId="4" applyFont="1" applyFill="1" applyBorder="1" applyAlignment="1" applyProtection="1">
      <alignment horizontal="center" vertical="center"/>
    </xf>
    <xf numFmtId="0" fontId="0" fillId="12" borderId="0" xfId="0" applyFill="1" applyBorder="1" applyAlignment="1" applyProtection="1">
      <alignment horizontal="right"/>
    </xf>
    <xf numFmtId="0" fontId="39" fillId="21" borderId="1" xfId="0" applyFont="1" applyFill="1" applyBorder="1" applyAlignment="1">
      <alignment horizontal="center" vertical="center"/>
    </xf>
    <xf numFmtId="1" fontId="4" fillId="21" borderId="1" xfId="1" applyNumberFormat="1" applyFont="1" applyFill="1" applyBorder="1" applyAlignment="1" applyProtection="1">
      <alignment horizontal="left" vertical="center"/>
    </xf>
    <xf numFmtId="164" fontId="2" fillId="21" borderId="12" xfId="1" applyNumberFormat="1" applyFont="1" applyFill="1" applyBorder="1" applyAlignment="1" applyProtection="1">
      <alignment horizontal="center" vertical="center"/>
    </xf>
    <xf numFmtId="164" fontId="2" fillId="21" borderId="13" xfId="1" applyNumberFormat="1" applyFont="1" applyFill="1" applyBorder="1" applyAlignment="1" applyProtection="1">
      <alignment horizontal="center" vertical="center"/>
    </xf>
    <xf numFmtId="164" fontId="2" fillId="21" borderId="9" xfId="1" applyNumberFormat="1" applyFont="1" applyFill="1" applyBorder="1" applyAlignment="1" applyProtection="1">
      <alignment horizontal="center" vertical="center"/>
    </xf>
    <xf numFmtId="164" fontId="2" fillId="20" borderId="8" xfId="1" applyNumberFormat="1" applyFont="1" applyFill="1" applyBorder="1" applyAlignment="1" applyProtection="1">
      <alignment horizontal="center" vertical="center"/>
    </xf>
    <xf numFmtId="0" fontId="0" fillId="10" borderId="0" xfId="0" applyFill="1"/>
    <xf numFmtId="0" fontId="0" fillId="10" borderId="0" xfId="0" applyFill="1" applyAlignment="1">
      <alignment wrapText="1"/>
    </xf>
    <xf numFmtId="0" fontId="6" fillId="13" borderId="14" xfId="0" quotePrefix="1" applyFont="1" applyFill="1" applyBorder="1" applyAlignment="1" applyProtection="1">
      <alignment horizontal="left" vertical="center"/>
    </xf>
    <xf numFmtId="0" fontId="6" fillId="13" borderId="14" xfId="0" applyFont="1" applyFill="1" applyBorder="1" applyAlignment="1" applyProtection="1">
      <alignment vertical="center"/>
    </xf>
    <xf numFmtId="0" fontId="6" fillId="13" borderId="14" xfId="0" applyFont="1" applyFill="1" applyBorder="1" applyAlignment="1" applyProtection="1">
      <alignment horizontal="left" vertical="center"/>
    </xf>
    <xf numFmtId="0" fontId="12" fillId="13" borderId="14" xfId="0" applyFont="1" applyFill="1" applyBorder="1" applyAlignment="1" applyProtection="1">
      <alignment horizontal="center" wrapText="1"/>
    </xf>
    <xf numFmtId="1" fontId="22" fillId="11" borderId="1" xfId="2" applyNumberFormat="1" applyFont="1" applyFill="1" applyBorder="1" applyAlignment="1" applyProtection="1">
      <alignment horizontal="center" vertical="center"/>
    </xf>
    <xf numFmtId="165" fontId="22" fillId="11" borderId="1" xfId="0" applyNumberFormat="1" applyFont="1" applyFill="1" applyBorder="1" applyAlignment="1" applyProtection="1">
      <alignment horizontal="center" vertical="center"/>
    </xf>
    <xf numFmtId="9" fontId="22" fillId="11" borderId="1" xfId="1" applyFont="1" applyFill="1" applyBorder="1" applyAlignment="1" applyProtection="1">
      <alignment horizontal="center" vertical="center"/>
    </xf>
    <xf numFmtId="1" fontId="4" fillId="11" borderId="1" xfId="0" applyNumberFormat="1" applyFont="1" applyFill="1" applyBorder="1" applyAlignment="1" applyProtection="1">
      <alignment horizontal="center" vertical="center"/>
    </xf>
    <xf numFmtId="0" fontId="22" fillId="11" borderId="1" xfId="0" applyFont="1" applyFill="1" applyBorder="1" applyAlignment="1" applyProtection="1">
      <alignment horizontal="center" vertical="center"/>
    </xf>
    <xf numFmtId="0" fontId="9" fillId="13" borderId="0" xfId="0" applyFont="1" applyFill="1" applyAlignment="1">
      <alignment horizontal="left" indent="1"/>
    </xf>
    <xf numFmtId="0" fontId="33" fillId="13" borderId="11" xfId="0" applyFont="1" applyFill="1" applyBorder="1" applyAlignment="1"/>
    <xf numFmtId="0" fontId="37" fillId="13" borderId="11" xfId="0" applyFont="1" applyFill="1" applyBorder="1" applyAlignment="1"/>
    <xf numFmtId="0" fontId="0" fillId="13" borderId="0" xfId="0" applyFill="1"/>
    <xf numFmtId="0" fontId="2" fillId="13" borderId="11" xfId="0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0" fontId="33" fillId="13" borderId="0" xfId="0" applyFont="1" applyFill="1"/>
    <xf numFmtId="0" fontId="2" fillId="13" borderId="0" xfId="0" applyFont="1" applyFill="1" applyAlignment="1">
      <alignment horizontal="left" indent="1"/>
    </xf>
    <xf numFmtId="165" fontId="6" fillId="13" borderId="2" xfId="0" applyNumberFormat="1" applyFont="1" applyFill="1" applyBorder="1" applyAlignment="1">
      <alignment horizontal="center"/>
    </xf>
    <xf numFmtId="165" fontId="6" fillId="13" borderId="14" xfId="0" applyNumberFormat="1" applyFont="1" applyFill="1" applyBorder="1" applyAlignment="1">
      <alignment horizontal="center"/>
    </xf>
    <xf numFmtId="165" fontId="6" fillId="13" borderId="15" xfId="0" applyNumberFormat="1" applyFont="1" applyFill="1" applyBorder="1" applyAlignment="1">
      <alignment horizontal="center"/>
    </xf>
    <xf numFmtId="1" fontId="6" fillId="13" borderId="15" xfId="0" applyNumberFormat="1" applyFont="1" applyFill="1" applyBorder="1" applyAlignment="1">
      <alignment horizontal="center"/>
    </xf>
    <xf numFmtId="1" fontId="6" fillId="13" borderId="14" xfId="0" applyNumberFormat="1" applyFont="1" applyFill="1" applyBorder="1" applyAlignment="1">
      <alignment horizontal="center"/>
    </xf>
    <xf numFmtId="0" fontId="55" fillId="16" borderId="12" xfId="4" applyFont="1" applyFill="1" applyBorder="1" applyAlignment="1">
      <alignment horizontal="center" vertical="center"/>
    </xf>
    <xf numFmtId="1" fontId="56" fillId="16" borderId="20" xfId="4" applyNumberFormat="1" applyFont="1" applyFill="1" applyBorder="1" applyAlignment="1">
      <alignment horizontal="center" vertical="center"/>
    </xf>
    <xf numFmtId="1" fontId="55" fillId="0" borderId="13" xfId="4" applyNumberFormat="1" applyFont="1" applyFill="1" applyBorder="1" applyAlignment="1">
      <alignment horizontal="center" vertical="center"/>
    </xf>
    <xf numFmtId="1" fontId="56" fillId="0" borderId="9" xfId="4" applyNumberFormat="1" applyFont="1" applyFill="1" applyBorder="1" applyAlignment="1">
      <alignment horizontal="center" vertical="center"/>
    </xf>
    <xf numFmtId="1" fontId="55" fillId="16" borderId="12" xfId="4" applyNumberFormat="1" applyFont="1" applyFill="1" applyBorder="1" applyAlignment="1">
      <alignment horizontal="center" vertical="center"/>
    </xf>
    <xf numFmtId="1" fontId="56" fillId="16" borderId="9" xfId="4" applyNumberFormat="1" applyFont="1" applyFill="1" applyBorder="1" applyAlignment="1">
      <alignment horizontal="center" vertical="center"/>
    </xf>
    <xf numFmtId="0" fontId="57" fillId="16" borderId="18" xfId="4" applyFont="1" applyFill="1" applyBorder="1" applyAlignment="1">
      <alignment horizontal="center" vertical="center"/>
    </xf>
    <xf numFmtId="0" fontId="57" fillId="0" borderId="9" xfId="4" applyFont="1" applyFill="1" applyBorder="1" applyAlignment="1">
      <alignment horizontal="center" vertical="center"/>
    </xf>
    <xf numFmtId="0" fontId="57" fillId="0" borderId="19" xfId="4" applyFont="1" applyFill="1" applyBorder="1" applyAlignment="1">
      <alignment horizontal="center" vertical="center"/>
    </xf>
    <xf numFmtId="0" fontId="57" fillId="16" borderId="1" xfId="4" applyFont="1" applyFill="1" applyBorder="1" applyAlignment="1">
      <alignment horizontal="center" vertical="center"/>
    </xf>
    <xf numFmtId="0" fontId="57" fillId="0" borderId="18" xfId="4" applyFont="1" applyFill="1" applyBorder="1" applyAlignment="1">
      <alignment horizontal="center" vertical="center"/>
    </xf>
    <xf numFmtId="0" fontId="57" fillId="16" borderId="19" xfId="4" applyFont="1" applyFill="1" applyBorder="1" applyAlignment="1">
      <alignment horizontal="center" vertical="center"/>
    </xf>
    <xf numFmtId="0" fontId="57" fillId="0" borderId="1" xfId="4" applyFont="1" applyFill="1" applyBorder="1" applyAlignment="1">
      <alignment horizontal="center" vertical="center"/>
    </xf>
    <xf numFmtId="0" fontId="2" fillId="18" borderId="3" xfId="0" applyFont="1" applyFill="1" applyBorder="1" applyAlignment="1" applyProtection="1">
      <alignment vertical="center"/>
    </xf>
    <xf numFmtId="0" fontId="4" fillId="7" borderId="1" xfId="0" applyFont="1" applyFill="1" applyBorder="1" applyAlignment="1" applyProtection="1">
      <alignment horizontal="center" vertical="center"/>
    </xf>
    <xf numFmtId="0" fontId="4" fillId="18" borderId="0" xfId="0" applyFont="1" applyFill="1" applyBorder="1" applyAlignment="1" applyProtection="1">
      <alignment vertical="center"/>
    </xf>
    <xf numFmtId="0" fontId="4" fillId="18" borderId="0" xfId="0" applyFont="1" applyFill="1" applyBorder="1" applyAlignment="1" applyProtection="1">
      <alignment horizontal="left" vertical="center"/>
    </xf>
    <xf numFmtId="0" fontId="2" fillId="12" borderId="0" xfId="0" applyFont="1" applyFill="1" applyProtection="1"/>
    <xf numFmtId="0" fontId="2" fillId="12" borderId="0" xfId="0" applyFont="1" applyFill="1" applyAlignment="1" applyProtection="1"/>
    <xf numFmtId="0" fontId="5" fillId="18" borderId="0" xfId="0" applyFont="1" applyFill="1" applyAlignment="1" applyProtection="1">
      <alignment vertical="center"/>
    </xf>
    <xf numFmtId="0" fontId="28" fillId="18" borderId="9" xfId="0" applyFont="1" applyFill="1" applyBorder="1" applyAlignment="1" applyProtection="1">
      <alignment horizontal="center" vertical="center"/>
    </xf>
    <xf numFmtId="0" fontId="5" fillId="12" borderId="0" xfId="0" applyFont="1" applyFill="1" applyBorder="1" applyAlignment="1" applyProtection="1">
      <alignment horizontal="center" vertical="center"/>
    </xf>
    <xf numFmtId="0" fontId="0" fillId="22" borderId="0" xfId="0" applyFill="1"/>
    <xf numFmtId="1" fontId="0" fillId="22" borderId="0" xfId="0" applyNumberFormat="1" applyFill="1"/>
    <xf numFmtId="0" fontId="0" fillId="22" borderId="0" xfId="0" applyFill="1" applyAlignment="1">
      <alignment horizontal="center"/>
    </xf>
    <xf numFmtId="11" fontId="0" fillId="22" borderId="0" xfId="0" applyNumberFormat="1" applyFill="1"/>
    <xf numFmtId="2" fontId="0" fillId="22" borderId="0" xfId="0" applyNumberFormat="1" applyFill="1"/>
    <xf numFmtId="171" fontId="16" fillId="22" borderId="0" xfId="1" applyNumberFormat="1" applyFont="1" applyFill="1"/>
    <xf numFmtId="2" fontId="2" fillId="22" borderId="0" xfId="1" applyNumberFormat="1" applyFill="1"/>
    <xf numFmtId="9" fontId="2" fillId="22" borderId="0" xfId="1" applyFill="1"/>
    <xf numFmtId="1" fontId="2" fillId="22" borderId="0" xfId="1" applyNumberFormat="1" applyFont="1" applyFill="1"/>
    <xf numFmtId="167" fontId="2" fillId="22" borderId="0" xfId="1" applyNumberFormat="1" applyFill="1"/>
    <xf numFmtId="168" fontId="3" fillId="22" borderId="0" xfId="1" applyNumberFormat="1" applyFont="1" applyFill="1"/>
    <xf numFmtId="164" fontId="3" fillId="22" borderId="0" xfId="1" applyNumberFormat="1" applyFont="1" applyFill="1"/>
    <xf numFmtId="165" fontId="2" fillId="22" borderId="0" xfId="1" applyNumberFormat="1" applyFill="1"/>
    <xf numFmtId="11" fontId="2" fillId="22" borderId="0" xfId="1" applyNumberFormat="1" applyFill="1"/>
    <xf numFmtId="164" fontId="0" fillId="22" borderId="0" xfId="0" applyNumberFormat="1" applyFill="1"/>
    <xf numFmtId="165" fontId="0" fillId="22" borderId="0" xfId="0" applyNumberFormat="1" applyFill="1"/>
    <xf numFmtId="1" fontId="2" fillId="22" borderId="0" xfId="1" applyNumberFormat="1" applyFill="1"/>
    <xf numFmtId="0" fontId="52" fillId="10" borderId="0" xfId="0" applyFont="1" applyFill="1" applyBorder="1" applyAlignment="1" applyProtection="1">
      <alignment horizontal="center" vertical="top" wrapText="1"/>
    </xf>
    <xf numFmtId="2" fontId="3" fillId="10" borderId="0" xfId="1" applyNumberFormat="1" applyFont="1" applyFill="1" applyBorder="1" applyAlignment="1" applyProtection="1">
      <alignment horizontal="left" vertical="center"/>
    </xf>
    <xf numFmtId="0" fontId="2" fillId="18" borderId="3" xfId="0" applyFont="1" applyFill="1" applyBorder="1" applyAlignment="1" applyProtection="1">
      <alignment horizontal="center" vertical="center"/>
    </xf>
    <xf numFmtId="0" fontId="2" fillId="18" borderId="0" xfId="0" applyFont="1" applyFill="1" applyBorder="1" applyAlignment="1" applyProtection="1">
      <alignment horizontal="center" vertical="center"/>
    </xf>
    <xf numFmtId="0" fontId="4" fillId="18" borderId="10" xfId="0" applyFont="1" applyFill="1" applyBorder="1" applyAlignment="1" applyProtection="1">
      <alignment horizontal="center" vertical="center" wrapText="1"/>
    </xf>
    <xf numFmtId="0" fontId="0" fillId="11" borderId="0" xfId="0" applyFill="1" applyBorder="1" applyAlignment="1" applyProtection="1">
      <alignment horizontal="center" vertical="center"/>
    </xf>
    <xf numFmtId="0" fontId="5" fillId="18" borderId="0" xfId="0" applyFont="1" applyFill="1" applyBorder="1" applyAlignment="1" applyProtection="1">
      <alignment horizontal="left" vertical="center"/>
    </xf>
    <xf numFmtId="0" fontId="4" fillId="19" borderId="10" xfId="0" applyFont="1" applyFill="1" applyBorder="1" applyAlignment="1" applyProtection="1">
      <alignment horizontal="center" vertical="center" wrapText="1"/>
    </xf>
    <xf numFmtId="0" fontId="4" fillId="19" borderId="0" xfId="0" applyFont="1" applyFill="1" applyBorder="1" applyAlignment="1" applyProtection="1">
      <alignment horizontal="center" vertical="center" wrapText="1"/>
    </xf>
    <xf numFmtId="0" fontId="4" fillId="19" borderId="11" xfId="0" applyFont="1" applyFill="1" applyBorder="1" applyAlignment="1" applyProtection="1">
      <alignment horizontal="center" vertical="center" wrapText="1"/>
    </xf>
    <xf numFmtId="0" fontId="4" fillId="19" borderId="0" xfId="0" applyFont="1" applyFill="1" applyAlignment="1" applyProtection="1">
      <alignment horizontal="center" vertical="center" wrapText="1"/>
    </xf>
    <xf numFmtId="165" fontId="5" fillId="18" borderId="0" xfId="0" applyNumberFormat="1" applyFont="1" applyFill="1" applyBorder="1" applyAlignment="1" applyProtection="1">
      <alignment vertical="center"/>
    </xf>
    <xf numFmtId="1" fontId="5" fillId="18" borderId="0" xfId="0" applyNumberFormat="1" applyFont="1" applyFill="1" applyBorder="1" applyAlignment="1" applyProtection="1">
      <alignment horizontal="center" vertical="center" wrapText="1"/>
    </xf>
    <xf numFmtId="0" fontId="29" fillId="13" borderId="14" xfId="0" applyFont="1" applyFill="1" applyBorder="1" applyAlignment="1" applyProtection="1">
      <alignment horizontal="center" vertical="center" wrapText="1"/>
    </xf>
    <xf numFmtId="0" fontId="54" fillId="13" borderId="14" xfId="0" applyFont="1" applyFill="1" applyBorder="1" applyAlignment="1" applyProtection="1">
      <alignment horizontal="center" vertical="center" wrapText="1"/>
    </xf>
    <xf numFmtId="0" fontId="12" fillId="0" borderId="9" xfId="0" applyFont="1" applyFill="1" applyBorder="1" applyAlignment="1" applyProtection="1">
      <alignment horizontal="center" vertical="center"/>
      <protection locked="0"/>
    </xf>
    <xf numFmtId="0" fontId="27" fillId="0" borderId="9" xfId="0" applyFont="1" applyFill="1" applyBorder="1" applyAlignment="1" applyProtection="1">
      <alignment horizontal="center" vertical="center"/>
      <protection locked="0"/>
    </xf>
    <xf numFmtId="0" fontId="5" fillId="18" borderId="4" xfId="0" applyFont="1" applyFill="1" applyBorder="1" applyAlignment="1" applyProtection="1">
      <alignment horizontal="left" vertical="center" wrapText="1" indent="3"/>
    </xf>
    <xf numFmtId="0" fontId="5" fillId="18" borderId="10" xfId="0" applyFont="1" applyFill="1" applyBorder="1" applyAlignment="1" applyProtection="1">
      <alignment horizontal="left" vertical="center" wrapText="1" indent="3"/>
    </xf>
    <xf numFmtId="0" fontId="2" fillId="11" borderId="0" xfId="0" applyFont="1" applyFill="1" applyBorder="1" applyAlignment="1" applyProtection="1">
      <alignment horizontal="center" vertical="center"/>
    </xf>
    <xf numFmtId="0" fontId="30" fillId="11" borderId="0" xfId="0" applyFont="1" applyFill="1" applyBorder="1" applyAlignment="1" applyProtection="1">
      <alignment horizontal="center" vertical="center" wrapText="1"/>
    </xf>
    <xf numFmtId="0" fontId="5" fillId="12" borderId="1" xfId="0" applyFont="1" applyFill="1" applyBorder="1" applyAlignment="1" applyProtection="1">
      <alignment horizontal="center" vertical="center"/>
    </xf>
    <xf numFmtId="0" fontId="44" fillId="12" borderId="0" xfId="0" applyFont="1" applyFill="1" applyAlignment="1" applyProtection="1">
      <alignment horizontal="center" vertical="center" wrapText="1"/>
    </xf>
    <xf numFmtId="0" fontId="19" fillId="12" borderId="0" xfId="0" applyFont="1" applyFill="1" applyAlignment="1" applyProtection="1">
      <alignment horizontal="center" vertical="center"/>
    </xf>
    <xf numFmtId="0" fontId="19" fillId="12" borderId="0" xfId="0" applyFont="1" applyFill="1" applyBorder="1" applyAlignment="1" applyProtection="1">
      <alignment horizontal="center" vertical="center"/>
    </xf>
    <xf numFmtId="165" fontId="33" fillId="14" borderId="42" xfId="0" quotePrefix="1" applyNumberFormat="1" applyFont="1" applyFill="1" applyBorder="1" applyAlignment="1" applyProtection="1">
      <alignment horizontal="center" vertical="center" wrapText="1"/>
    </xf>
    <xf numFmtId="165" fontId="33" fillId="14" borderId="51" xfId="0" quotePrefix="1" applyNumberFormat="1" applyFont="1" applyFill="1" applyBorder="1" applyAlignment="1" applyProtection="1">
      <alignment horizontal="center" vertical="center" wrapText="1"/>
    </xf>
    <xf numFmtId="165" fontId="33" fillId="14" borderId="12" xfId="0" quotePrefix="1" applyNumberFormat="1" applyFont="1" applyFill="1" applyBorder="1" applyAlignment="1" applyProtection="1">
      <alignment horizontal="center" vertical="center" wrapText="1"/>
    </xf>
    <xf numFmtId="165" fontId="33" fillId="14" borderId="9" xfId="0" quotePrefix="1" applyNumberFormat="1" applyFont="1" applyFill="1" applyBorder="1" applyAlignment="1" applyProtection="1">
      <alignment horizontal="center" vertical="center" wrapText="1"/>
    </xf>
    <xf numFmtId="165" fontId="33" fillId="14" borderId="43" xfId="0" quotePrefix="1" applyNumberFormat="1" applyFont="1" applyFill="1" applyBorder="1" applyAlignment="1" applyProtection="1">
      <alignment horizontal="center" vertical="center" wrapText="1"/>
    </xf>
    <xf numFmtId="165" fontId="33" fillId="14" borderId="52" xfId="0" quotePrefix="1" applyNumberFormat="1" applyFont="1" applyFill="1" applyBorder="1" applyAlignment="1" applyProtection="1">
      <alignment horizontal="center" vertical="center" wrapText="1"/>
    </xf>
    <xf numFmtId="0" fontId="37" fillId="16" borderId="21" xfId="0" applyFont="1" applyFill="1" applyBorder="1" applyAlignment="1" applyProtection="1">
      <alignment horizontal="center" vertical="center"/>
    </xf>
    <xf numFmtId="0" fontId="37" fillId="16" borderId="14" xfId="0" applyFont="1" applyFill="1" applyBorder="1" applyAlignment="1" applyProtection="1">
      <alignment horizontal="center" vertical="center"/>
    </xf>
    <xf numFmtId="0" fontId="37" fillId="16" borderId="22" xfId="0" applyFont="1" applyFill="1" applyBorder="1" applyAlignment="1" applyProtection="1">
      <alignment horizontal="center" vertical="center"/>
    </xf>
    <xf numFmtId="0" fontId="37" fillId="14" borderId="21" xfId="0" applyFont="1" applyFill="1" applyBorder="1" applyAlignment="1" applyProtection="1">
      <alignment horizontal="center" vertical="center"/>
    </xf>
    <xf numFmtId="0" fontId="37" fillId="14" borderId="14" xfId="0" applyFont="1" applyFill="1" applyBorder="1" applyAlignment="1" applyProtection="1">
      <alignment horizontal="center" vertical="center"/>
    </xf>
    <xf numFmtId="0" fontId="37" fillId="14" borderId="22" xfId="0" applyFont="1" applyFill="1" applyBorder="1" applyAlignment="1" applyProtection="1">
      <alignment horizontal="center" vertical="center"/>
    </xf>
    <xf numFmtId="0" fontId="2" fillId="12" borderId="21" xfId="0" applyFont="1" applyFill="1" applyBorder="1" applyAlignment="1" applyProtection="1">
      <alignment horizontal="center" vertical="center" wrapText="1"/>
    </xf>
    <xf numFmtId="0" fontId="2" fillId="12" borderId="14" xfId="0" applyFont="1" applyFill="1" applyBorder="1" applyAlignment="1" applyProtection="1">
      <alignment horizontal="center" vertical="center" wrapText="1"/>
    </xf>
    <xf numFmtId="0" fontId="0" fillId="12" borderId="14" xfId="0" applyFill="1" applyBorder="1" applyAlignment="1" applyProtection="1">
      <alignment horizontal="center" vertical="center" wrapText="1"/>
    </xf>
    <xf numFmtId="0" fontId="0" fillId="12" borderId="22" xfId="0" applyFill="1" applyBorder="1" applyAlignment="1" applyProtection="1">
      <alignment horizontal="center" vertical="center" wrapText="1"/>
    </xf>
    <xf numFmtId="0" fontId="2" fillId="12" borderId="22" xfId="0" applyFont="1" applyFill="1" applyBorder="1" applyAlignment="1" applyProtection="1">
      <alignment horizontal="center" vertical="center" wrapText="1"/>
    </xf>
    <xf numFmtId="0" fontId="37" fillId="16" borderId="21" xfId="0" applyFont="1" applyFill="1" applyBorder="1" applyAlignment="1" applyProtection="1">
      <alignment horizontal="center" vertical="center" wrapText="1"/>
    </xf>
    <xf numFmtId="0" fontId="37" fillId="16" borderId="14" xfId="0" applyFont="1" applyFill="1" applyBorder="1" applyAlignment="1" applyProtection="1">
      <alignment horizontal="center" vertical="center" wrapText="1"/>
    </xf>
    <xf numFmtId="0" fontId="37" fillId="16" borderId="22" xfId="0" applyFont="1" applyFill="1" applyBorder="1" applyAlignment="1" applyProtection="1">
      <alignment horizontal="center" vertical="center" wrapText="1"/>
    </xf>
    <xf numFmtId="0" fontId="9" fillId="12" borderId="30" xfId="0" applyFont="1" applyFill="1" applyBorder="1" applyAlignment="1" applyProtection="1">
      <alignment horizontal="center" vertical="center" wrapText="1"/>
    </xf>
    <xf numFmtId="0" fontId="9" fillId="12" borderId="31" xfId="0" applyFont="1" applyFill="1" applyBorder="1" applyAlignment="1" applyProtection="1">
      <alignment horizontal="center" vertical="center" wrapText="1"/>
    </xf>
    <xf numFmtId="0" fontId="9" fillId="12" borderId="32" xfId="0" applyFont="1" applyFill="1" applyBorder="1" applyAlignment="1" applyProtection="1">
      <alignment horizontal="center" vertical="center" wrapText="1"/>
    </xf>
    <xf numFmtId="0" fontId="37" fillId="15" borderId="21" xfId="0" applyFont="1" applyFill="1" applyBorder="1" applyAlignment="1" applyProtection="1">
      <alignment horizontal="center" vertical="center" wrapText="1"/>
    </xf>
    <xf numFmtId="0" fontId="37" fillId="15" borderId="14" xfId="0" applyFont="1" applyFill="1" applyBorder="1" applyAlignment="1" applyProtection="1">
      <alignment horizontal="center" vertical="center" wrapText="1"/>
    </xf>
    <xf numFmtId="0" fontId="37" fillId="15" borderId="22" xfId="0" applyFont="1" applyFill="1" applyBorder="1" applyAlignment="1" applyProtection="1">
      <alignment horizontal="center" vertical="center" wrapText="1"/>
    </xf>
    <xf numFmtId="0" fontId="37" fillId="14" borderId="21" xfId="0" applyFont="1" applyFill="1" applyBorder="1" applyAlignment="1" applyProtection="1">
      <alignment horizontal="center" vertical="center" wrapText="1"/>
    </xf>
    <xf numFmtId="0" fontId="37" fillId="14" borderId="14" xfId="0" applyFont="1" applyFill="1" applyBorder="1" applyAlignment="1" applyProtection="1">
      <alignment horizontal="center" vertical="center" wrapText="1"/>
    </xf>
    <xf numFmtId="0" fontId="37" fillId="14" borderId="22" xfId="0" applyFont="1" applyFill="1" applyBorder="1" applyAlignment="1" applyProtection="1">
      <alignment horizontal="center" vertical="center" wrapText="1"/>
    </xf>
    <xf numFmtId="0" fontId="2" fillId="0" borderId="55" xfId="0" applyFont="1" applyFill="1" applyBorder="1" applyAlignment="1" applyProtection="1">
      <alignment horizontal="center" vertical="center"/>
    </xf>
    <xf numFmtId="0" fontId="2" fillId="0" borderId="54" xfId="0" applyFont="1" applyFill="1" applyBorder="1" applyAlignment="1" applyProtection="1">
      <alignment horizontal="center" vertical="center"/>
    </xf>
    <xf numFmtId="0" fontId="2" fillId="12" borderId="21" xfId="0" applyFont="1" applyFill="1" applyBorder="1" applyAlignment="1" applyProtection="1">
      <alignment horizontal="center" vertical="center"/>
    </xf>
    <xf numFmtId="0" fontId="2" fillId="12" borderId="14" xfId="0" applyFont="1" applyFill="1" applyBorder="1" applyAlignment="1" applyProtection="1">
      <alignment horizontal="center" vertical="center"/>
    </xf>
    <xf numFmtId="0" fontId="2" fillId="12" borderId="22" xfId="0" applyFont="1" applyFill="1" applyBorder="1" applyAlignment="1" applyProtection="1">
      <alignment horizontal="center" vertical="center"/>
    </xf>
    <xf numFmtId="0" fontId="40" fillId="0" borderId="0" xfId="4" applyFont="1" applyAlignment="1">
      <alignment horizontal="center" vertical="center"/>
    </xf>
    <xf numFmtId="0" fontId="33" fillId="0" borderId="13" xfId="4" applyFont="1" applyFill="1" applyBorder="1" applyAlignment="1">
      <alignment horizontal="center" vertical="center"/>
    </xf>
    <xf numFmtId="0" fontId="33" fillId="0" borderId="9" xfId="4" applyFont="1" applyFill="1" applyBorder="1" applyAlignment="1">
      <alignment horizontal="center" vertical="center"/>
    </xf>
    <xf numFmtId="0" fontId="2" fillId="0" borderId="13" xfId="4" applyFont="1" applyFill="1" applyBorder="1" applyAlignment="1">
      <alignment horizontal="center" wrapText="1"/>
    </xf>
    <xf numFmtId="0" fontId="2" fillId="0" borderId="9" xfId="4" applyFont="1" applyFill="1" applyBorder="1" applyAlignment="1">
      <alignment horizontal="center" wrapText="1"/>
    </xf>
    <xf numFmtId="0" fontId="2" fillId="0" borderId="7" xfId="4" applyFont="1" applyFill="1" applyBorder="1" applyAlignment="1">
      <alignment horizontal="center" vertical="center"/>
    </xf>
    <xf numFmtId="0" fontId="2" fillId="0" borderId="11" xfId="4" applyFont="1" applyFill="1" applyBorder="1" applyAlignment="1">
      <alignment horizontal="center" vertical="center"/>
    </xf>
    <xf numFmtId="0" fontId="2" fillId="0" borderId="8" xfId="4" applyFont="1" applyFill="1" applyBorder="1" applyAlignment="1">
      <alignment horizontal="center" vertical="center"/>
    </xf>
    <xf numFmtId="0" fontId="5" fillId="0" borderId="12" xfId="4" applyFont="1" applyFill="1" applyBorder="1" applyAlignment="1">
      <alignment horizontal="center" vertical="center" wrapText="1"/>
    </xf>
    <xf numFmtId="0" fontId="5" fillId="0" borderId="13" xfId="4" applyFont="1" applyFill="1" applyBorder="1" applyAlignment="1">
      <alignment horizontal="center" vertical="center" wrapText="1"/>
    </xf>
    <xf numFmtId="0" fontId="5" fillId="0" borderId="9" xfId="4" applyFont="1" applyFill="1" applyBorder="1" applyAlignment="1">
      <alignment horizontal="center" vertical="center" wrapText="1"/>
    </xf>
    <xf numFmtId="0" fontId="33" fillId="16" borderId="12" xfId="4" applyFont="1" applyFill="1" applyBorder="1" applyAlignment="1">
      <alignment horizontal="center" vertical="center"/>
    </xf>
    <xf numFmtId="0" fontId="33" fillId="16" borderId="9" xfId="4" applyFont="1" applyFill="1" applyBorder="1" applyAlignment="1">
      <alignment horizontal="center" vertical="center"/>
    </xf>
    <xf numFmtId="0" fontId="33" fillId="16" borderId="20" xfId="4" applyFont="1" applyFill="1" applyBorder="1" applyAlignment="1">
      <alignment horizontal="center" vertical="center"/>
    </xf>
    <xf numFmtId="0" fontId="6" fillId="0" borderId="12" xfId="4" applyFont="1" applyFill="1" applyBorder="1" applyAlignment="1">
      <alignment horizontal="center" vertical="center"/>
    </xf>
    <xf numFmtId="0" fontId="6" fillId="0" borderId="13" xfId="4" applyFont="1" applyFill="1" applyBorder="1" applyAlignment="1">
      <alignment horizontal="center" vertical="center"/>
    </xf>
    <xf numFmtId="0" fontId="6" fillId="0" borderId="9" xfId="4" applyFont="1" applyFill="1" applyBorder="1" applyAlignment="1">
      <alignment horizontal="center" vertical="center"/>
    </xf>
    <xf numFmtId="0" fontId="6" fillId="0" borderId="12" xfId="4" applyFont="1" applyFill="1" applyBorder="1" applyAlignment="1">
      <alignment horizontal="center" vertical="center" wrapText="1"/>
    </xf>
    <xf numFmtId="0" fontId="6" fillId="0" borderId="13" xfId="4" applyFont="1" applyFill="1" applyBorder="1" applyAlignment="1">
      <alignment horizontal="center" vertical="center" wrapText="1"/>
    </xf>
    <xf numFmtId="0" fontId="6" fillId="0" borderId="9" xfId="4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/>
    </xf>
    <xf numFmtId="0" fontId="6" fillId="0" borderId="7" xfId="4" applyFont="1" applyFill="1" applyBorder="1" applyAlignment="1">
      <alignment horizontal="center" vertical="center"/>
    </xf>
    <xf numFmtId="0" fontId="15" fillId="0" borderId="0" xfId="0" applyFont="1" applyFill="1" applyBorder="1" applyAlignment="1" applyProtection="1">
      <alignment horizontal="center"/>
    </xf>
    <xf numFmtId="0" fontId="0" fillId="0" borderId="0" xfId="0" applyAlignment="1">
      <alignment horizontal="center" wrapText="1"/>
    </xf>
  </cellXfs>
  <cellStyles count="5">
    <cellStyle name="Comma" xfId="2" builtinId="3"/>
    <cellStyle name="Normal" xfId="0" builtinId="0"/>
    <cellStyle name="Normal 2" xfId="3"/>
    <cellStyle name="Normal 3" xfId="4"/>
    <cellStyle name="Percent" xfId="1" builtinId="5"/>
  </cellStyles>
  <dxfs count="33">
    <dxf>
      <fill>
        <patternFill>
          <bgColor indexed="4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0000FF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  <border>
        <left/>
        <right/>
        <top/>
        <bottom style="thin">
          <color auto="1"/>
        </bottom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 patternType="solid">
          <fgColor auto="1"/>
          <bgColor theme="0" tint="-0.149723807489242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/>
        <color theme="0" tint="-4.9989318521683403E-2"/>
      </font>
      <fill>
        <patternFill patternType="gray0625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 patternType="darkGrid">
          <fgColor theme="1"/>
          <bgColor rgb="FFFF000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color auto="1"/>
      </font>
      <fill>
        <patternFill>
          <bgColor theme="9" tint="0.59996337778862885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indexed="55"/>
      </font>
      <fill>
        <patternFill>
          <bgColor indexed="55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</dxfs>
  <tableStyles count="0" defaultTableStyle="TableStyleMedium9" defaultPivotStyle="PivotStyleLight16"/>
  <colors>
    <mruColors>
      <color rgb="FF0000FF"/>
      <color rgb="FF006440"/>
      <color rgb="FFFFFFCC"/>
      <color rgb="FFFFFF99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/>
              <a:t>Bypass</a:t>
            </a:r>
          </a:p>
        </c:rich>
      </c:tx>
      <c:layout>
        <c:manualLayout>
          <c:xMode val="edge"/>
          <c:yMode val="edge"/>
          <c:x val="0.0860916238741069"/>
          <c:y val="0.062458481527778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521322344417698"/>
          <c:y val="0.032186713350073"/>
          <c:w val="0.911284564193573"/>
          <c:h val="0.5897744739712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'Circ Model'!$B$40</c:f>
              <c:strCache>
                <c:ptCount val="1"/>
                <c:pt idx="0">
                  <c:v>Bypass nitrogen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0.0245901692246825"/>
                  <c:y val="0.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'Circ Model'!$H$40</c:f>
              <c:numCache>
                <c:formatCode>0.0</c:formatCode>
                <c:ptCount val="1"/>
                <c:pt idx="0">
                  <c:v>1.143893845477629</c:v>
                </c:pt>
              </c:numCache>
            </c:numRef>
          </c:val>
        </c:ser>
        <c:ser>
          <c:idx val="1"/>
          <c:order val="1"/>
          <c:tx>
            <c:strRef>
              <c:f>'Circ Model'!$B$39</c:f>
              <c:strCache>
                <c:ptCount val="1"/>
                <c:pt idx="0">
                  <c:v>Bypass water </c:v>
                </c:pt>
              </c:strCache>
            </c:strRef>
          </c:tx>
          <c:spPr>
            <a:solidFill>
              <a:srgbClr val="0000FF"/>
            </a:solidFill>
            <a:ln w="3175">
              <a:solidFill>
                <a:srgbClr val="00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C0C0C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'Circ Model'!$H$39</c:f>
              <c:numCache>
                <c:formatCode>0.0</c:formatCode>
                <c:ptCount val="1"/>
                <c:pt idx="0">
                  <c:v>0.00418159558206303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overlap val="100"/>
        <c:axId val="-2062006632"/>
        <c:axId val="-2062003384"/>
      </c:barChart>
      <c:catAx>
        <c:axId val="-2062006632"/>
        <c:scaling>
          <c:orientation val="minMax"/>
        </c:scaling>
        <c:delete val="0"/>
        <c:axPos val="l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2062003384"/>
        <c:crosses val="autoZero"/>
        <c:auto val="1"/>
        <c:lblAlgn val="ctr"/>
        <c:lblOffset val="100"/>
        <c:tickMarkSkip val="1"/>
        <c:noMultiLvlLbl val="0"/>
      </c:catAx>
      <c:valAx>
        <c:axId val="-2062003384"/>
        <c:scaling>
          <c:orientation val="minMax"/>
          <c:max val="3.0"/>
          <c:min val="0.0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Equivalent Flow (bpm)</a:t>
                </a:r>
              </a:p>
            </c:rich>
          </c:tx>
          <c:layout>
            <c:manualLayout>
              <c:xMode val="edge"/>
              <c:yMode val="edge"/>
              <c:x val="0.368402901855106"/>
              <c:y val="0.8364750226669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62006632"/>
        <c:crosses val="autoZero"/>
        <c:crossBetween val="between"/>
        <c:maj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5115181170169"/>
          <c:y val="0.0460529775561034"/>
          <c:w val="0.569455825794033"/>
          <c:h val="0.125708757130339"/>
        </c:manualLayout>
      </c:layout>
      <c:overlay val="0"/>
      <c:spPr>
        <a:solidFill>
          <a:schemeClr val="bg1">
            <a:lumMod val="75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/>
              <a:t>Motor </a:t>
            </a:r>
          </a:p>
        </c:rich>
      </c:tx>
      <c:layout>
        <c:manualLayout>
          <c:xMode val="edge"/>
          <c:yMode val="edge"/>
          <c:x val="0.0532744223383184"/>
          <c:y val="0.0879107098800176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1447920439701"/>
          <c:y val="0.0723120021510632"/>
          <c:w val="0.919076873865144"/>
          <c:h val="0.627110745342231"/>
        </c:manualLayout>
      </c:layout>
      <c:barChart>
        <c:barDir val="bar"/>
        <c:grouping val="stacked"/>
        <c:varyColors val="0"/>
        <c:ser>
          <c:idx val="0"/>
          <c:order val="0"/>
          <c:tx>
            <c:v>Nitrogen Cut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'Circ Model'!$H$42</c:f>
              <c:numCache>
                <c:formatCode>0.0</c:formatCode>
                <c:ptCount val="1"/>
                <c:pt idx="0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'Circ Model'!$B$41</c:f>
              <c:strCache>
                <c:ptCount val="1"/>
                <c:pt idx="0">
                  <c:v>Water flow to motor 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C0C0C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'Circ Model'!$H$41</c:f>
              <c:numCache>
                <c:formatCode>0.0</c:formatCode>
                <c:ptCount val="1"/>
                <c:pt idx="0">
                  <c:v>3.990541359563056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overlap val="100"/>
        <c:axId val="-2061951864"/>
        <c:axId val="-2061948616"/>
      </c:barChart>
      <c:catAx>
        <c:axId val="-2061951864"/>
        <c:scaling>
          <c:orientation val="minMax"/>
        </c:scaling>
        <c:delete val="0"/>
        <c:axPos val="l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2061948616"/>
        <c:crosses val="autoZero"/>
        <c:auto val="1"/>
        <c:lblAlgn val="ctr"/>
        <c:lblOffset val="100"/>
        <c:tickMarkSkip val="1"/>
        <c:noMultiLvlLbl val="0"/>
      </c:catAx>
      <c:valAx>
        <c:axId val="-2061948616"/>
        <c:scaling>
          <c:orientation val="minMax"/>
          <c:max val="5.0"/>
          <c:min val="0.0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Equivalent Flow (bpm)</a:t>
                </a:r>
              </a:p>
            </c:rich>
          </c:tx>
          <c:layout>
            <c:manualLayout>
              <c:xMode val="edge"/>
              <c:yMode val="edge"/>
              <c:x val="0.363843920670297"/>
              <c:y val="0.838548358968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619518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4219989492611"/>
          <c:y val="0.0782536726429439"/>
          <c:w val="0.575982892316662"/>
          <c:h val="0.108199995217267"/>
        </c:manualLayout>
      </c:layout>
      <c:overlay val="0"/>
      <c:spPr>
        <a:solidFill>
          <a:schemeClr val="bg1">
            <a:lumMod val="75000"/>
          </a:schemeClr>
        </a:solidFill>
        <a:ln w="12700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9743677524349"/>
          <c:y val="0.102891517981949"/>
          <c:w val="0.855548448196553"/>
          <c:h val="0.775851463396783"/>
        </c:manualLayout>
      </c:layout>
      <c:scatterChart>
        <c:scatterStyle val="lineMarker"/>
        <c:varyColors val="0"/>
        <c:ser>
          <c:idx val="4"/>
          <c:order val="0"/>
          <c:tx>
            <c:v>Coil</c:v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dPt>
            <c:idx val="100"/>
            <c:marker>
              <c:symbol val="square"/>
              <c:size val="6"/>
              <c:spPr>
                <a:solidFill>
                  <a:srgbClr val="FFFFFF"/>
                </a:solidFill>
                <a:ln>
                  <a:solidFill>
                    <a:srgbClr val="FF0000"/>
                  </a:solidFill>
                  <a:prstDash val="solid"/>
                </a:ln>
              </c:spPr>
            </c:marker>
            <c:bubble3D val="0"/>
          </c:dPt>
          <c:xVal>
            <c:numRef>
              <c:f>Circulation!$A$121:$A$222</c:f>
              <c:numCache>
                <c:formatCode>General</c:formatCode>
                <c:ptCount val="102"/>
                <c:pt idx="0">
                  <c:v>15</c:v>
                </c:pt>
                <c:pt idx="1">
                  <c:v>15</c:v>
                </c:pt>
                <c:pt idx="2">
                  <c:v>1483</c:v>
                </c:pt>
                <c:pt idx="3">
                  <c:v>1466</c:v>
                </c:pt>
                <c:pt idx="4">
                  <c:v>14490.0</c:v>
                </c:pt>
                <c:pt idx="5">
                  <c:v>1432</c:v>
                </c:pt>
                <c:pt idx="6">
                  <c:v>1415</c:v>
                </c:pt>
                <c:pt idx="7">
                  <c:v>1398</c:v>
                </c:pt>
                <c:pt idx="8">
                  <c:v>1381</c:v>
                </c:pt>
                <c:pt idx="9">
                  <c:v>1364</c:v>
                </c:pt>
                <c:pt idx="10">
                  <c:v>13470.0</c:v>
                </c:pt>
                <c:pt idx="11">
                  <c:v>133</c:v>
                </c:pt>
                <c:pt idx="12">
                  <c:v>1313</c:v>
                </c:pt>
                <c:pt idx="13">
                  <c:v>1296</c:v>
                </c:pt>
                <c:pt idx="14">
                  <c:v>1279</c:v>
                </c:pt>
                <c:pt idx="15">
                  <c:v>12620.0</c:v>
                </c:pt>
                <c:pt idx="16">
                  <c:v>12450.0</c:v>
                </c:pt>
                <c:pt idx="17">
                  <c:v>1228</c:v>
                </c:pt>
                <c:pt idx="18">
                  <c:v>1211</c:v>
                </c:pt>
                <c:pt idx="19">
                  <c:v>1194</c:v>
                </c:pt>
                <c:pt idx="20">
                  <c:v>1177</c:v>
                </c:pt>
                <c:pt idx="21">
                  <c:v>11600.0</c:v>
                </c:pt>
                <c:pt idx="22">
                  <c:v>11430.0</c:v>
                </c:pt>
                <c:pt idx="23">
                  <c:v>1126</c:v>
                </c:pt>
                <c:pt idx="24">
                  <c:v>1109</c:v>
                </c:pt>
                <c:pt idx="25">
                  <c:v>1092</c:v>
                </c:pt>
                <c:pt idx="26">
                  <c:v>10750.0</c:v>
                </c:pt>
                <c:pt idx="27">
                  <c:v>1058</c:v>
                </c:pt>
                <c:pt idx="28">
                  <c:v>10410.0</c:v>
                </c:pt>
                <c:pt idx="29">
                  <c:v>1024</c:v>
                </c:pt>
                <c:pt idx="30">
                  <c:v>1007</c:v>
                </c:pt>
                <c:pt idx="31">
                  <c:v>9899.999999999998</c:v>
                </c:pt>
                <c:pt idx="32">
                  <c:v>9730.0</c:v>
                </c:pt>
                <c:pt idx="33">
                  <c:v>9559.999999999998</c:v>
                </c:pt>
                <c:pt idx="34">
                  <c:v>9390.0</c:v>
                </c:pt>
                <c:pt idx="35">
                  <c:v>9219.999999999998</c:v>
                </c:pt>
                <c:pt idx="36">
                  <c:v>9049.999999999998</c:v>
                </c:pt>
                <c:pt idx="37">
                  <c:v>8879.999999999998</c:v>
                </c:pt>
                <c:pt idx="38">
                  <c:v>8710.0</c:v>
                </c:pt>
                <c:pt idx="39">
                  <c:v>8539.999999999998</c:v>
                </c:pt>
                <c:pt idx="40">
                  <c:v>8369.999999999998</c:v>
                </c:pt>
                <c:pt idx="41">
                  <c:v>8199.999999999998</c:v>
                </c:pt>
                <c:pt idx="42">
                  <c:v>803</c:v>
                </c:pt>
                <c:pt idx="43">
                  <c:v>7859.999999999998</c:v>
                </c:pt>
                <c:pt idx="44">
                  <c:v>769</c:v>
                </c:pt>
                <c:pt idx="45">
                  <c:v>752</c:v>
                </c:pt>
                <c:pt idx="46">
                  <c:v>7349.999999999998</c:v>
                </c:pt>
                <c:pt idx="47">
                  <c:v>7179.999999999998</c:v>
                </c:pt>
                <c:pt idx="48">
                  <c:v>701</c:v>
                </c:pt>
                <c:pt idx="49">
                  <c:v>6839.999999999998</c:v>
                </c:pt>
                <c:pt idx="50">
                  <c:v>667</c:v>
                </c:pt>
                <c:pt idx="51">
                  <c:v>65</c:v>
                </c:pt>
                <c:pt idx="52">
                  <c:v>6329.999999999998</c:v>
                </c:pt>
                <c:pt idx="53">
                  <c:v>6159.999999999998</c:v>
                </c:pt>
                <c:pt idx="54">
                  <c:v>599</c:v>
                </c:pt>
                <c:pt idx="55">
                  <c:v>5819.999999999998</c:v>
                </c:pt>
                <c:pt idx="56">
                  <c:v>5649.999999999998</c:v>
                </c:pt>
                <c:pt idx="57">
                  <c:v>548</c:v>
                </c:pt>
                <c:pt idx="58">
                  <c:v>5310.0</c:v>
                </c:pt>
                <c:pt idx="59">
                  <c:v>5139.999999999998</c:v>
                </c:pt>
                <c:pt idx="60">
                  <c:v>497</c:v>
                </c:pt>
                <c:pt idx="61">
                  <c:v>4800.0</c:v>
                </c:pt>
                <c:pt idx="62">
                  <c:v>4629.999999999998</c:v>
                </c:pt>
                <c:pt idx="63">
                  <c:v>446</c:v>
                </c:pt>
                <c:pt idx="64">
                  <c:v>4290.0</c:v>
                </c:pt>
                <c:pt idx="65">
                  <c:v>412</c:v>
                </c:pt>
                <c:pt idx="66">
                  <c:v>395</c:v>
                </c:pt>
                <c:pt idx="67">
                  <c:v>3779.999999999999</c:v>
                </c:pt>
                <c:pt idx="68">
                  <c:v>3609.999999999998</c:v>
                </c:pt>
                <c:pt idx="69">
                  <c:v>344</c:v>
                </c:pt>
                <c:pt idx="70">
                  <c:v>3270.0</c:v>
                </c:pt>
                <c:pt idx="71">
                  <c:v>31</c:v>
                </c:pt>
                <c:pt idx="72">
                  <c:v>293</c:v>
                </c:pt>
                <c:pt idx="73">
                  <c:v>2759.999999999999</c:v>
                </c:pt>
                <c:pt idx="74">
                  <c:v>2589.999999999998</c:v>
                </c:pt>
                <c:pt idx="75">
                  <c:v>242</c:v>
                </c:pt>
                <c:pt idx="76">
                  <c:v>2250.0</c:v>
                </c:pt>
                <c:pt idx="77">
                  <c:v>208</c:v>
                </c:pt>
                <c:pt idx="78">
                  <c:v>1909.999999999999</c:v>
                </c:pt>
                <c:pt idx="79">
                  <c:v>1739.999999999998</c:v>
                </c:pt>
                <c:pt idx="80">
                  <c:v>1569.999999999998</c:v>
                </c:pt>
                <c:pt idx="81">
                  <c:v>1400.0</c:v>
                </c:pt>
                <c:pt idx="82">
                  <c:v>1230.0</c:v>
                </c:pt>
                <c:pt idx="83">
                  <c:v>1059.999999999999</c:v>
                </c:pt>
                <c:pt idx="84">
                  <c:v>889.999999999999</c:v>
                </c:pt>
                <c:pt idx="85">
                  <c:v>719.9999999999984</c:v>
                </c:pt>
                <c:pt idx="86">
                  <c:v>549.999999999998</c:v>
                </c:pt>
                <c:pt idx="87">
                  <c:v>380.0000000000004</c:v>
                </c:pt>
                <c:pt idx="88">
                  <c:v>21</c:v>
                </c:pt>
                <c:pt idx="89">
                  <c:v>39.99999999999942</c:v>
                </c:pt>
                <c:pt idx="90">
                  <c:v>-130.0000000000011</c:v>
                </c:pt>
                <c:pt idx="91">
                  <c:v>-300.0000000000016</c:v>
                </c:pt>
                <c:pt idx="92">
                  <c:v>-470.0000000000021</c:v>
                </c:pt>
                <c:pt idx="93">
                  <c:v>-639.9999999999995</c:v>
                </c:pt>
                <c:pt idx="94">
                  <c:v>-810.0000000000001</c:v>
                </c:pt>
                <c:pt idx="95">
                  <c:v>-980.0000000000006</c:v>
                </c:pt>
                <c:pt idx="96">
                  <c:v>-1150.000000000001</c:v>
                </c:pt>
                <c:pt idx="97">
                  <c:v>-1320.000000000002</c:v>
                </c:pt>
                <c:pt idx="98">
                  <c:v>-1490.000000000002</c:v>
                </c:pt>
                <c:pt idx="99">
                  <c:v>-166</c:v>
                </c:pt>
                <c:pt idx="100">
                  <c:v>-1830.0</c:v>
                </c:pt>
                <c:pt idx="101">
                  <c:v>-2000.000000000001</c:v>
                </c:pt>
              </c:numCache>
            </c:numRef>
          </c:xVal>
          <c:yVal>
            <c:numRef>
              <c:f>Circulation!$B$121:$B$222</c:f>
              <c:numCache>
                <c:formatCode>0</c:formatCode>
                <c:ptCount val="102"/>
                <c:pt idx="0">
                  <c:v>4322.249526490918</c:v>
                </c:pt>
                <c:pt idx="1">
                  <c:v>4322.249526490918</c:v>
                </c:pt>
                <c:pt idx="2">
                  <c:v>4385.166194073735</c:v>
                </c:pt>
                <c:pt idx="3">
                  <c:v>4433.85297785103</c:v>
                </c:pt>
                <c:pt idx="4">
                  <c:v>4482.490629472348</c:v>
                </c:pt>
                <c:pt idx="5">
                  <c:v>4531.080248648125</c:v>
                </c:pt>
                <c:pt idx="6">
                  <c:v>4579.62289637257</c:v>
                </c:pt>
                <c:pt idx="7">
                  <c:v>4628.119596719275</c:v>
                </c:pt>
                <c:pt idx="8">
                  <c:v>4676.571338532729</c:v>
                </c:pt>
                <c:pt idx="9">
                  <c:v>4724.979077022952</c:v>
                </c:pt>
                <c:pt idx="10">
                  <c:v>4773.343735269912</c:v>
                </c:pt>
                <c:pt idx="11">
                  <c:v>4821.666205643807</c:v>
                </c:pt>
                <c:pt idx="12">
                  <c:v>4869.947351146854</c:v>
                </c:pt>
                <c:pt idx="13">
                  <c:v>4918.188006681774</c:v>
                </c:pt>
                <c:pt idx="14">
                  <c:v>4966.388980251767</c:v>
                </c:pt>
                <c:pt idx="15">
                  <c:v>5014.551054096402</c:v>
                </c:pt>
                <c:pt idx="16">
                  <c:v>5062.67498576752</c:v>
                </c:pt>
                <c:pt idx="17">
                  <c:v>5110.76150914894</c:v>
                </c:pt>
                <c:pt idx="18">
                  <c:v>5158.811335423494</c:v>
                </c:pt>
                <c:pt idx="19">
                  <c:v>5206.82515399062</c:v>
                </c:pt>
                <c:pt idx="20">
                  <c:v>5254.803633337562</c:v>
                </c:pt>
                <c:pt idx="21">
                  <c:v>5302.747421866993</c:v>
                </c:pt>
                <c:pt idx="22">
                  <c:v>5350.657148683633</c:v>
                </c:pt>
                <c:pt idx="23">
                  <c:v>5398.533424342336</c:v>
                </c:pt>
                <c:pt idx="24">
                  <c:v>5446.376841559874</c:v>
                </c:pt>
                <c:pt idx="25">
                  <c:v>5494.187975892555</c:v>
                </c:pt>
                <c:pt idx="26">
                  <c:v>5541.96738638161</c:v>
                </c:pt>
                <c:pt idx="27">
                  <c:v>5589.715616168207</c:v>
                </c:pt>
                <c:pt idx="28">
                  <c:v>5637.433193079798</c:v>
                </c:pt>
                <c:pt idx="29">
                  <c:v>5685.12063018938</c:v>
                </c:pt>
                <c:pt idx="30">
                  <c:v>5732.778426349213</c:v>
                </c:pt>
                <c:pt idx="31">
                  <c:v>5780.407066700331</c:v>
                </c:pt>
                <c:pt idx="32">
                  <c:v>5828.00702315922</c:v>
                </c:pt>
                <c:pt idx="33">
                  <c:v>5875.578754882854</c:v>
                </c:pt>
                <c:pt idx="34">
                  <c:v>5923.122708713233</c:v>
                </c:pt>
                <c:pt idx="35">
                  <c:v>5970.639319602551</c:v>
                </c:pt>
                <c:pt idx="36">
                  <c:v>6018.129011019945</c:v>
                </c:pt>
                <c:pt idx="37">
                  <c:v>6065.592195340837</c:v>
                </c:pt>
                <c:pt idx="38">
                  <c:v>6113.02927421971</c:v>
                </c:pt>
                <c:pt idx="39">
                  <c:v>6160.440638947209</c:v>
                </c:pt>
                <c:pt idx="40">
                  <c:v>6207.826670792317</c:v>
                </c:pt>
                <c:pt idx="41">
                  <c:v>6255.187741330381</c:v>
                </c:pt>
                <c:pt idx="42">
                  <c:v>6302.52421275767</c:v>
                </c:pt>
                <c:pt idx="43">
                  <c:v>6349.83643819314</c:v>
                </c:pt>
                <c:pt idx="44">
                  <c:v>6332.990777038432</c:v>
                </c:pt>
                <c:pt idx="45">
                  <c:v>6316.198582328989</c:v>
                </c:pt>
                <c:pt idx="46">
                  <c:v>6299.46250805248</c:v>
                </c:pt>
                <c:pt idx="47">
                  <c:v>6282.785230069675</c:v>
                </c:pt>
                <c:pt idx="48">
                  <c:v>6266.169446778121</c:v>
                </c:pt>
                <c:pt idx="49">
                  <c:v>6249.617879788466</c:v>
                </c:pt>
                <c:pt idx="50">
                  <c:v>6233.133274614012</c:v>
                </c:pt>
                <c:pt idx="51">
                  <c:v>6216.718401374004</c:v>
                </c:pt>
                <c:pt idx="52">
                  <c:v>6200.376055511228</c:v>
                </c:pt>
                <c:pt idx="53">
                  <c:v>6184.109058524526</c:v>
                </c:pt>
                <c:pt idx="54">
                  <c:v>6167.920258716813</c:v>
                </c:pt>
                <c:pt idx="55">
                  <c:v>6151.81253195925</c:v>
                </c:pt>
                <c:pt idx="56">
                  <c:v>6135.78878247222</c:v>
                </c:pt>
                <c:pt idx="57">
                  <c:v>6119.851943623804</c:v>
                </c:pt>
                <c:pt idx="58">
                  <c:v>6104.004978746464</c:v>
                </c:pt>
                <c:pt idx="59">
                  <c:v>6088.250881972665</c:v>
                </c:pt>
                <c:pt idx="60">
                  <c:v>6072.59267909023</c:v>
                </c:pt>
                <c:pt idx="61">
                  <c:v>6057.033428418192</c:v>
                </c:pt>
                <c:pt idx="62">
                  <c:v>6041.576221704017</c:v>
                </c:pt>
                <c:pt idx="63">
                  <c:v>6026.224185043026</c:v>
                </c:pt>
                <c:pt idx="64">
                  <c:v>6010.980479820938</c:v>
                </c:pt>
                <c:pt idx="65">
                  <c:v>5995.84830368046</c:v>
                </c:pt>
                <c:pt idx="66">
                  <c:v>5980.830891512898</c:v>
                </c:pt>
                <c:pt idx="67">
                  <c:v>5965.931516475807</c:v>
                </c:pt>
                <c:pt idx="68">
                  <c:v>5951.153491037714</c:v>
                </c:pt>
                <c:pt idx="69">
                  <c:v>5936.50016805104</c:v>
                </c:pt>
                <c:pt idx="70">
                  <c:v>5921.974941854318</c:v>
                </c:pt>
                <c:pt idx="71">
                  <c:v>5907.581249404943</c:v>
                </c:pt>
                <c:pt idx="72">
                  <c:v>5893.322571443633</c:v>
                </c:pt>
                <c:pt idx="73">
                  <c:v>5879.20243369193</c:v>
                </c:pt>
                <c:pt idx="74">
                  <c:v>5865.224408084043</c:v>
                </c:pt>
                <c:pt idx="75">
                  <c:v>5851.392114034445</c:v>
                </c:pt>
                <c:pt idx="76">
                  <c:v>5837.709219742673</c:v>
                </c:pt>
                <c:pt idx="77">
                  <c:v>5824.179443536806</c:v>
                </c:pt>
                <c:pt idx="78">
                  <c:v>5810.806555257235</c:v>
                </c:pt>
                <c:pt idx="79">
                  <c:v>5797.594377682331</c:v>
                </c:pt>
                <c:pt idx="80">
                  <c:v>5784.546787997715</c:v>
                </c:pt>
                <c:pt idx="81">
                  <c:v>5771.667719310911</c:v>
                </c:pt>
                <c:pt idx="82">
                  <c:v>5758.961162213235</c:v>
                </c:pt>
                <c:pt idx="83">
                  <c:v>5746.431166390827</c:v>
                </c:pt>
                <c:pt idx="84">
                  <c:v>5734.081842286848</c:v>
                </c:pt>
                <c:pt idx="85">
                  <c:v>5721.91736281693</c:v>
                </c:pt>
                <c:pt idx="86">
                  <c:v>5709.941965140058</c:v>
                </c:pt>
                <c:pt idx="87">
                  <c:v>5698.15995248716</c:v>
                </c:pt>
                <c:pt idx="88">
                  <c:v>5686.575696049772</c:v>
                </c:pt>
                <c:pt idx="89">
                  <c:v>5675.193636931266</c:v>
                </c:pt>
                <c:pt idx="90">
                  <c:v>5664.018288163198</c:v>
                </c:pt>
                <c:pt idx="91">
                  <c:v>5732.746386359092</c:v>
                </c:pt>
                <c:pt idx="92">
                  <c:v>5801.421543950126</c:v>
                </c:pt>
                <c:pt idx="93">
                  <c:v>5870.044866070266</c:v>
                </c:pt>
                <c:pt idx="94">
                  <c:v>5938.617415273353</c:v>
                </c:pt>
                <c:pt idx="95">
                  <c:v>6007.140213623768</c:v>
                </c:pt>
                <c:pt idx="96">
                  <c:v>6075.61424465935</c:v>
                </c:pt>
                <c:pt idx="97">
                  <c:v>6144.040455235853</c:v>
                </c:pt>
                <c:pt idx="98">
                  <c:v>6212.419757261493</c:v>
                </c:pt>
                <c:pt idx="99">
                  <c:v>6280.753029329376</c:v>
                </c:pt>
                <c:pt idx="100">
                  <c:v>6349.041118254997</c:v>
                </c:pt>
                <c:pt idx="101">
                  <c:v>6417.284840525384</c:v>
                </c:pt>
              </c:numCache>
            </c:numRef>
          </c:yVal>
          <c:smooth val="0"/>
        </c:ser>
        <c:ser>
          <c:idx val="3"/>
          <c:order val="1"/>
          <c:tx>
            <c:v>BHA</c:v>
          </c:tx>
          <c:spPr>
            <a:ln w="31750" cmpd="sng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Circulation!$A$119:$A$121</c:f>
              <c:numCache>
                <c:formatCode>General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</c:numCache>
            </c:numRef>
          </c:xVal>
          <c:yVal>
            <c:numRef>
              <c:f>Circulation!$B$119:$B$121</c:f>
              <c:numCache>
                <c:formatCode>0</c:formatCode>
                <c:ptCount val="3"/>
                <c:pt idx="0">
                  <c:v>3021.956960663608</c:v>
                </c:pt>
                <c:pt idx="1">
                  <c:v>3021.956960663608</c:v>
                </c:pt>
                <c:pt idx="2">
                  <c:v>4322.249526490918</c:v>
                </c:pt>
              </c:numCache>
            </c:numRef>
          </c:yVal>
          <c:smooth val="0"/>
        </c:ser>
        <c:ser>
          <c:idx val="0"/>
          <c:order val="2"/>
          <c:tx>
            <c:v>Annulus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dPt>
            <c:idx val="98"/>
            <c:bubble3D val="0"/>
            <c:spPr>
              <a:ln w="38100" cmpd="sng">
                <a:solidFill>
                  <a:srgbClr val="969696"/>
                </a:solidFill>
                <a:prstDash val="solid"/>
              </a:ln>
            </c:spPr>
          </c:dPt>
          <c:xVal>
            <c:numRef>
              <c:f>Circulation!$A$9:$A$119</c:f>
              <c:numCache>
                <c:formatCode>General</c:formatCode>
                <c:ptCount val="111"/>
                <c:pt idx="0">
                  <c:v>0.0</c:v>
                </c:pt>
                <c:pt idx="11">
                  <c:v>15</c:v>
                </c:pt>
                <c:pt idx="12">
                  <c:v>299.9999999999999</c:v>
                </c:pt>
                <c:pt idx="13">
                  <c:v>449.9999999999999</c:v>
                </c:pt>
                <c:pt idx="14">
                  <c:v>599.9999999999999</c:v>
                </c:pt>
                <c:pt idx="15">
                  <c:v>749.9999999999999</c:v>
                </c:pt>
                <c:pt idx="16">
                  <c:v>899.9999999999999</c:v>
                </c:pt>
                <c:pt idx="17">
                  <c:v>1050.0</c:v>
                </c:pt>
                <c:pt idx="18">
                  <c:v>12</c:v>
                </c:pt>
                <c:pt idx="19">
                  <c:v>135</c:v>
                </c:pt>
                <c:pt idx="20">
                  <c:v>15</c:v>
                </c:pt>
                <c:pt idx="21">
                  <c:v>165</c:v>
                </c:pt>
                <c:pt idx="22">
                  <c:v>18</c:v>
                </c:pt>
                <c:pt idx="23">
                  <c:v>195</c:v>
                </c:pt>
                <c:pt idx="24">
                  <c:v>2100.0</c:v>
                </c:pt>
                <c:pt idx="25">
                  <c:v>2250.0</c:v>
                </c:pt>
                <c:pt idx="26">
                  <c:v>24</c:v>
                </c:pt>
                <c:pt idx="27">
                  <c:v>255</c:v>
                </c:pt>
                <c:pt idx="28">
                  <c:v>27</c:v>
                </c:pt>
                <c:pt idx="29">
                  <c:v>285</c:v>
                </c:pt>
                <c:pt idx="30">
                  <c:v>3</c:v>
                </c:pt>
                <c:pt idx="31">
                  <c:v>315</c:v>
                </c:pt>
                <c:pt idx="32">
                  <c:v>33</c:v>
                </c:pt>
                <c:pt idx="33">
                  <c:v>345</c:v>
                </c:pt>
                <c:pt idx="34">
                  <c:v>36</c:v>
                </c:pt>
                <c:pt idx="35">
                  <c:v>375</c:v>
                </c:pt>
                <c:pt idx="36">
                  <c:v>39</c:v>
                </c:pt>
                <c:pt idx="37">
                  <c:v>405</c:v>
                </c:pt>
                <c:pt idx="38">
                  <c:v>4200.0</c:v>
                </c:pt>
                <c:pt idx="39">
                  <c:v>435</c:v>
                </c:pt>
                <c:pt idx="40">
                  <c:v>4500.0</c:v>
                </c:pt>
                <c:pt idx="41">
                  <c:v>465</c:v>
                </c:pt>
                <c:pt idx="42">
                  <c:v>48</c:v>
                </c:pt>
                <c:pt idx="43">
                  <c:v>4950.0</c:v>
                </c:pt>
                <c:pt idx="44">
                  <c:v>51</c:v>
                </c:pt>
                <c:pt idx="45">
                  <c:v>5250.0</c:v>
                </c:pt>
                <c:pt idx="46">
                  <c:v>54</c:v>
                </c:pt>
                <c:pt idx="47">
                  <c:v>555</c:v>
                </c:pt>
                <c:pt idx="48">
                  <c:v>57</c:v>
                </c:pt>
                <c:pt idx="49">
                  <c:v>585</c:v>
                </c:pt>
                <c:pt idx="50">
                  <c:v>6</c:v>
                </c:pt>
                <c:pt idx="51">
                  <c:v>6150.0</c:v>
                </c:pt>
                <c:pt idx="52">
                  <c:v>63</c:v>
                </c:pt>
                <c:pt idx="53">
                  <c:v>6450.0</c:v>
                </c:pt>
                <c:pt idx="54">
                  <c:v>66</c:v>
                </c:pt>
                <c:pt idx="55">
                  <c:v>6750.0</c:v>
                </c:pt>
                <c:pt idx="56">
                  <c:v>69</c:v>
                </c:pt>
                <c:pt idx="57">
                  <c:v>7050.0</c:v>
                </c:pt>
                <c:pt idx="58">
                  <c:v>72</c:v>
                </c:pt>
                <c:pt idx="59">
                  <c:v>7350.0</c:v>
                </c:pt>
                <c:pt idx="60">
                  <c:v>75</c:v>
                </c:pt>
                <c:pt idx="61">
                  <c:v>7649.999999999998</c:v>
                </c:pt>
                <c:pt idx="62">
                  <c:v>78</c:v>
                </c:pt>
                <c:pt idx="63">
                  <c:v>795</c:v>
                </c:pt>
                <c:pt idx="64">
                  <c:v>81</c:v>
                </c:pt>
                <c:pt idx="65">
                  <c:v>8249.999999999998</c:v>
                </c:pt>
                <c:pt idx="66">
                  <c:v>8400.0</c:v>
                </c:pt>
                <c:pt idx="67">
                  <c:v>8549.999999999998</c:v>
                </c:pt>
                <c:pt idx="68">
                  <c:v>8699.999999999998</c:v>
                </c:pt>
                <c:pt idx="69">
                  <c:v>8850.0</c:v>
                </c:pt>
                <c:pt idx="70">
                  <c:v>9000.0</c:v>
                </c:pt>
                <c:pt idx="71">
                  <c:v>9149.999999999998</c:v>
                </c:pt>
                <c:pt idx="72">
                  <c:v>9299.999999999998</c:v>
                </c:pt>
                <c:pt idx="73">
                  <c:v>9450.0</c:v>
                </c:pt>
                <c:pt idx="74">
                  <c:v>9599.999999999998</c:v>
                </c:pt>
                <c:pt idx="75">
                  <c:v>9750.0</c:v>
                </c:pt>
                <c:pt idx="76">
                  <c:v>9900.0</c:v>
                </c:pt>
                <c:pt idx="77">
                  <c:v>10050.0</c:v>
                </c:pt>
                <c:pt idx="78">
                  <c:v>102</c:v>
                </c:pt>
                <c:pt idx="79">
                  <c:v>1035</c:v>
                </c:pt>
                <c:pt idx="80">
                  <c:v>10500.0</c:v>
                </c:pt>
                <c:pt idx="81">
                  <c:v>10650.0</c:v>
                </c:pt>
                <c:pt idx="82">
                  <c:v>108</c:v>
                </c:pt>
                <c:pt idx="83">
                  <c:v>1095</c:v>
                </c:pt>
                <c:pt idx="84">
                  <c:v>111</c:v>
                </c:pt>
                <c:pt idx="85">
                  <c:v>11250.0</c:v>
                </c:pt>
                <c:pt idx="86">
                  <c:v>114</c:v>
                </c:pt>
                <c:pt idx="87">
                  <c:v>1155</c:v>
                </c:pt>
                <c:pt idx="88">
                  <c:v>117</c:v>
                </c:pt>
                <c:pt idx="89">
                  <c:v>1185</c:v>
                </c:pt>
                <c:pt idx="90">
                  <c:v>12</c:v>
                </c:pt>
                <c:pt idx="91">
                  <c:v>12150.0</c:v>
                </c:pt>
                <c:pt idx="92">
                  <c:v>12300.0</c:v>
                </c:pt>
                <c:pt idx="93">
                  <c:v>1245</c:v>
                </c:pt>
                <c:pt idx="94">
                  <c:v>126</c:v>
                </c:pt>
                <c:pt idx="95">
                  <c:v>12750.0</c:v>
                </c:pt>
                <c:pt idx="96">
                  <c:v>12900.0</c:v>
                </c:pt>
                <c:pt idx="97">
                  <c:v>1305</c:v>
                </c:pt>
                <c:pt idx="98">
                  <c:v>132</c:v>
                </c:pt>
                <c:pt idx="99">
                  <c:v>1335</c:v>
                </c:pt>
                <c:pt idx="100">
                  <c:v>13500.0</c:v>
                </c:pt>
                <c:pt idx="101">
                  <c:v>1365</c:v>
                </c:pt>
                <c:pt idx="102">
                  <c:v>138</c:v>
                </c:pt>
                <c:pt idx="103">
                  <c:v>1395</c:v>
                </c:pt>
                <c:pt idx="104">
                  <c:v>14100.0</c:v>
                </c:pt>
                <c:pt idx="105">
                  <c:v>1425</c:v>
                </c:pt>
                <c:pt idx="106">
                  <c:v>144</c:v>
                </c:pt>
                <c:pt idx="107">
                  <c:v>14550.0</c:v>
                </c:pt>
                <c:pt idx="108">
                  <c:v>14700.0</c:v>
                </c:pt>
                <c:pt idx="109">
                  <c:v>1485</c:v>
                </c:pt>
                <c:pt idx="110">
                  <c:v>15</c:v>
                </c:pt>
              </c:numCache>
            </c:numRef>
          </c:xVal>
          <c:yVal>
            <c:numRef>
              <c:f>Circulation!$B$9:$B$119</c:f>
              <c:numCache>
                <c:formatCode>0</c:formatCode>
                <c:ptCount val="111"/>
                <c:pt idx="0">
                  <c:v>414.593283488785</c:v>
                </c:pt>
                <c:pt idx="11">
                  <c:v>454.0443315985761</c:v>
                </c:pt>
                <c:pt idx="12">
                  <c:v>490.3258142562591</c:v>
                </c:pt>
                <c:pt idx="13">
                  <c:v>527.3793747775077</c:v>
                </c:pt>
                <c:pt idx="14">
                  <c:v>565.1792298352841</c:v>
                </c:pt>
                <c:pt idx="15">
                  <c:v>603.6980768844858</c:v>
                </c:pt>
                <c:pt idx="16">
                  <c:v>642.9078547812892</c:v>
                </c:pt>
                <c:pt idx="17">
                  <c:v>682.7802911663336</c:v>
                </c:pt>
                <c:pt idx="18">
                  <c:v>723.2872965559527</c:v>
                </c:pt>
                <c:pt idx="19">
                  <c:v>764.4012462943294</c:v>
                </c:pt>
                <c:pt idx="20">
                  <c:v>806.0951794180941</c:v>
                </c:pt>
                <c:pt idx="21">
                  <c:v>848.3429354198886</c:v>
                </c:pt>
                <c:pt idx="22">
                  <c:v>891.1192443563168</c:v>
                </c:pt>
                <c:pt idx="23">
                  <c:v>934.3997818362325</c:v>
                </c:pt>
                <c:pt idx="24">
                  <c:v>978.1611976036768</c:v>
                </c:pt>
                <c:pt idx="25">
                  <c:v>1022.381124354183</c:v>
                </c:pt>
                <c:pt idx="26">
                  <c:v>1067.038171872292</c:v>
                </c:pt>
                <c:pt idx="27">
                  <c:v>1112.111910404568</c:v>
                </c:pt>
                <c:pt idx="28">
                  <c:v>1157.582846285517</c:v>
                </c:pt>
                <c:pt idx="29">
                  <c:v>1203.432392142899</c:v>
                </c:pt>
                <c:pt idx="30">
                  <c:v>1249.642833473697</c:v>
                </c:pt>
                <c:pt idx="31">
                  <c:v>1296.197292965473</c:v>
                </c:pt>
                <c:pt idx="32">
                  <c:v>1343.079693612804</c:v>
                </c:pt>
                <c:pt idx="33">
                  <c:v>1390.27472142438</c:v>
                </c:pt>
                <c:pt idx="34">
                  <c:v>1437.767788317598</c:v>
                </c:pt>
                <c:pt idx="35">
                  <c:v>1485.544995641984</c:v>
                </c:pt>
                <c:pt idx="36">
                  <c:v>1533.593098651415</c:v>
                </c:pt>
                <c:pt idx="37">
                  <c:v>1581.899472150478</c:v>
                </c:pt>
                <c:pt idx="38">
                  <c:v>1630.452077466866</c:v>
                </c:pt>
                <c:pt idx="39">
                  <c:v>1679.239430844925</c:v>
                </c:pt>
                <c:pt idx="40">
                  <c:v>1728.250573311891</c:v>
                </c:pt>
                <c:pt idx="41">
                  <c:v>1777.475042035141</c:v>
                </c:pt>
                <c:pt idx="42">
                  <c:v>1826.902843163794</c:v>
                </c:pt>
                <c:pt idx="43">
                  <c:v>1876.524426129444</c:v>
                </c:pt>
                <c:pt idx="44">
                  <c:v>1926.33065936732</c:v>
                </c:pt>
                <c:pt idx="45">
                  <c:v>1976.312807409649</c:v>
                </c:pt>
                <c:pt idx="46">
                  <c:v>2026.462509296575</c:v>
                </c:pt>
                <c:pt idx="47">
                  <c:v>2076.77175824591</c:v>
                </c:pt>
                <c:pt idx="48">
                  <c:v>2127.232882520863</c:v>
                </c:pt>
                <c:pt idx="49">
                  <c:v>2177.838527434028</c:v>
                </c:pt>
                <c:pt idx="50">
                  <c:v>2228.581638426263</c:v>
                </c:pt>
                <c:pt idx="51">
                  <c:v>2279.455445160075</c:v>
                </c:pt>
                <c:pt idx="52">
                  <c:v>2330.453446568827</c:v>
                </c:pt>
                <c:pt idx="53">
                  <c:v>2381.569396805086</c:v>
                </c:pt>
                <c:pt idx="54">
                  <c:v>2432.797292033747</c:v>
                </c:pt>
                <c:pt idx="55">
                  <c:v>2484.131358018061</c:v>
                </c:pt>
                <c:pt idx="56">
                  <c:v>2535.566038449283</c:v>
                </c:pt>
                <c:pt idx="57">
                  <c:v>2587.095983973236</c:v>
                </c:pt>
                <c:pt idx="58">
                  <c:v>2638.716041869702</c:v>
                </c:pt>
                <c:pt idx="59">
                  <c:v>2690.421246343123</c:v>
                </c:pt>
                <c:pt idx="60">
                  <c:v>2743.711388529742</c:v>
                </c:pt>
                <c:pt idx="61">
                  <c:v>2797.080786999476</c:v>
                </c:pt>
                <c:pt idx="62">
                  <c:v>2850.524596744916</c:v>
                </c:pt>
                <c:pt idx="63">
                  <c:v>2904.038144848457</c:v>
                </c:pt>
                <c:pt idx="64">
                  <c:v>2957.616922315851</c:v>
                </c:pt>
                <c:pt idx="65">
                  <c:v>2959.01910065248</c:v>
                </c:pt>
                <c:pt idx="66">
                  <c:v>2960.421121710501</c:v>
                </c:pt>
                <c:pt idx="67">
                  <c:v>2961.822985665598</c:v>
                </c:pt>
                <c:pt idx="68">
                  <c:v>2963.22469269315</c:v>
                </c:pt>
                <c:pt idx="69">
                  <c:v>2964.626242968237</c:v>
                </c:pt>
                <c:pt idx="70">
                  <c:v>2966.027636665633</c:v>
                </c:pt>
                <c:pt idx="71">
                  <c:v>2967.428873959809</c:v>
                </c:pt>
                <c:pt idx="72">
                  <c:v>2968.829955024938</c:v>
                </c:pt>
                <c:pt idx="73">
                  <c:v>2970.230880034889</c:v>
                </c:pt>
                <c:pt idx="74">
                  <c:v>2971.631649163234</c:v>
                </c:pt>
                <c:pt idx="75">
                  <c:v>2973.032262583242</c:v>
                </c:pt>
                <c:pt idx="76">
                  <c:v>2974.432720467888</c:v>
                </c:pt>
                <c:pt idx="77">
                  <c:v>2975.833022989847</c:v>
                </c:pt>
                <c:pt idx="78">
                  <c:v>2977.233170321496</c:v>
                </c:pt>
                <c:pt idx="79">
                  <c:v>2978.633162634916</c:v>
                </c:pt>
                <c:pt idx="80">
                  <c:v>2980.033000101894</c:v>
                </c:pt>
                <c:pt idx="81">
                  <c:v>2981.43268289392</c:v>
                </c:pt>
                <c:pt idx="82">
                  <c:v>2982.83221118219</c:v>
                </c:pt>
                <c:pt idx="83">
                  <c:v>2984.231585137608</c:v>
                </c:pt>
                <c:pt idx="84">
                  <c:v>2985.630804930784</c:v>
                </c:pt>
                <c:pt idx="85">
                  <c:v>2987.029870732034</c:v>
                </c:pt>
                <c:pt idx="86">
                  <c:v>2988.428782711385</c:v>
                </c:pt>
                <c:pt idx="87">
                  <c:v>2989.827541038573</c:v>
                </c:pt>
                <c:pt idx="88">
                  <c:v>2991.226145883042</c:v>
                </c:pt>
                <c:pt idx="89">
                  <c:v>2992.624597413948</c:v>
                </c:pt>
                <c:pt idx="90">
                  <c:v>2994.022895800158</c:v>
                </c:pt>
                <c:pt idx="91">
                  <c:v>2995.42104121025</c:v>
                </c:pt>
                <c:pt idx="92">
                  <c:v>2996.819033812513</c:v>
                </c:pt>
                <c:pt idx="93">
                  <c:v>2998.216873774956</c:v>
                </c:pt>
                <c:pt idx="94">
                  <c:v>2999.614561265293</c:v>
                </c:pt>
                <c:pt idx="95">
                  <c:v>3001.012096450959</c:v>
                </c:pt>
                <c:pt idx="96">
                  <c:v>3002.4094794991</c:v>
                </c:pt>
                <c:pt idx="97">
                  <c:v>3003.80671057658</c:v>
                </c:pt>
                <c:pt idx="98">
                  <c:v>3005.203789849981</c:v>
                </c:pt>
                <c:pt idx="99">
                  <c:v>3006.600717485598</c:v>
                </c:pt>
                <c:pt idx="100">
                  <c:v>3007.997493649447</c:v>
                </c:pt>
                <c:pt idx="101">
                  <c:v>3009.394118507262</c:v>
                </c:pt>
                <c:pt idx="102">
                  <c:v>3010.790592224496</c:v>
                </c:pt>
                <c:pt idx="103">
                  <c:v>3012.186914966321</c:v>
                </c:pt>
                <c:pt idx="104">
                  <c:v>3013.58308689763</c:v>
                </c:pt>
                <c:pt idx="105">
                  <c:v>3014.979108183038</c:v>
                </c:pt>
                <c:pt idx="106">
                  <c:v>3016.374978986881</c:v>
                </c:pt>
                <c:pt idx="107">
                  <c:v>3017.770699473215</c:v>
                </c:pt>
                <c:pt idx="108">
                  <c:v>3019.166269805824</c:v>
                </c:pt>
                <c:pt idx="109">
                  <c:v>3020.561690148212</c:v>
                </c:pt>
                <c:pt idx="110">
                  <c:v>3021.956960663608</c:v>
                </c:pt>
              </c:numCache>
            </c:numRef>
          </c:yVal>
          <c:smooth val="0"/>
        </c:ser>
        <c:ser>
          <c:idx val="1"/>
          <c:order val="3"/>
          <c:tx>
            <c:v>Hydrostatic Head</c:v>
          </c:tx>
          <c:spPr>
            <a:ln w="25400">
              <a:solidFill>
                <a:srgbClr val="0000FF"/>
              </a:solidFill>
              <a:prstDash val="dash"/>
            </a:ln>
          </c:spPr>
          <c:marker>
            <c:symbol val="none"/>
          </c:marker>
          <c:xVal>
            <c:numRef>
              <c:f>Circulation!$A$9:$A$222</c:f>
              <c:numCache>
                <c:formatCode>General</c:formatCode>
                <c:ptCount val="214"/>
                <c:pt idx="0">
                  <c:v>0.0</c:v>
                </c:pt>
                <c:pt idx="11">
                  <c:v>15</c:v>
                </c:pt>
                <c:pt idx="12">
                  <c:v>299.9999999999999</c:v>
                </c:pt>
                <c:pt idx="13">
                  <c:v>449.9999999999999</c:v>
                </c:pt>
                <c:pt idx="14">
                  <c:v>599.9999999999999</c:v>
                </c:pt>
                <c:pt idx="15">
                  <c:v>749.9999999999999</c:v>
                </c:pt>
                <c:pt idx="16">
                  <c:v>899.9999999999999</c:v>
                </c:pt>
                <c:pt idx="17">
                  <c:v>1050.0</c:v>
                </c:pt>
                <c:pt idx="18">
                  <c:v>12</c:v>
                </c:pt>
                <c:pt idx="19">
                  <c:v>135</c:v>
                </c:pt>
                <c:pt idx="20">
                  <c:v>15</c:v>
                </c:pt>
                <c:pt idx="21">
                  <c:v>165</c:v>
                </c:pt>
                <c:pt idx="22">
                  <c:v>18</c:v>
                </c:pt>
                <c:pt idx="23">
                  <c:v>195</c:v>
                </c:pt>
                <c:pt idx="24">
                  <c:v>2100.0</c:v>
                </c:pt>
                <c:pt idx="25">
                  <c:v>2250.0</c:v>
                </c:pt>
                <c:pt idx="26">
                  <c:v>24</c:v>
                </c:pt>
                <c:pt idx="27">
                  <c:v>255</c:v>
                </c:pt>
                <c:pt idx="28">
                  <c:v>27</c:v>
                </c:pt>
                <c:pt idx="29">
                  <c:v>285</c:v>
                </c:pt>
                <c:pt idx="30">
                  <c:v>3</c:v>
                </c:pt>
                <c:pt idx="31">
                  <c:v>315</c:v>
                </c:pt>
                <c:pt idx="32">
                  <c:v>33</c:v>
                </c:pt>
                <c:pt idx="33">
                  <c:v>345</c:v>
                </c:pt>
                <c:pt idx="34">
                  <c:v>36</c:v>
                </c:pt>
                <c:pt idx="35">
                  <c:v>375</c:v>
                </c:pt>
                <c:pt idx="36">
                  <c:v>39</c:v>
                </c:pt>
                <c:pt idx="37">
                  <c:v>405</c:v>
                </c:pt>
                <c:pt idx="38">
                  <c:v>4200.0</c:v>
                </c:pt>
                <c:pt idx="39">
                  <c:v>435</c:v>
                </c:pt>
                <c:pt idx="40">
                  <c:v>4500.0</c:v>
                </c:pt>
                <c:pt idx="41">
                  <c:v>465</c:v>
                </c:pt>
                <c:pt idx="42">
                  <c:v>48</c:v>
                </c:pt>
                <c:pt idx="43">
                  <c:v>4950.0</c:v>
                </c:pt>
                <c:pt idx="44">
                  <c:v>51</c:v>
                </c:pt>
                <c:pt idx="45">
                  <c:v>5250.0</c:v>
                </c:pt>
                <c:pt idx="46">
                  <c:v>54</c:v>
                </c:pt>
                <c:pt idx="47">
                  <c:v>555</c:v>
                </c:pt>
                <c:pt idx="48">
                  <c:v>57</c:v>
                </c:pt>
                <c:pt idx="49">
                  <c:v>585</c:v>
                </c:pt>
                <c:pt idx="50">
                  <c:v>6</c:v>
                </c:pt>
                <c:pt idx="51">
                  <c:v>6150.0</c:v>
                </c:pt>
                <c:pt idx="52">
                  <c:v>63</c:v>
                </c:pt>
                <c:pt idx="53">
                  <c:v>6450.0</c:v>
                </c:pt>
                <c:pt idx="54">
                  <c:v>66</c:v>
                </c:pt>
                <c:pt idx="55">
                  <c:v>6750.0</c:v>
                </c:pt>
                <c:pt idx="56">
                  <c:v>69</c:v>
                </c:pt>
                <c:pt idx="57">
                  <c:v>7050.0</c:v>
                </c:pt>
                <c:pt idx="58">
                  <c:v>72</c:v>
                </c:pt>
                <c:pt idx="59">
                  <c:v>7350.0</c:v>
                </c:pt>
                <c:pt idx="60">
                  <c:v>75</c:v>
                </c:pt>
                <c:pt idx="61">
                  <c:v>7649.999999999998</c:v>
                </c:pt>
                <c:pt idx="62">
                  <c:v>78</c:v>
                </c:pt>
                <c:pt idx="63">
                  <c:v>795</c:v>
                </c:pt>
                <c:pt idx="64">
                  <c:v>81</c:v>
                </c:pt>
                <c:pt idx="65">
                  <c:v>8249.999999999998</c:v>
                </c:pt>
                <c:pt idx="66">
                  <c:v>8400.0</c:v>
                </c:pt>
                <c:pt idx="67">
                  <c:v>8549.999999999998</c:v>
                </c:pt>
                <c:pt idx="68">
                  <c:v>8699.999999999998</c:v>
                </c:pt>
                <c:pt idx="69">
                  <c:v>8850.0</c:v>
                </c:pt>
                <c:pt idx="70">
                  <c:v>9000.0</c:v>
                </c:pt>
                <c:pt idx="71">
                  <c:v>9149.999999999998</c:v>
                </c:pt>
                <c:pt idx="72">
                  <c:v>9299.999999999998</c:v>
                </c:pt>
                <c:pt idx="73">
                  <c:v>9450.0</c:v>
                </c:pt>
                <c:pt idx="74">
                  <c:v>9599.999999999998</c:v>
                </c:pt>
                <c:pt idx="75">
                  <c:v>9750.0</c:v>
                </c:pt>
                <c:pt idx="76">
                  <c:v>9900.0</c:v>
                </c:pt>
                <c:pt idx="77">
                  <c:v>10050.0</c:v>
                </c:pt>
                <c:pt idx="78">
                  <c:v>102</c:v>
                </c:pt>
                <c:pt idx="79">
                  <c:v>1035</c:v>
                </c:pt>
                <c:pt idx="80">
                  <c:v>10500.0</c:v>
                </c:pt>
                <c:pt idx="81">
                  <c:v>10650.0</c:v>
                </c:pt>
                <c:pt idx="82">
                  <c:v>108</c:v>
                </c:pt>
                <c:pt idx="83">
                  <c:v>1095</c:v>
                </c:pt>
                <c:pt idx="84">
                  <c:v>111</c:v>
                </c:pt>
                <c:pt idx="85">
                  <c:v>11250.0</c:v>
                </c:pt>
                <c:pt idx="86">
                  <c:v>114</c:v>
                </c:pt>
                <c:pt idx="87">
                  <c:v>1155</c:v>
                </c:pt>
                <c:pt idx="88">
                  <c:v>117</c:v>
                </c:pt>
                <c:pt idx="89">
                  <c:v>1185</c:v>
                </c:pt>
                <c:pt idx="90">
                  <c:v>12</c:v>
                </c:pt>
                <c:pt idx="91">
                  <c:v>12150.0</c:v>
                </c:pt>
                <c:pt idx="92">
                  <c:v>12300.0</c:v>
                </c:pt>
                <c:pt idx="93">
                  <c:v>1245</c:v>
                </c:pt>
                <c:pt idx="94">
                  <c:v>126</c:v>
                </c:pt>
                <c:pt idx="95">
                  <c:v>12750.0</c:v>
                </c:pt>
                <c:pt idx="96">
                  <c:v>12900.0</c:v>
                </c:pt>
                <c:pt idx="97">
                  <c:v>1305</c:v>
                </c:pt>
                <c:pt idx="98">
                  <c:v>132</c:v>
                </c:pt>
                <c:pt idx="99">
                  <c:v>1335</c:v>
                </c:pt>
                <c:pt idx="100">
                  <c:v>13500.0</c:v>
                </c:pt>
                <c:pt idx="101">
                  <c:v>1365</c:v>
                </c:pt>
                <c:pt idx="102">
                  <c:v>138</c:v>
                </c:pt>
                <c:pt idx="103">
                  <c:v>1395</c:v>
                </c:pt>
                <c:pt idx="104">
                  <c:v>14100.0</c:v>
                </c:pt>
                <c:pt idx="105">
                  <c:v>1425</c:v>
                </c:pt>
                <c:pt idx="106">
                  <c:v>144</c:v>
                </c:pt>
                <c:pt idx="107">
                  <c:v>14550.0</c:v>
                </c:pt>
                <c:pt idx="108">
                  <c:v>14700.0</c:v>
                </c:pt>
                <c:pt idx="109">
                  <c:v>1485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1483</c:v>
                </c:pt>
                <c:pt idx="115">
                  <c:v>1466</c:v>
                </c:pt>
                <c:pt idx="116">
                  <c:v>14490.0</c:v>
                </c:pt>
                <c:pt idx="117">
                  <c:v>1432</c:v>
                </c:pt>
                <c:pt idx="118">
                  <c:v>1415</c:v>
                </c:pt>
                <c:pt idx="119">
                  <c:v>1398</c:v>
                </c:pt>
                <c:pt idx="120">
                  <c:v>1381</c:v>
                </c:pt>
                <c:pt idx="121">
                  <c:v>1364</c:v>
                </c:pt>
                <c:pt idx="122">
                  <c:v>13470.0</c:v>
                </c:pt>
                <c:pt idx="123">
                  <c:v>133</c:v>
                </c:pt>
                <c:pt idx="124">
                  <c:v>1313</c:v>
                </c:pt>
                <c:pt idx="125">
                  <c:v>1296</c:v>
                </c:pt>
                <c:pt idx="126">
                  <c:v>1279</c:v>
                </c:pt>
                <c:pt idx="127">
                  <c:v>12620.0</c:v>
                </c:pt>
                <c:pt idx="128">
                  <c:v>12450.0</c:v>
                </c:pt>
                <c:pt idx="129">
                  <c:v>1228</c:v>
                </c:pt>
                <c:pt idx="130">
                  <c:v>1211</c:v>
                </c:pt>
                <c:pt idx="131">
                  <c:v>1194</c:v>
                </c:pt>
                <c:pt idx="132">
                  <c:v>1177</c:v>
                </c:pt>
                <c:pt idx="133">
                  <c:v>11600.0</c:v>
                </c:pt>
                <c:pt idx="134">
                  <c:v>11430.0</c:v>
                </c:pt>
                <c:pt idx="135">
                  <c:v>1126</c:v>
                </c:pt>
                <c:pt idx="136">
                  <c:v>1109</c:v>
                </c:pt>
                <c:pt idx="137">
                  <c:v>1092</c:v>
                </c:pt>
                <c:pt idx="138">
                  <c:v>10750.0</c:v>
                </c:pt>
                <c:pt idx="139">
                  <c:v>1058</c:v>
                </c:pt>
                <c:pt idx="140">
                  <c:v>10410.0</c:v>
                </c:pt>
                <c:pt idx="141">
                  <c:v>1024</c:v>
                </c:pt>
                <c:pt idx="142">
                  <c:v>1007</c:v>
                </c:pt>
                <c:pt idx="143">
                  <c:v>9899.999999999998</c:v>
                </c:pt>
                <c:pt idx="144">
                  <c:v>9730.0</c:v>
                </c:pt>
                <c:pt idx="145">
                  <c:v>9559.999999999998</c:v>
                </c:pt>
                <c:pt idx="146">
                  <c:v>9390.0</c:v>
                </c:pt>
                <c:pt idx="147">
                  <c:v>9219.999999999998</c:v>
                </c:pt>
                <c:pt idx="148">
                  <c:v>9049.999999999998</c:v>
                </c:pt>
                <c:pt idx="149">
                  <c:v>8879.999999999998</c:v>
                </c:pt>
                <c:pt idx="150">
                  <c:v>8710.0</c:v>
                </c:pt>
                <c:pt idx="151">
                  <c:v>8539.999999999998</c:v>
                </c:pt>
                <c:pt idx="152">
                  <c:v>8369.999999999998</c:v>
                </c:pt>
                <c:pt idx="153">
                  <c:v>8199.999999999998</c:v>
                </c:pt>
                <c:pt idx="154">
                  <c:v>803</c:v>
                </c:pt>
                <c:pt idx="155">
                  <c:v>7859.999999999998</c:v>
                </c:pt>
                <c:pt idx="156">
                  <c:v>769</c:v>
                </c:pt>
                <c:pt idx="157">
                  <c:v>752</c:v>
                </c:pt>
                <c:pt idx="158">
                  <c:v>7349.999999999998</c:v>
                </c:pt>
                <c:pt idx="159">
                  <c:v>7179.999999999998</c:v>
                </c:pt>
                <c:pt idx="160">
                  <c:v>701</c:v>
                </c:pt>
                <c:pt idx="161">
                  <c:v>6839.999999999998</c:v>
                </c:pt>
                <c:pt idx="162">
                  <c:v>667</c:v>
                </c:pt>
                <c:pt idx="163">
                  <c:v>65</c:v>
                </c:pt>
                <c:pt idx="164">
                  <c:v>6329.999999999998</c:v>
                </c:pt>
                <c:pt idx="165">
                  <c:v>6159.999999999998</c:v>
                </c:pt>
                <c:pt idx="166">
                  <c:v>599</c:v>
                </c:pt>
                <c:pt idx="167">
                  <c:v>5819.999999999998</c:v>
                </c:pt>
                <c:pt idx="168">
                  <c:v>5649.999999999998</c:v>
                </c:pt>
                <c:pt idx="169">
                  <c:v>548</c:v>
                </c:pt>
                <c:pt idx="170">
                  <c:v>5310.0</c:v>
                </c:pt>
                <c:pt idx="171">
                  <c:v>5139.999999999998</c:v>
                </c:pt>
                <c:pt idx="172">
                  <c:v>497</c:v>
                </c:pt>
                <c:pt idx="173">
                  <c:v>4800.0</c:v>
                </c:pt>
                <c:pt idx="174">
                  <c:v>4629.999999999998</c:v>
                </c:pt>
                <c:pt idx="175">
                  <c:v>446</c:v>
                </c:pt>
                <c:pt idx="176">
                  <c:v>4290.0</c:v>
                </c:pt>
                <c:pt idx="177">
                  <c:v>412</c:v>
                </c:pt>
                <c:pt idx="178">
                  <c:v>395</c:v>
                </c:pt>
                <c:pt idx="179">
                  <c:v>3779.999999999999</c:v>
                </c:pt>
                <c:pt idx="180">
                  <c:v>3609.999999999998</c:v>
                </c:pt>
                <c:pt idx="181">
                  <c:v>344</c:v>
                </c:pt>
                <c:pt idx="182">
                  <c:v>3270.0</c:v>
                </c:pt>
                <c:pt idx="183">
                  <c:v>31</c:v>
                </c:pt>
                <c:pt idx="184">
                  <c:v>293</c:v>
                </c:pt>
                <c:pt idx="185">
                  <c:v>2759.999999999999</c:v>
                </c:pt>
                <c:pt idx="186">
                  <c:v>2589.999999999998</c:v>
                </c:pt>
                <c:pt idx="187">
                  <c:v>242</c:v>
                </c:pt>
                <c:pt idx="188">
                  <c:v>2250.0</c:v>
                </c:pt>
                <c:pt idx="189">
                  <c:v>208</c:v>
                </c:pt>
                <c:pt idx="190">
                  <c:v>1909.999999999999</c:v>
                </c:pt>
                <c:pt idx="191">
                  <c:v>1739.999999999998</c:v>
                </c:pt>
                <c:pt idx="192">
                  <c:v>1569.999999999998</c:v>
                </c:pt>
                <c:pt idx="193">
                  <c:v>1400.0</c:v>
                </c:pt>
                <c:pt idx="194">
                  <c:v>1230.0</c:v>
                </c:pt>
                <c:pt idx="195">
                  <c:v>1059.999999999999</c:v>
                </c:pt>
                <c:pt idx="196">
                  <c:v>889.999999999999</c:v>
                </c:pt>
                <c:pt idx="197">
                  <c:v>719.9999999999984</c:v>
                </c:pt>
                <c:pt idx="198">
                  <c:v>549.999999999998</c:v>
                </c:pt>
                <c:pt idx="199">
                  <c:v>380.0000000000004</c:v>
                </c:pt>
                <c:pt idx="200">
                  <c:v>21</c:v>
                </c:pt>
                <c:pt idx="201">
                  <c:v>39.99999999999942</c:v>
                </c:pt>
                <c:pt idx="202">
                  <c:v>-130.0000000000011</c:v>
                </c:pt>
                <c:pt idx="203">
                  <c:v>-300.0000000000016</c:v>
                </c:pt>
                <c:pt idx="204">
                  <c:v>-470.0000000000021</c:v>
                </c:pt>
                <c:pt idx="205">
                  <c:v>-639.9999999999995</c:v>
                </c:pt>
                <c:pt idx="206">
                  <c:v>-810.0000000000001</c:v>
                </c:pt>
                <c:pt idx="207">
                  <c:v>-980.0000000000006</c:v>
                </c:pt>
                <c:pt idx="208">
                  <c:v>-1150.000000000001</c:v>
                </c:pt>
                <c:pt idx="209">
                  <c:v>-1320.000000000002</c:v>
                </c:pt>
                <c:pt idx="210">
                  <c:v>-1490.000000000002</c:v>
                </c:pt>
                <c:pt idx="211">
                  <c:v>-166</c:v>
                </c:pt>
                <c:pt idx="212">
                  <c:v>-1830.0</c:v>
                </c:pt>
                <c:pt idx="213">
                  <c:v>-2000.000000000001</c:v>
                </c:pt>
              </c:numCache>
            </c:numRef>
          </c:xVal>
          <c:yVal>
            <c:numRef>
              <c:f>Circulation!$AH$9:$AH$119</c:f>
              <c:numCache>
                <c:formatCode>0</c:formatCode>
                <c:ptCount val="111"/>
                <c:pt idx="0">
                  <c:v>0.0</c:v>
                </c:pt>
                <c:pt idx="1">
                  <c:v>1.421</c:v>
                </c:pt>
                <c:pt idx="2">
                  <c:v>2.842</c:v>
                </c:pt>
                <c:pt idx="3">
                  <c:v>4.263000000000001</c:v>
                </c:pt>
                <c:pt idx="4">
                  <c:v>5.684000000000001</c:v>
                </c:pt>
                <c:pt idx="5">
                  <c:v>7.105000000000001</c:v>
                </c:pt>
                <c:pt idx="6">
                  <c:v>8.526000000000001</c:v>
                </c:pt>
                <c:pt idx="7">
                  <c:v>9.947000000000001</c:v>
                </c:pt>
                <c:pt idx="8">
                  <c:v>11.368</c:v>
                </c:pt>
                <c:pt idx="9">
                  <c:v>12.789</c:v>
                </c:pt>
                <c:pt idx="10">
                  <c:v>14.21</c:v>
                </c:pt>
                <c:pt idx="11">
                  <c:v>64.98475609756098</c:v>
                </c:pt>
                <c:pt idx="12">
                  <c:v>129.969512195122</c:v>
                </c:pt>
                <c:pt idx="13">
                  <c:v>194.954268292683</c:v>
                </c:pt>
                <c:pt idx="14">
                  <c:v>259.939024390244</c:v>
                </c:pt>
                <c:pt idx="15">
                  <c:v>324.9237804878048</c:v>
                </c:pt>
                <c:pt idx="16">
                  <c:v>389.9085365853659</c:v>
                </c:pt>
                <c:pt idx="17">
                  <c:v>454.8932926829269</c:v>
                </c:pt>
                <c:pt idx="18">
                  <c:v>519.8780487804878</c:v>
                </c:pt>
                <c:pt idx="19">
                  <c:v>584.8628048780489</c:v>
                </c:pt>
                <c:pt idx="20">
                  <c:v>649.8475609756097</c:v>
                </c:pt>
                <c:pt idx="21">
                  <c:v>714.8323170731709</c:v>
                </c:pt>
                <c:pt idx="22">
                  <c:v>779.8170731707319</c:v>
                </c:pt>
                <c:pt idx="23">
                  <c:v>844.8018292682927</c:v>
                </c:pt>
                <c:pt idx="24">
                  <c:v>909.7865853658537</c:v>
                </c:pt>
                <c:pt idx="25">
                  <c:v>974.7713414634147</c:v>
                </c:pt>
                <c:pt idx="26">
                  <c:v>1039.756097560976</c:v>
                </c:pt>
                <c:pt idx="27">
                  <c:v>1104.740853658537</c:v>
                </c:pt>
                <c:pt idx="28">
                  <c:v>1169.725609756098</c:v>
                </c:pt>
                <c:pt idx="29">
                  <c:v>1234.710365853659</c:v>
                </c:pt>
                <c:pt idx="30">
                  <c:v>1299.695121951219</c:v>
                </c:pt>
                <c:pt idx="31">
                  <c:v>1364.679878048781</c:v>
                </c:pt>
                <c:pt idx="32">
                  <c:v>1429.664634146342</c:v>
                </c:pt>
                <c:pt idx="33">
                  <c:v>1494.649390243902</c:v>
                </c:pt>
                <c:pt idx="34">
                  <c:v>1559.634146341464</c:v>
                </c:pt>
                <c:pt idx="35">
                  <c:v>1624.618902439024</c:v>
                </c:pt>
                <c:pt idx="36">
                  <c:v>1689.603658536585</c:v>
                </c:pt>
                <c:pt idx="37">
                  <c:v>1754.588414634146</c:v>
                </c:pt>
                <c:pt idx="38">
                  <c:v>1819.573170731707</c:v>
                </c:pt>
                <c:pt idx="39">
                  <c:v>1884.557926829268</c:v>
                </c:pt>
                <c:pt idx="40">
                  <c:v>1949.542682926829</c:v>
                </c:pt>
                <c:pt idx="41">
                  <c:v>2014.52743902439</c:v>
                </c:pt>
                <c:pt idx="42">
                  <c:v>2079.512195121951</c:v>
                </c:pt>
                <c:pt idx="43">
                  <c:v>2144.496951219513</c:v>
                </c:pt>
                <c:pt idx="44">
                  <c:v>2209.481707317073</c:v>
                </c:pt>
                <c:pt idx="45">
                  <c:v>2274.466463414635</c:v>
                </c:pt>
                <c:pt idx="46">
                  <c:v>2339.451219512195</c:v>
                </c:pt>
                <c:pt idx="47">
                  <c:v>2404.435975609756</c:v>
                </c:pt>
                <c:pt idx="48">
                  <c:v>2469.420731707317</c:v>
                </c:pt>
                <c:pt idx="49">
                  <c:v>2534.405487804878</c:v>
                </c:pt>
                <c:pt idx="50">
                  <c:v>2599.390243902438</c:v>
                </c:pt>
                <c:pt idx="51">
                  <c:v>2664.375</c:v>
                </c:pt>
                <c:pt idx="52">
                  <c:v>2729.359756097561</c:v>
                </c:pt>
                <c:pt idx="53">
                  <c:v>2794.344512195122</c:v>
                </c:pt>
                <c:pt idx="54">
                  <c:v>2859.329268292684</c:v>
                </c:pt>
                <c:pt idx="55">
                  <c:v>2924.314024390244</c:v>
                </c:pt>
                <c:pt idx="56">
                  <c:v>2989.298780487805</c:v>
                </c:pt>
                <c:pt idx="57">
                  <c:v>3054.283536585366</c:v>
                </c:pt>
                <c:pt idx="58">
                  <c:v>3119.268292682927</c:v>
                </c:pt>
                <c:pt idx="59">
                  <c:v>3184.253048780488</c:v>
                </c:pt>
                <c:pt idx="60">
                  <c:v>3249.237804878049</c:v>
                </c:pt>
                <c:pt idx="61">
                  <c:v>3314.22256097561</c:v>
                </c:pt>
                <c:pt idx="62">
                  <c:v>3379.207317073171</c:v>
                </c:pt>
                <c:pt idx="63">
                  <c:v>3444.192073170732</c:v>
                </c:pt>
                <c:pt idx="64">
                  <c:v>3464.797317890888</c:v>
                </c:pt>
                <c:pt idx="65">
                  <c:v>3464.797317890888</c:v>
                </c:pt>
                <c:pt idx="66">
                  <c:v>3464.797317890888</c:v>
                </c:pt>
                <c:pt idx="67">
                  <c:v>3464.797317890888</c:v>
                </c:pt>
                <c:pt idx="68">
                  <c:v>3464.797317890888</c:v>
                </c:pt>
                <c:pt idx="69">
                  <c:v>3464.797317890888</c:v>
                </c:pt>
                <c:pt idx="70">
                  <c:v>3464.797317890888</c:v>
                </c:pt>
                <c:pt idx="71">
                  <c:v>3464.797317890888</c:v>
                </c:pt>
                <c:pt idx="72">
                  <c:v>3464.797317890888</c:v>
                </c:pt>
                <c:pt idx="73">
                  <c:v>3464.797317890888</c:v>
                </c:pt>
                <c:pt idx="74">
                  <c:v>3464.797317890888</c:v>
                </c:pt>
                <c:pt idx="75">
                  <c:v>3464.797317890888</c:v>
                </c:pt>
                <c:pt idx="76">
                  <c:v>3464.797317890888</c:v>
                </c:pt>
                <c:pt idx="77">
                  <c:v>3464.797317890888</c:v>
                </c:pt>
                <c:pt idx="78">
                  <c:v>3464.797317890888</c:v>
                </c:pt>
                <c:pt idx="79">
                  <c:v>3464.797317890888</c:v>
                </c:pt>
                <c:pt idx="80">
                  <c:v>3464.797317890888</c:v>
                </c:pt>
                <c:pt idx="81">
                  <c:v>3464.797317890888</c:v>
                </c:pt>
                <c:pt idx="82">
                  <c:v>3464.797317890888</c:v>
                </c:pt>
                <c:pt idx="83">
                  <c:v>3464.797317890888</c:v>
                </c:pt>
                <c:pt idx="84">
                  <c:v>3464.797317890888</c:v>
                </c:pt>
                <c:pt idx="85">
                  <c:v>3464.797317890888</c:v>
                </c:pt>
                <c:pt idx="86">
                  <c:v>3464.797317890888</c:v>
                </c:pt>
                <c:pt idx="87">
                  <c:v>3464.797317890888</c:v>
                </c:pt>
                <c:pt idx="88">
                  <c:v>3464.797317890888</c:v>
                </c:pt>
                <c:pt idx="89">
                  <c:v>3464.797317890888</c:v>
                </c:pt>
                <c:pt idx="90">
                  <c:v>3464.797317890888</c:v>
                </c:pt>
                <c:pt idx="91">
                  <c:v>3464.797317890888</c:v>
                </c:pt>
                <c:pt idx="92">
                  <c:v>3464.797317890888</c:v>
                </c:pt>
                <c:pt idx="93">
                  <c:v>3464.797317890888</c:v>
                </c:pt>
                <c:pt idx="94">
                  <c:v>3464.797317890888</c:v>
                </c:pt>
                <c:pt idx="95">
                  <c:v>3464.797317890888</c:v>
                </c:pt>
                <c:pt idx="96">
                  <c:v>3464.797317890888</c:v>
                </c:pt>
                <c:pt idx="97">
                  <c:v>3464.797317890888</c:v>
                </c:pt>
                <c:pt idx="98">
                  <c:v>3464.797317890888</c:v>
                </c:pt>
                <c:pt idx="99">
                  <c:v>3464.797317890888</c:v>
                </c:pt>
                <c:pt idx="100">
                  <c:v>3464.797317890888</c:v>
                </c:pt>
                <c:pt idx="101">
                  <c:v>3464.797317890888</c:v>
                </c:pt>
                <c:pt idx="102">
                  <c:v>3464.797317890888</c:v>
                </c:pt>
                <c:pt idx="103">
                  <c:v>3464.797317890888</c:v>
                </c:pt>
                <c:pt idx="104">
                  <c:v>3464.797317890888</c:v>
                </c:pt>
                <c:pt idx="105">
                  <c:v>3464.797317890888</c:v>
                </c:pt>
                <c:pt idx="106">
                  <c:v>3464.797317890888</c:v>
                </c:pt>
                <c:pt idx="107">
                  <c:v>3464.797317890888</c:v>
                </c:pt>
                <c:pt idx="108">
                  <c:v>3464.797317890888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61907592"/>
        <c:axId val="-2061903848"/>
      </c:scatterChart>
      <c:valAx>
        <c:axId val="-2061907592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61903848"/>
        <c:crosses val="autoZero"/>
        <c:crossBetween val="midCat"/>
      </c:valAx>
      <c:valAx>
        <c:axId val="-2061903848"/>
        <c:scaling>
          <c:orientation val="minMax"/>
          <c:min val="0.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Pressure, psi</a:t>
                </a:r>
              </a:p>
            </c:rich>
          </c:tx>
          <c:layout>
            <c:manualLayout>
              <c:xMode val="edge"/>
              <c:yMode val="edge"/>
              <c:x val="0.0236363483410728"/>
              <c:y val="0.45945960790775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61907592"/>
        <c:crosses val="autoZero"/>
        <c:crossBetween val="midCat"/>
      </c:valAx>
      <c:spPr>
        <a:solidFill>
          <a:srgbClr val="FFFFFF"/>
        </a:solidFill>
        <a:ln w="3175">
          <a:pattFill prst="pct50">
            <a:fgClr>
              <a:srgbClr val="000000"/>
            </a:fgClr>
            <a:bgClr>
              <a:srgbClr val="FFFFFF"/>
            </a:bgClr>
          </a:pattFill>
          <a:prstDash val="solid"/>
        </a:ln>
      </c:spPr>
    </c:plotArea>
    <c:legend>
      <c:legendPos val="r"/>
      <c:layout>
        <c:manualLayout>
          <c:xMode val="edge"/>
          <c:yMode val="edge"/>
          <c:x val="0.619502232324052"/>
          <c:y val="0.00192902357793511"/>
          <c:w val="0.341346487726542"/>
          <c:h val="0.1541917012974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1606811343704"/>
          <c:y val="0.0619150467962563"/>
          <c:w val="0.902440218549155"/>
          <c:h val="0.816415547819448"/>
        </c:manualLayout>
      </c:layout>
      <c:scatterChart>
        <c:scatterStyle val="lineMarker"/>
        <c:varyColors val="0"/>
        <c:ser>
          <c:idx val="0"/>
          <c:order val="0"/>
          <c:tx>
            <c:v>Circulating Pressure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Circulation!$A$9:$A$222</c:f>
              <c:numCache>
                <c:formatCode>General</c:formatCode>
                <c:ptCount val="214"/>
                <c:pt idx="0">
                  <c:v>0.0</c:v>
                </c:pt>
                <c:pt idx="11">
                  <c:v>15</c:v>
                </c:pt>
                <c:pt idx="12">
                  <c:v>299.9999999999999</c:v>
                </c:pt>
                <c:pt idx="13">
                  <c:v>449.9999999999999</c:v>
                </c:pt>
                <c:pt idx="14">
                  <c:v>599.9999999999999</c:v>
                </c:pt>
                <c:pt idx="15">
                  <c:v>749.9999999999999</c:v>
                </c:pt>
                <c:pt idx="16">
                  <c:v>899.9999999999999</c:v>
                </c:pt>
                <c:pt idx="17">
                  <c:v>1050.0</c:v>
                </c:pt>
                <c:pt idx="18">
                  <c:v>12</c:v>
                </c:pt>
                <c:pt idx="19">
                  <c:v>135</c:v>
                </c:pt>
                <c:pt idx="20">
                  <c:v>15</c:v>
                </c:pt>
                <c:pt idx="21">
                  <c:v>165</c:v>
                </c:pt>
                <c:pt idx="22">
                  <c:v>18</c:v>
                </c:pt>
                <c:pt idx="23">
                  <c:v>195</c:v>
                </c:pt>
                <c:pt idx="24">
                  <c:v>2100.0</c:v>
                </c:pt>
                <c:pt idx="25">
                  <c:v>2250.0</c:v>
                </c:pt>
                <c:pt idx="26">
                  <c:v>24</c:v>
                </c:pt>
                <c:pt idx="27">
                  <c:v>255</c:v>
                </c:pt>
                <c:pt idx="28">
                  <c:v>27</c:v>
                </c:pt>
                <c:pt idx="29">
                  <c:v>285</c:v>
                </c:pt>
                <c:pt idx="30">
                  <c:v>3</c:v>
                </c:pt>
                <c:pt idx="31">
                  <c:v>315</c:v>
                </c:pt>
                <c:pt idx="32">
                  <c:v>33</c:v>
                </c:pt>
                <c:pt idx="33">
                  <c:v>345</c:v>
                </c:pt>
                <c:pt idx="34">
                  <c:v>36</c:v>
                </c:pt>
                <c:pt idx="35">
                  <c:v>375</c:v>
                </c:pt>
                <c:pt idx="36">
                  <c:v>39</c:v>
                </c:pt>
                <c:pt idx="37">
                  <c:v>405</c:v>
                </c:pt>
                <c:pt idx="38">
                  <c:v>4200.0</c:v>
                </c:pt>
                <c:pt idx="39">
                  <c:v>435</c:v>
                </c:pt>
                <c:pt idx="40">
                  <c:v>4500.0</c:v>
                </c:pt>
                <c:pt idx="41">
                  <c:v>465</c:v>
                </c:pt>
                <c:pt idx="42">
                  <c:v>48</c:v>
                </c:pt>
                <c:pt idx="43">
                  <c:v>4950.0</c:v>
                </c:pt>
                <c:pt idx="44">
                  <c:v>51</c:v>
                </c:pt>
                <c:pt idx="45">
                  <c:v>5250.0</c:v>
                </c:pt>
                <c:pt idx="46">
                  <c:v>54</c:v>
                </c:pt>
                <c:pt idx="47">
                  <c:v>555</c:v>
                </c:pt>
                <c:pt idx="48">
                  <c:v>57</c:v>
                </c:pt>
                <c:pt idx="49">
                  <c:v>585</c:v>
                </c:pt>
                <c:pt idx="50">
                  <c:v>6</c:v>
                </c:pt>
                <c:pt idx="51">
                  <c:v>6150.0</c:v>
                </c:pt>
                <c:pt idx="52">
                  <c:v>63</c:v>
                </c:pt>
                <c:pt idx="53">
                  <c:v>6450.0</c:v>
                </c:pt>
                <c:pt idx="54">
                  <c:v>66</c:v>
                </c:pt>
                <c:pt idx="55">
                  <c:v>6750.0</c:v>
                </c:pt>
                <c:pt idx="56">
                  <c:v>69</c:v>
                </c:pt>
                <c:pt idx="57">
                  <c:v>7050.0</c:v>
                </c:pt>
                <c:pt idx="58">
                  <c:v>72</c:v>
                </c:pt>
                <c:pt idx="59">
                  <c:v>7350.0</c:v>
                </c:pt>
                <c:pt idx="60">
                  <c:v>75</c:v>
                </c:pt>
                <c:pt idx="61">
                  <c:v>7649.999999999998</c:v>
                </c:pt>
                <c:pt idx="62">
                  <c:v>78</c:v>
                </c:pt>
                <c:pt idx="63">
                  <c:v>795</c:v>
                </c:pt>
                <c:pt idx="64">
                  <c:v>81</c:v>
                </c:pt>
                <c:pt idx="65">
                  <c:v>8249.999999999998</c:v>
                </c:pt>
                <c:pt idx="66">
                  <c:v>8400.0</c:v>
                </c:pt>
                <c:pt idx="67">
                  <c:v>8549.999999999998</c:v>
                </c:pt>
                <c:pt idx="68">
                  <c:v>8699.999999999998</c:v>
                </c:pt>
                <c:pt idx="69">
                  <c:v>8850.0</c:v>
                </c:pt>
                <c:pt idx="70">
                  <c:v>9000.0</c:v>
                </c:pt>
                <c:pt idx="71">
                  <c:v>9149.999999999998</c:v>
                </c:pt>
                <c:pt idx="72">
                  <c:v>9299.999999999998</c:v>
                </c:pt>
                <c:pt idx="73">
                  <c:v>9450.0</c:v>
                </c:pt>
                <c:pt idx="74">
                  <c:v>9599.999999999998</c:v>
                </c:pt>
                <c:pt idx="75">
                  <c:v>9750.0</c:v>
                </c:pt>
                <c:pt idx="76">
                  <c:v>9900.0</c:v>
                </c:pt>
                <c:pt idx="77">
                  <c:v>10050.0</c:v>
                </c:pt>
                <c:pt idx="78">
                  <c:v>102</c:v>
                </c:pt>
                <c:pt idx="79">
                  <c:v>1035</c:v>
                </c:pt>
                <c:pt idx="80">
                  <c:v>10500.0</c:v>
                </c:pt>
                <c:pt idx="81">
                  <c:v>10650.0</c:v>
                </c:pt>
                <c:pt idx="82">
                  <c:v>108</c:v>
                </c:pt>
                <c:pt idx="83">
                  <c:v>1095</c:v>
                </c:pt>
                <c:pt idx="84">
                  <c:v>111</c:v>
                </c:pt>
                <c:pt idx="85">
                  <c:v>11250.0</c:v>
                </c:pt>
                <c:pt idx="86">
                  <c:v>114</c:v>
                </c:pt>
                <c:pt idx="87">
                  <c:v>1155</c:v>
                </c:pt>
                <c:pt idx="88">
                  <c:v>117</c:v>
                </c:pt>
                <c:pt idx="89">
                  <c:v>1185</c:v>
                </c:pt>
                <c:pt idx="90">
                  <c:v>12</c:v>
                </c:pt>
                <c:pt idx="91">
                  <c:v>12150.0</c:v>
                </c:pt>
                <c:pt idx="92">
                  <c:v>12300.0</c:v>
                </c:pt>
                <c:pt idx="93">
                  <c:v>1245</c:v>
                </c:pt>
                <c:pt idx="94">
                  <c:v>126</c:v>
                </c:pt>
                <c:pt idx="95">
                  <c:v>12750.0</c:v>
                </c:pt>
                <c:pt idx="96">
                  <c:v>12900.0</c:v>
                </c:pt>
                <c:pt idx="97">
                  <c:v>1305</c:v>
                </c:pt>
                <c:pt idx="98">
                  <c:v>132</c:v>
                </c:pt>
                <c:pt idx="99">
                  <c:v>1335</c:v>
                </c:pt>
                <c:pt idx="100">
                  <c:v>13500.0</c:v>
                </c:pt>
                <c:pt idx="101">
                  <c:v>1365</c:v>
                </c:pt>
                <c:pt idx="102">
                  <c:v>138</c:v>
                </c:pt>
                <c:pt idx="103">
                  <c:v>1395</c:v>
                </c:pt>
                <c:pt idx="104">
                  <c:v>14100.0</c:v>
                </c:pt>
                <c:pt idx="105">
                  <c:v>1425</c:v>
                </c:pt>
                <c:pt idx="106">
                  <c:v>144</c:v>
                </c:pt>
                <c:pt idx="107">
                  <c:v>14550.0</c:v>
                </c:pt>
                <c:pt idx="108">
                  <c:v>14700.0</c:v>
                </c:pt>
                <c:pt idx="109">
                  <c:v>1485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1483</c:v>
                </c:pt>
                <c:pt idx="115">
                  <c:v>1466</c:v>
                </c:pt>
                <c:pt idx="116">
                  <c:v>14490.0</c:v>
                </c:pt>
                <c:pt idx="117">
                  <c:v>1432</c:v>
                </c:pt>
                <c:pt idx="118">
                  <c:v>1415</c:v>
                </c:pt>
                <c:pt idx="119">
                  <c:v>1398</c:v>
                </c:pt>
                <c:pt idx="120">
                  <c:v>1381</c:v>
                </c:pt>
                <c:pt idx="121">
                  <c:v>1364</c:v>
                </c:pt>
                <c:pt idx="122">
                  <c:v>13470.0</c:v>
                </c:pt>
                <c:pt idx="123">
                  <c:v>133</c:v>
                </c:pt>
                <c:pt idx="124">
                  <c:v>1313</c:v>
                </c:pt>
                <c:pt idx="125">
                  <c:v>1296</c:v>
                </c:pt>
                <c:pt idx="126">
                  <c:v>1279</c:v>
                </c:pt>
                <c:pt idx="127">
                  <c:v>12620.0</c:v>
                </c:pt>
                <c:pt idx="128">
                  <c:v>12450.0</c:v>
                </c:pt>
                <c:pt idx="129">
                  <c:v>1228</c:v>
                </c:pt>
                <c:pt idx="130">
                  <c:v>1211</c:v>
                </c:pt>
                <c:pt idx="131">
                  <c:v>1194</c:v>
                </c:pt>
                <c:pt idx="132">
                  <c:v>1177</c:v>
                </c:pt>
                <c:pt idx="133">
                  <c:v>11600.0</c:v>
                </c:pt>
                <c:pt idx="134">
                  <c:v>11430.0</c:v>
                </c:pt>
                <c:pt idx="135">
                  <c:v>1126</c:v>
                </c:pt>
                <c:pt idx="136">
                  <c:v>1109</c:v>
                </c:pt>
                <c:pt idx="137">
                  <c:v>1092</c:v>
                </c:pt>
                <c:pt idx="138">
                  <c:v>10750.0</c:v>
                </c:pt>
                <c:pt idx="139">
                  <c:v>1058</c:v>
                </c:pt>
                <c:pt idx="140">
                  <c:v>10410.0</c:v>
                </c:pt>
                <c:pt idx="141">
                  <c:v>1024</c:v>
                </c:pt>
                <c:pt idx="142">
                  <c:v>1007</c:v>
                </c:pt>
                <c:pt idx="143">
                  <c:v>9899.999999999998</c:v>
                </c:pt>
                <c:pt idx="144">
                  <c:v>9730.0</c:v>
                </c:pt>
                <c:pt idx="145">
                  <c:v>9559.999999999998</c:v>
                </c:pt>
                <c:pt idx="146">
                  <c:v>9390.0</c:v>
                </c:pt>
                <c:pt idx="147">
                  <c:v>9219.999999999998</c:v>
                </c:pt>
                <c:pt idx="148">
                  <c:v>9049.999999999998</c:v>
                </c:pt>
                <c:pt idx="149">
                  <c:v>8879.999999999998</c:v>
                </c:pt>
                <c:pt idx="150">
                  <c:v>8710.0</c:v>
                </c:pt>
                <c:pt idx="151">
                  <c:v>8539.999999999998</c:v>
                </c:pt>
                <c:pt idx="152">
                  <c:v>8369.999999999998</c:v>
                </c:pt>
                <c:pt idx="153">
                  <c:v>8199.999999999998</c:v>
                </c:pt>
                <c:pt idx="154">
                  <c:v>803</c:v>
                </c:pt>
                <c:pt idx="155">
                  <c:v>7859.999999999998</c:v>
                </c:pt>
                <c:pt idx="156">
                  <c:v>769</c:v>
                </c:pt>
                <c:pt idx="157">
                  <c:v>752</c:v>
                </c:pt>
                <c:pt idx="158">
                  <c:v>7349.999999999998</c:v>
                </c:pt>
                <c:pt idx="159">
                  <c:v>7179.999999999998</c:v>
                </c:pt>
                <c:pt idx="160">
                  <c:v>701</c:v>
                </c:pt>
                <c:pt idx="161">
                  <c:v>6839.999999999998</c:v>
                </c:pt>
                <c:pt idx="162">
                  <c:v>667</c:v>
                </c:pt>
                <c:pt idx="163">
                  <c:v>65</c:v>
                </c:pt>
                <c:pt idx="164">
                  <c:v>6329.999999999998</c:v>
                </c:pt>
                <c:pt idx="165">
                  <c:v>6159.999999999998</c:v>
                </c:pt>
                <c:pt idx="166">
                  <c:v>599</c:v>
                </c:pt>
                <c:pt idx="167">
                  <c:v>5819.999999999998</c:v>
                </c:pt>
                <c:pt idx="168">
                  <c:v>5649.999999999998</c:v>
                </c:pt>
                <c:pt idx="169">
                  <c:v>548</c:v>
                </c:pt>
                <c:pt idx="170">
                  <c:v>5310.0</c:v>
                </c:pt>
                <c:pt idx="171">
                  <c:v>5139.999999999998</c:v>
                </c:pt>
                <c:pt idx="172">
                  <c:v>497</c:v>
                </c:pt>
                <c:pt idx="173">
                  <c:v>4800.0</c:v>
                </c:pt>
                <c:pt idx="174">
                  <c:v>4629.999999999998</c:v>
                </c:pt>
                <c:pt idx="175">
                  <c:v>446</c:v>
                </c:pt>
                <c:pt idx="176">
                  <c:v>4290.0</c:v>
                </c:pt>
                <c:pt idx="177">
                  <c:v>412</c:v>
                </c:pt>
                <c:pt idx="178">
                  <c:v>395</c:v>
                </c:pt>
                <c:pt idx="179">
                  <c:v>3779.999999999999</c:v>
                </c:pt>
                <c:pt idx="180">
                  <c:v>3609.999999999998</c:v>
                </c:pt>
                <c:pt idx="181">
                  <c:v>344</c:v>
                </c:pt>
                <c:pt idx="182">
                  <c:v>3270.0</c:v>
                </c:pt>
                <c:pt idx="183">
                  <c:v>31</c:v>
                </c:pt>
                <c:pt idx="184">
                  <c:v>293</c:v>
                </c:pt>
                <c:pt idx="185">
                  <c:v>2759.999999999999</c:v>
                </c:pt>
                <c:pt idx="186">
                  <c:v>2589.999999999998</c:v>
                </c:pt>
                <c:pt idx="187">
                  <c:v>242</c:v>
                </c:pt>
                <c:pt idx="188">
                  <c:v>2250.0</c:v>
                </c:pt>
                <c:pt idx="189">
                  <c:v>208</c:v>
                </c:pt>
                <c:pt idx="190">
                  <c:v>1909.999999999999</c:v>
                </c:pt>
                <c:pt idx="191">
                  <c:v>1739.999999999998</c:v>
                </c:pt>
                <c:pt idx="192">
                  <c:v>1569.999999999998</c:v>
                </c:pt>
                <c:pt idx="193">
                  <c:v>1400.0</c:v>
                </c:pt>
                <c:pt idx="194">
                  <c:v>1230.0</c:v>
                </c:pt>
                <c:pt idx="195">
                  <c:v>1059.999999999999</c:v>
                </c:pt>
                <c:pt idx="196">
                  <c:v>889.999999999999</c:v>
                </c:pt>
                <c:pt idx="197">
                  <c:v>719.9999999999984</c:v>
                </c:pt>
                <c:pt idx="198">
                  <c:v>549.999999999998</c:v>
                </c:pt>
                <c:pt idx="199">
                  <c:v>380.0000000000004</c:v>
                </c:pt>
                <c:pt idx="200">
                  <c:v>21</c:v>
                </c:pt>
                <c:pt idx="201">
                  <c:v>39.99999999999942</c:v>
                </c:pt>
                <c:pt idx="202">
                  <c:v>-130.0000000000011</c:v>
                </c:pt>
                <c:pt idx="203">
                  <c:v>-300.0000000000016</c:v>
                </c:pt>
                <c:pt idx="204">
                  <c:v>-470.0000000000021</c:v>
                </c:pt>
                <c:pt idx="205">
                  <c:v>-639.9999999999995</c:v>
                </c:pt>
                <c:pt idx="206">
                  <c:v>-810.0000000000001</c:v>
                </c:pt>
                <c:pt idx="207">
                  <c:v>-980.0000000000006</c:v>
                </c:pt>
                <c:pt idx="208">
                  <c:v>-1150.000000000001</c:v>
                </c:pt>
                <c:pt idx="209">
                  <c:v>-1320.000000000002</c:v>
                </c:pt>
                <c:pt idx="210">
                  <c:v>-1490.000000000002</c:v>
                </c:pt>
                <c:pt idx="211">
                  <c:v>-166</c:v>
                </c:pt>
                <c:pt idx="212">
                  <c:v>-1830.0</c:v>
                </c:pt>
                <c:pt idx="213">
                  <c:v>-2000.000000000001</c:v>
                </c:pt>
              </c:numCache>
            </c:numRef>
          </c:xVal>
          <c:yVal>
            <c:numRef>
              <c:f>Circulation!$B$9:$B$222</c:f>
              <c:numCache>
                <c:formatCode>0</c:formatCode>
                <c:ptCount val="214"/>
                <c:pt idx="0">
                  <c:v>414.593283488785</c:v>
                </c:pt>
                <c:pt idx="11">
                  <c:v>454.0443315985761</c:v>
                </c:pt>
                <c:pt idx="12">
                  <c:v>490.3258142562591</c:v>
                </c:pt>
                <c:pt idx="13">
                  <c:v>527.3793747775077</c:v>
                </c:pt>
                <c:pt idx="14">
                  <c:v>565.1792298352841</c:v>
                </c:pt>
                <c:pt idx="15">
                  <c:v>603.6980768844858</c:v>
                </c:pt>
                <c:pt idx="16">
                  <c:v>642.9078547812892</c:v>
                </c:pt>
                <c:pt idx="17">
                  <c:v>682.7802911663336</c:v>
                </c:pt>
                <c:pt idx="18">
                  <c:v>723.2872965559527</c:v>
                </c:pt>
                <c:pt idx="19">
                  <c:v>764.4012462943294</c:v>
                </c:pt>
                <c:pt idx="20">
                  <c:v>806.0951794180941</c:v>
                </c:pt>
                <c:pt idx="21">
                  <c:v>848.3429354198886</c:v>
                </c:pt>
                <c:pt idx="22">
                  <c:v>891.1192443563168</c:v>
                </c:pt>
                <c:pt idx="23">
                  <c:v>934.3997818362325</c:v>
                </c:pt>
                <c:pt idx="24">
                  <c:v>978.1611976036768</c:v>
                </c:pt>
                <c:pt idx="25">
                  <c:v>1022.381124354183</c:v>
                </c:pt>
                <c:pt idx="26">
                  <c:v>1067.038171872292</c:v>
                </c:pt>
                <c:pt idx="27">
                  <c:v>1112.111910404568</c:v>
                </c:pt>
                <c:pt idx="28">
                  <c:v>1157.582846285517</c:v>
                </c:pt>
                <c:pt idx="29">
                  <c:v>1203.432392142899</c:v>
                </c:pt>
                <c:pt idx="30">
                  <c:v>1249.642833473697</c:v>
                </c:pt>
                <c:pt idx="31">
                  <c:v>1296.197292965473</c:v>
                </c:pt>
                <c:pt idx="32">
                  <c:v>1343.079693612804</c:v>
                </c:pt>
                <c:pt idx="33">
                  <c:v>1390.27472142438</c:v>
                </c:pt>
                <c:pt idx="34">
                  <c:v>1437.767788317598</c:v>
                </c:pt>
                <c:pt idx="35">
                  <c:v>1485.544995641984</c:v>
                </c:pt>
                <c:pt idx="36">
                  <c:v>1533.593098651415</c:v>
                </c:pt>
                <c:pt idx="37">
                  <c:v>1581.899472150478</c:v>
                </c:pt>
                <c:pt idx="38">
                  <c:v>1630.452077466866</c:v>
                </c:pt>
                <c:pt idx="39">
                  <c:v>1679.239430844925</c:v>
                </c:pt>
                <c:pt idx="40">
                  <c:v>1728.250573311891</c:v>
                </c:pt>
                <c:pt idx="41">
                  <c:v>1777.475042035141</c:v>
                </c:pt>
                <c:pt idx="42">
                  <c:v>1826.902843163794</c:v>
                </c:pt>
                <c:pt idx="43">
                  <c:v>1876.524426129444</c:v>
                </c:pt>
                <c:pt idx="44">
                  <c:v>1926.33065936732</c:v>
                </c:pt>
                <c:pt idx="45">
                  <c:v>1976.312807409649</c:v>
                </c:pt>
                <c:pt idx="46">
                  <c:v>2026.462509296575</c:v>
                </c:pt>
                <c:pt idx="47">
                  <c:v>2076.77175824591</c:v>
                </c:pt>
                <c:pt idx="48">
                  <c:v>2127.232882520863</c:v>
                </c:pt>
                <c:pt idx="49">
                  <c:v>2177.838527434028</c:v>
                </c:pt>
                <c:pt idx="50">
                  <c:v>2228.581638426263</c:v>
                </c:pt>
                <c:pt idx="51">
                  <c:v>2279.455445160075</c:v>
                </c:pt>
                <c:pt idx="52">
                  <c:v>2330.453446568827</c:v>
                </c:pt>
                <c:pt idx="53">
                  <c:v>2381.569396805086</c:v>
                </c:pt>
                <c:pt idx="54">
                  <c:v>2432.797292033747</c:v>
                </c:pt>
                <c:pt idx="55">
                  <c:v>2484.131358018061</c:v>
                </c:pt>
                <c:pt idx="56">
                  <c:v>2535.566038449283</c:v>
                </c:pt>
                <c:pt idx="57">
                  <c:v>2587.095983973236</c:v>
                </c:pt>
                <c:pt idx="58">
                  <c:v>2638.716041869702</c:v>
                </c:pt>
                <c:pt idx="59">
                  <c:v>2690.421246343123</c:v>
                </c:pt>
                <c:pt idx="60">
                  <c:v>2743.711388529742</c:v>
                </c:pt>
                <c:pt idx="61">
                  <c:v>2797.080786999476</c:v>
                </c:pt>
                <c:pt idx="62">
                  <c:v>2850.524596744916</c:v>
                </c:pt>
                <c:pt idx="63">
                  <c:v>2904.038144848457</c:v>
                </c:pt>
                <c:pt idx="64">
                  <c:v>2957.616922315851</c:v>
                </c:pt>
                <c:pt idx="65">
                  <c:v>2959.01910065248</c:v>
                </c:pt>
                <c:pt idx="66">
                  <c:v>2960.421121710501</c:v>
                </c:pt>
                <c:pt idx="67">
                  <c:v>2961.822985665598</c:v>
                </c:pt>
                <c:pt idx="68">
                  <c:v>2963.22469269315</c:v>
                </c:pt>
                <c:pt idx="69">
                  <c:v>2964.626242968237</c:v>
                </c:pt>
                <c:pt idx="70">
                  <c:v>2966.027636665633</c:v>
                </c:pt>
                <c:pt idx="71">
                  <c:v>2967.428873959809</c:v>
                </c:pt>
                <c:pt idx="72">
                  <c:v>2968.829955024938</c:v>
                </c:pt>
                <c:pt idx="73">
                  <c:v>2970.230880034889</c:v>
                </c:pt>
                <c:pt idx="74">
                  <c:v>2971.631649163234</c:v>
                </c:pt>
                <c:pt idx="75">
                  <c:v>2973.032262583242</c:v>
                </c:pt>
                <c:pt idx="76">
                  <c:v>2974.432720467888</c:v>
                </c:pt>
                <c:pt idx="77">
                  <c:v>2975.833022989847</c:v>
                </c:pt>
                <c:pt idx="78">
                  <c:v>2977.233170321496</c:v>
                </c:pt>
                <c:pt idx="79">
                  <c:v>2978.633162634916</c:v>
                </c:pt>
                <c:pt idx="80">
                  <c:v>2980.033000101894</c:v>
                </c:pt>
                <c:pt idx="81">
                  <c:v>2981.43268289392</c:v>
                </c:pt>
                <c:pt idx="82">
                  <c:v>2982.83221118219</c:v>
                </c:pt>
                <c:pt idx="83">
                  <c:v>2984.231585137608</c:v>
                </c:pt>
                <c:pt idx="84">
                  <c:v>2985.630804930784</c:v>
                </c:pt>
                <c:pt idx="85">
                  <c:v>2987.029870732034</c:v>
                </c:pt>
                <c:pt idx="86">
                  <c:v>2988.428782711385</c:v>
                </c:pt>
                <c:pt idx="87">
                  <c:v>2989.827541038573</c:v>
                </c:pt>
                <c:pt idx="88">
                  <c:v>2991.226145883042</c:v>
                </c:pt>
                <c:pt idx="89">
                  <c:v>2992.624597413948</c:v>
                </c:pt>
                <c:pt idx="90">
                  <c:v>2994.022895800158</c:v>
                </c:pt>
                <c:pt idx="91">
                  <c:v>2995.42104121025</c:v>
                </c:pt>
                <c:pt idx="92">
                  <c:v>2996.819033812513</c:v>
                </c:pt>
                <c:pt idx="93">
                  <c:v>2998.216873774956</c:v>
                </c:pt>
                <c:pt idx="94">
                  <c:v>2999.614561265293</c:v>
                </c:pt>
                <c:pt idx="95">
                  <c:v>3001.012096450959</c:v>
                </c:pt>
                <c:pt idx="96">
                  <c:v>3002.4094794991</c:v>
                </c:pt>
                <c:pt idx="97">
                  <c:v>3003.80671057658</c:v>
                </c:pt>
                <c:pt idx="98">
                  <c:v>3005.203789849981</c:v>
                </c:pt>
                <c:pt idx="99">
                  <c:v>3006.600717485598</c:v>
                </c:pt>
                <c:pt idx="100">
                  <c:v>3007.997493649447</c:v>
                </c:pt>
                <c:pt idx="101">
                  <c:v>3009.394118507262</c:v>
                </c:pt>
                <c:pt idx="102">
                  <c:v>3010.790592224496</c:v>
                </c:pt>
                <c:pt idx="103">
                  <c:v>3012.186914966321</c:v>
                </c:pt>
                <c:pt idx="104">
                  <c:v>3013.58308689763</c:v>
                </c:pt>
                <c:pt idx="105">
                  <c:v>3014.979108183038</c:v>
                </c:pt>
                <c:pt idx="106">
                  <c:v>3016.374978986881</c:v>
                </c:pt>
                <c:pt idx="107">
                  <c:v>3017.770699473215</c:v>
                </c:pt>
                <c:pt idx="108">
                  <c:v>3019.166269805824</c:v>
                </c:pt>
                <c:pt idx="109">
                  <c:v>3020.561690148212</c:v>
                </c:pt>
                <c:pt idx="110">
                  <c:v>3021.956960663608</c:v>
                </c:pt>
                <c:pt idx="111">
                  <c:v>3021.956960663608</c:v>
                </c:pt>
                <c:pt idx="112">
                  <c:v>4322.249526490918</c:v>
                </c:pt>
                <c:pt idx="113">
                  <c:v>4322.249526490918</c:v>
                </c:pt>
                <c:pt idx="114">
                  <c:v>4385.166194073735</c:v>
                </c:pt>
                <c:pt idx="115">
                  <c:v>4433.85297785103</c:v>
                </c:pt>
                <c:pt idx="116">
                  <c:v>4482.490629472348</c:v>
                </c:pt>
                <c:pt idx="117">
                  <c:v>4531.080248648125</c:v>
                </c:pt>
                <c:pt idx="118">
                  <c:v>4579.62289637257</c:v>
                </c:pt>
                <c:pt idx="119">
                  <c:v>4628.119596719275</c:v>
                </c:pt>
                <c:pt idx="120">
                  <c:v>4676.571338532729</c:v>
                </c:pt>
                <c:pt idx="121">
                  <c:v>4724.979077022952</c:v>
                </c:pt>
                <c:pt idx="122">
                  <c:v>4773.343735269912</c:v>
                </c:pt>
                <c:pt idx="123">
                  <c:v>4821.666205643807</c:v>
                </c:pt>
                <c:pt idx="124">
                  <c:v>4869.947351146854</c:v>
                </c:pt>
                <c:pt idx="125">
                  <c:v>4918.188006681774</c:v>
                </c:pt>
                <c:pt idx="126">
                  <c:v>4966.388980251767</c:v>
                </c:pt>
                <c:pt idx="127">
                  <c:v>5014.551054096402</c:v>
                </c:pt>
                <c:pt idx="128">
                  <c:v>5062.67498576752</c:v>
                </c:pt>
                <c:pt idx="129">
                  <c:v>5110.76150914894</c:v>
                </c:pt>
                <c:pt idx="130">
                  <c:v>5158.811335423494</c:v>
                </c:pt>
                <c:pt idx="131">
                  <c:v>5206.82515399062</c:v>
                </c:pt>
                <c:pt idx="132">
                  <c:v>5254.803633337562</c:v>
                </c:pt>
                <c:pt idx="133">
                  <c:v>5302.747421866993</c:v>
                </c:pt>
                <c:pt idx="134">
                  <c:v>5350.657148683633</c:v>
                </c:pt>
                <c:pt idx="135">
                  <c:v>5398.533424342336</c:v>
                </c:pt>
                <c:pt idx="136">
                  <c:v>5446.376841559874</c:v>
                </c:pt>
                <c:pt idx="137">
                  <c:v>5494.187975892555</c:v>
                </c:pt>
                <c:pt idx="138">
                  <c:v>5541.96738638161</c:v>
                </c:pt>
                <c:pt idx="139">
                  <c:v>5589.715616168207</c:v>
                </c:pt>
                <c:pt idx="140">
                  <c:v>5637.433193079798</c:v>
                </c:pt>
                <c:pt idx="141">
                  <c:v>5685.12063018938</c:v>
                </c:pt>
                <c:pt idx="142">
                  <c:v>5732.778426349213</c:v>
                </c:pt>
                <c:pt idx="143">
                  <c:v>5780.407066700331</c:v>
                </c:pt>
                <c:pt idx="144">
                  <c:v>5828.00702315922</c:v>
                </c:pt>
                <c:pt idx="145">
                  <c:v>5875.578754882854</c:v>
                </c:pt>
                <c:pt idx="146">
                  <c:v>5923.122708713233</c:v>
                </c:pt>
                <c:pt idx="147">
                  <c:v>5970.639319602551</c:v>
                </c:pt>
                <c:pt idx="148">
                  <c:v>6018.129011019945</c:v>
                </c:pt>
                <c:pt idx="149">
                  <c:v>6065.592195340837</c:v>
                </c:pt>
                <c:pt idx="150">
                  <c:v>6113.02927421971</c:v>
                </c:pt>
                <c:pt idx="151">
                  <c:v>6160.440638947209</c:v>
                </c:pt>
                <c:pt idx="152">
                  <c:v>6207.826670792317</c:v>
                </c:pt>
                <c:pt idx="153">
                  <c:v>6255.187741330381</c:v>
                </c:pt>
                <c:pt idx="154">
                  <c:v>6302.52421275767</c:v>
                </c:pt>
                <c:pt idx="155">
                  <c:v>6349.83643819314</c:v>
                </c:pt>
                <c:pt idx="156">
                  <c:v>6332.990777038432</c:v>
                </c:pt>
                <c:pt idx="157">
                  <c:v>6316.198582328989</c:v>
                </c:pt>
                <c:pt idx="158">
                  <c:v>6299.46250805248</c:v>
                </c:pt>
                <c:pt idx="159">
                  <c:v>6282.785230069675</c:v>
                </c:pt>
                <c:pt idx="160">
                  <c:v>6266.169446778121</c:v>
                </c:pt>
                <c:pt idx="161">
                  <c:v>6249.617879788466</c:v>
                </c:pt>
                <c:pt idx="162">
                  <c:v>6233.133274614012</c:v>
                </c:pt>
                <c:pt idx="163">
                  <c:v>6216.718401374004</c:v>
                </c:pt>
                <c:pt idx="164">
                  <c:v>6200.376055511228</c:v>
                </c:pt>
                <c:pt idx="165">
                  <c:v>6184.109058524526</c:v>
                </c:pt>
                <c:pt idx="166">
                  <c:v>6167.920258716813</c:v>
                </c:pt>
                <c:pt idx="167">
                  <c:v>6151.81253195925</c:v>
                </c:pt>
                <c:pt idx="168">
                  <c:v>6135.78878247222</c:v>
                </c:pt>
                <c:pt idx="169">
                  <c:v>6119.851943623804</c:v>
                </c:pt>
                <c:pt idx="170">
                  <c:v>6104.004978746464</c:v>
                </c:pt>
                <c:pt idx="171">
                  <c:v>6088.250881972665</c:v>
                </c:pt>
                <c:pt idx="172">
                  <c:v>6072.59267909023</c:v>
                </c:pt>
                <c:pt idx="173">
                  <c:v>6057.033428418192</c:v>
                </c:pt>
                <c:pt idx="174">
                  <c:v>6041.576221704017</c:v>
                </c:pt>
                <c:pt idx="175">
                  <c:v>6026.224185043026</c:v>
                </c:pt>
                <c:pt idx="176">
                  <c:v>6010.980479820938</c:v>
                </c:pt>
                <c:pt idx="177">
                  <c:v>5995.84830368046</c:v>
                </c:pt>
                <c:pt idx="178">
                  <c:v>5980.830891512898</c:v>
                </c:pt>
                <c:pt idx="179">
                  <c:v>5965.931516475807</c:v>
                </c:pt>
                <c:pt idx="180">
                  <c:v>5951.153491037714</c:v>
                </c:pt>
                <c:pt idx="181">
                  <c:v>5936.50016805104</c:v>
                </c:pt>
                <c:pt idx="182">
                  <c:v>5921.974941854318</c:v>
                </c:pt>
                <c:pt idx="183">
                  <c:v>5907.581249404943</c:v>
                </c:pt>
                <c:pt idx="184">
                  <c:v>5893.322571443633</c:v>
                </c:pt>
                <c:pt idx="185">
                  <c:v>5879.20243369193</c:v>
                </c:pt>
                <c:pt idx="186">
                  <c:v>5865.224408084043</c:v>
                </c:pt>
                <c:pt idx="187">
                  <c:v>5851.392114034445</c:v>
                </c:pt>
                <c:pt idx="188">
                  <c:v>5837.709219742673</c:v>
                </c:pt>
                <c:pt idx="189">
                  <c:v>5824.179443536806</c:v>
                </c:pt>
                <c:pt idx="190">
                  <c:v>5810.806555257235</c:v>
                </c:pt>
                <c:pt idx="191">
                  <c:v>5797.594377682331</c:v>
                </c:pt>
                <c:pt idx="192">
                  <c:v>5784.546787997715</c:v>
                </c:pt>
                <c:pt idx="193">
                  <c:v>5771.667719310911</c:v>
                </c:pt>
                <c:pt idx="194">
                  <c:v>5758.961162213235</c:v>
                </c:pt>
                <c:pt idx="195">
                  <c:v>5746.431166390827</c:v>
                </c:pt>
                <c:pt idx="196">
                  <c:v>5734.081842286848</c:v>
                </c:pt>
                <c:pt idx="197">
                  <c:v>5721.91736281693</c:v>
                </c:pt>
                <c:pt idx="198">
                  <c:v>5709.941965140058</c:v>
                </c:pt>
                <c:pt idx="199">
                  <c:v>5698.15995248716</c:v>
                </c:pt>
                <c:pt idx="200">
                  <c:v>5686.575696049772</c:v>
                </c:pt>
                <c:pt idx="201">
                  <c:v>5675.193636931266</c:v>
                </c:pt>
                <c:pt idx="202">
                  <c:v>5664.018288163198</c:v>
                </c:pt>
                <c:pt idx="203">
                  <c:v>5732.746386359092</c:v>
                </c:pt>
                <c:pt idx="204">
                  <c:v>5801.421543950126</c:v>
                </c:pt>
                <c:pt idx="205">
                  <c:v>5870.044866070266</c:v>
                </c:pt>
                <c:pt idx="206">
                  <c:v>5938.617415273353</c:v>
                </c:pt>
                <c:pt idx="207">
                  <c:v>6007.140213623768</c:v>
                </c:pt>
                <c:pt idx="208">
                  <c:v>6075.61424465935</c:v>
                </c:pt>
                <c:pt idx="209">
                  <c:v>6144.040455235853</c:v>
                </c:pt>
                <c:pt idx="210">
                  <c:v>6212.419757261493</c:v>
                </c:pt>
                <c:pt idx="211">
                  <c:v>6280.753029329376</c:v>
                </c:pt>
                <c:pt idx="212">
                  <c:v>6349.041118254997</c:v>
                </c:pt>
                <c:pt idx="213">
                  <c:v>6417.284840525384</c:v>
                </c:pt>
              </c:numCache>
            </c:numRef>
          </c:yVal>
          <c:smooth val="0"/>
        </c:ser>
        <c:ser>
          <c:idx val="1"/>
          <c:order val="1"/>
          <c:tx>
            <c:v>Hydrostatic Head</c:v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xVal>
            <c:numRef>
              <c:f>Circulation!$A$9:$A$222</c:f>
              <c:numCache>
                <c:formatCode>General</c:formatCode>
                <c:ptCount val="214"/>
                <c:pt idx="0">
                  <c:v>0.0</c:v>
                </c:pt>
                <c:pt idx="11">
                  <c:v>15</c:v>
                </c:pt>
                <c:pt idx="12">
                  <c:v>299.9999999999999</c:v>
                </c:pt>
                <c:pt idx="13">
                  <c:v>449.9999999999999</c:v>
                </c:pt>
                <c:pt idx="14">
                  <c:v>599.9999999999999</c:v>
                </c:pt>
                <c:pt idx="15">
                  <c:v>749.9999999999999</c:v>
                </c:pt>
                <c:pt idx="16">
                  <c:v>899.9999999999999</c:v>
                </c:pt>
                <c:pt idx="17">
                  <c:v>1050.0</c:v>
                </c:pt>
                <c:pt idx="18">
                  <c:v>12</c:v>
                </c:pt>
                <c:pt idx="19">
                  <c:v>135</c:v>
                </c:pt>
                <c:pt idx="20">
                  <c:v>15</c:v>
                </c:pt>
                <c:pt idx="21">
                  <c:v>165</c:v>
                </c:pt>
                <c:pt idx="22">
                  <c:v>18</c:v>
                </c:pt>
                <c:pt idx="23">
                  <c:v>195</c:v>
                </c:pt>
                <c:pt idx="24">
                  <c:v>2100.0</c:v>
                </c:pt>
                <c:pt idx="25">
                  <c:v>2250.0</c:v>
                </c:pt>
                <c:pt idx="26">
                  <c:v>24</c:v>
                </c:pt>
                <c:pt idx="27">
                  <c:v>255</c:v>
                </c:pt>
                <c:pt idx="28">
                  <c:v>27</c:v>
                </c:pt>
                <c:pt idx="29">
                  <c:v>285</c:v>
                </c:pt>
                <c:pt idx="30">
                  <c:v>3</c:v>
                </c:pt>
                <c:pt idx="31">
                  <c:v>315</c:v>
                </c:pt>
                <c:pt idx="32">
                  <c:v>33</c:v>
                </c:pt>
                <c:pt idx="33">
                  <c:v>345</c:v>
                </c:pt>
                <c:pt idx="34">
                  <c:v>36</c:v>
                </c:pt>
                <c:pt idx="35">
                  <c:v>375</c:v>
                </c:pt>
                <c:pt idx="36">
                  <c:v>39</c:v>
                </c:pt>
                <c:pt idx="37">
                  <c:v>405</c:v>
                </c:pt>
                <c:pt idx="38">
                  <c:v>4200.0</c:v>
                </c:pt>
                <c:pt idx="39">
                  <c:v>435</c:v>
                </c:pt>
                <c:pt idx="40">
                  <c:v>4500.0</c:v>
                </c:pt>
                <c:pt idx="41">
                  <c:v>465</c:v>
                </c:pt>
                <c:pt idx="42">
                  <c:v>48</c:v>
                </c:pt>
                <c:pt idx="43">
                  <c:v>4950.0</c:v>
                </c:pt>
                <c:pt idx="44">
                  <c:v>51</c:v>
                </c:pt>
                <c:pt idx="45">
                  <c:v>5250.0</c:v>
                </c:pt>
                <c:pt idx="46">
                  <c:v>54</c:v>
                </c:pt>
                <c:pt idx="47">
                  <c:v>555</c:v>
                </c:pt>
                <c:pt idx="48">
                  <c:v>57</c:v>
                </c:pt>
                <c:pt idx="49">
                  <c:v>585</c:v>
                </c:pt>
                <c:pt idx="50">
                  <c:v>6</c:v>
                </c:pt>
                <c:pt idx="51">
                  <c:v>6150.0</c:v>
                </c:pt>
                <c:pt idx="52">
                  <c:v>63</c:v>
                </c:pt>
                <c:pt idx="53">
                  <c:v>6450.0</c:v>
                </c:pt>
                <c:pt idx="54">
                  <c:v>66</c:v>
                </c:pt>
                <c:pt idx="55">
                  <c:v>6750.0</c:v>
                </c:pt>
                <c:pt idx="56">
                  <c:v>69</c:v>
                </c:pt>
                <c:pt idx="57">
                  <c:v>7050.0</c:v>
                </c:pt>
                <c:pt idx="58">
                  <c:v>72</c:v>
                </c:pt>
                <c:pt idx="59">
                  <c:v>7350.0</c:v>
                </c:pt>
                <c:pt idx="60">
                  <c:v>75</c:v>
                </c:pt>
                <c:pt idx="61">
                  <c:v>7649.999999999998</c:v>
                </c:pt>
                <c:pt idx="62">
                  <c:v>78</c:v>
                </c:pt>
                <c:pt idx="63">
                  <c:v>795</c:v>
                </c:pt>
                <c:pt idx="64">
                  <c:v>81</c:v>
                </c:pt>
                <c:pt idx="65">
                  <c:v>8249.999999999998</c:v>
                </c:pt>
                <c:pt idx="66">
                  <c:v>8400.0</c:v>
                </c:pt>
                <c:pt idx="67">
                  <c:v>8549.999999999998</c:v>
                </c:pt>
                <c:pt idx="68">
                  <c:v>8699.999999999998</c:v>
                </c:pt>
                <c:pt idx="69">
                  <c:v>8850.0</c:v>
                </c:pt>
                <c:pt idx="70">
                  <c:v>9000.0</c:v>
                </c:pt>
                <c:pt idx="71">
                  <c:v>9149.999999999998</c:v>
                </c:pt>
                <c:pt idx="72">
                  <c:v>9299.999999999998</c:v>
                </c:pt>
                <c:pt idx="73">
                  <c:v>9450.0</c:v>
                </c:pt>
                <c:pt idx="74">
                  <c:v>9599.999999999998</c:v>
                </c:pt>
                <c:pt idx="75">
                  <c:v>9750.0</c:v>
                </c:pt>
                <c:pt idx="76">
                  <c:v>9900.0</c:v>
                </c:pt>
                <c:pt idx="77">
                  <c:v>10050.0</c:v>
                </c:pt>
                <c:pt idx="78">
                  <c:v>102</c:v>
                </c:pt>
                <c:pt idx="79">
                  <c:v>1035</c:v>
                </c:pt>
                <c:pt idx="80">
                  <c:v>10500.0</c:v>
                </c:pt>
                <c:pt idx="81">
                  <c:v>10650.0</c:v>
                </c:pt>
                <c:pt idx="82">
                  <c:v>108</c:v>
                </c:pt>
                <c:pt idx="83">
                  <c:v>1095</c:v>
                </c:pt>
                <c:pt idx="84">
                  <c:v>111</c:v>
                </c:pt>
                <c:pt idx="85">
                  <c:v>11250.0</c:v>
                </c:pt>
                <c:pt idx="86">
                  <c:v>114</c:v>
                </c:pt>
                <c:pt idx="87">
                  <c:v>1155</c:v>
                </c:pt>
                <c:pt idx="88">
                  <c:v>117</c:v>
                </c:pt>
                <c:pt idx="89">
                  <c:v>1185</c:v>
                </c:pt>
                <c:pt idx="90">
                  <c:v>12</c:v>
                </c:pt>
                <c:pt idx="91">
                  <c:v>12150.0</c:v>
                </c:pt>
                <c:pt idx="92">
                  <c:v>12300.0</c:v>
                </c:pt>
                <c:pt idx="93">
                  <c:v>1245</c:v>
                </c:pt>
                <c:pt idx="94">
                  <c:v>126</c:v>
                </c:pt>
                <c:pt idx="95">
                  <c:v>12750.0</c:v>
                </c:pt>
                <c:pt idx="96">
                  <c:v>12900.0</c:v>
                </c:pt>
                <c:pt idx="97">
                  <c:v>1305</c:v>
                </c:pt>
                <c:pt idx="98">
                  <c:v>132</c:v>
                </c:pt>
                <c:pt idx="99">
                  <c:v>1335</c:v>
                </c:pt>
                <c:pt idx="100">
                  <c:v>13500.0</c:v>
                </c:pt>
                <c:pt idx="101">
                  <c:v>1365</c:v>
                </c:pt>
                <c:pt idx="102">
                  <c:v>138</c:v>
                </c:pt>
                <c:pt idx="103">
                  <c:v>1395</c:v>
                </c:pt>
                <c:pt idx="104">
                  <c:v>14100.0</c:v>
                </c:pt>
                <c:pt idx="105">
                  <c:v>1425</c:v>
                </c:pt>
                <c:pt idx="106">
                  <c:v>144</c:v>
                </c:pt>
                <c:pt idx="107">
                  <c:v>14550.0</c:v>
                </c:pt>
                <c:pt idx="108">
                  <c:v>14700.0</c:v>
                </c:pt>
                <c:pt idx="109">
                  <c:v>1485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1483</c:v>
                </c:pt>
                <c:pt idx="115">
                  <c:v>1466</c:v>
                </c:pt>
                <c:pt idx="116">
                  <c:v>14490.0</c:v>
                </c:pt>
                <c:pt idx="117">
                  <c:v>1432</c:v>
                </c:pt>
                <c:pt idx="118">
                  <c:v>1415</c:v>
                </c:pt>
                <c:pt idx="119">
                  <c:v>1398</c:v>
                </c:pt>
                <c:pt idx="120">
                  <c:v>1381</c:v>
                </c:pt>
                <c:pt idx="121">
                  <c:v>1364</c:v>
                </c:pt>
                <c:pt idx="122">
                  <c:v>13470.0</c:v>
                </c:pt>
                <c:pt idx="123">
                  <c:v>133</c:v>
                </c:pt>
                <c:pt idx="124">
                  <c:v>1313</c:v>
                </c:pt>
                <c:pt idx="125">
                  <c:v>1296</c:v>
                </c:pt>
                <c:pt idx="126">
                  <c:v>1279</c:v>
                </c:pt>
                <c:pt idx="127">
                  <c:v>12620.0</c:v>
                </c:pt>
                <c:pt idx="128">
                  <c:v>12450.0</c:v>
                </c:pt>
                <c:pt idx="129">
                  <c:v>1228</c:v>
                </c:pt>
                <c:pt idx="130">
                  <c:v>1211</c:v>
                </c:pt>
                <c:pt idx="131">
                  <c:v>1194</c:v>
                </c:pt>
                <c:pt idx="132">
                  <c:v>1177</c:v>
                </c:pt>
                <c:pt idx="133">
                  <c:v>11600.0</c:v>
                </c:pt>
                <c:pt idx="134">
                  <c:v>11430.0</c:v>
                </c:pt>
                <c:pt idx="135">
                  <c:v>1126</c:v>
                </c:pt>
                <c:pt idx="136">
                  <c:v>1109</c:v>
                </c:pt>
                <c:pt idx="137">
                  <c:v>1092</c:v>
                </c:pt>
                <c:pt idx="138">
                  <c:v>10750.0</c:v>
                </c:pt>
                <c:pt idx="139">
                  <c:v>1058</c:v>
                </c:pt>
                <c:pt idx="140">
                  <c:v>10410.0</c:v>
                </c:pt>
                <c:pt idx="141">
                  <c:v>1024</c:v>
                </c:pt>
                <c:pt idx="142">
                  <c:v>1007</c:v>
                </c:pt>
                <c:pt idx="143">
                  <c:v>9899.999999999998</c:v>
                </c:pt>
                <c:pt idx="144">
                  <c:v>9730.0</c:v>
                </c:pt>
                <c:pt idx="145">
                  <c:v>9559.999999999998</c:v>
                </c:pt>
                <c:pt idx="146">
                  <c:v>9390.0</c:v>
                </c:pt>
                <c:pt idx="147">
                  <c:v>9219.999999999998</c:v>
                </c:pt>
                <c:pt idx="148">
                  <c:v>9049.999999999998</c:v>
                </c:pt>
                <c:pt idx="149">
                  <c:v>8879.999999999998</c:v>
                </c:pt>
                <c:pt idx="150">
                  <c:v>8710.0</c:v>
                </c:pt>
                <c:pt idx="151">
                  <c:v>8539.999999999998</c:v>
                </c:pt>
                <c:pt idx="152">
                  <c:v>8369.999999999998</c:v>
                </c:pt>
                <c:pt idx="153">
                  <c:v>8199.999999999998</c:v>
                </c:pt>
                <c:pt idx="154">
                  <c:v>803</c:v>
                </c:pt>
                <c:pt idx="155">
                  <c:v>7859.999999999998</c:v>
                </c:pt>
                <c:pt idx="156">
                  <c:v>769</c:v>
                </c:pt>
                <c:pt idx="157">
                  <c:v>752</c:v>
                </c:pt>
                <c:pt idx="158">
                  <c:v>7349.999999999998</c:v>
                </c:pt>
                <c:pt idx="159">
                  <c:v>7179.999999999998</c:v>
                </c:pt>
                <c:pt idx="160">
                  <c:v>701</c:v>
                </c:pt>
                <c:pt idx="161">
                  <c:v>6839.999999999998</c:v>
                </c:pt>
                <c:pt idx="162">
                  <c:v>667</c:v>
                </c:pt>
                <c:pt idx="163">
                  <c:v>65</c:v>
                </c:pt>
                <c:pt idx="164">
                  <c:v>6329.999999999998</c:v>
                </c:pt>
                <c:pt idx="165">
                  <c:v>6159.999999999998</c:v>
                </c:pt>
                <c:pt idx="166">
                  <c:v>599</c:v>
                </c:pt>
                <c:pt idx="167">
                  <c:v>5819.999999999998</c:v>
                </c:pt>
                <c:pt idx="168">
                  <c:v>5649.999999999998</c:v>
                </c:pt>
                <c:pt idx="169">
                  <c:v>548</c:v>
                </c:pt>
                <c:pt idx="170">
                  <c:v>5310.0</c:v>
                </c:pt>
                <c:pt idx="171">
                  <c:v>5139.999999999998</c:v>
                </c:pt>
                <c:pt idx="172">
                  <c:v>497</c:v>
                </c:pt>
                <c:pt idx="173">
                  <c:v>4800.0</c:v>
                </c:pt>
                <c:pt idx="174">
                  <c:v>4629.999999999998</c:v>
                </c:pt>
                <c:pt idx="175">
                  <c:v>446</c:v>
                </c:pt>
                <c:pt idx="176">
                  <c:v>4290.0</c:v>
                </c:pt>
                <c:pt idx="177">
                  <c:v>412</c:v>
                </c:pt>
                <c:pt idx="178">
                  <c:v>395</c:v>
                </c:pt>
                <c:pt idx="179">
                  <c:v>3779.999999999999</c:v>
                </c:pt>
                <c:pt idx="180">
                  <c:v>3609.999999999998</c:v>
                </c:pt>
                <c:pt idx="181">
                  <c:v>344</c:v>
                </c:pt>
                <c:pt idx="182">
                  <c:v>3270.0</c:v>
                </c:pt>
                <c:pt idx="183">
                  <c:v>31</c:v>
                </c:pt>
                <c:pt idx="184">
                  <c:v>293</c:v>
                </c:pt>
                <c:pt idx="185">
                  <c:v>2759.999999999999</c:v>
                </c:pt>
                <c:pt idx="186">
                  <c:v>2589.999999999998</c:v>
                </c:pt>
                <c:pt idx="187">
                  <c:v>242</c:v>
                </c:pt>
                <c:pt idx="188">
                  <c:v>2250.0</c:v>
                </c:pt>
                <c:pt idx="189">
                  <c:v>208</c:v>
                </c:pt>
                <c:pt idx="190">
                  <c:v>1909.999999999999</c:v>
                </c:pt>
                <c:pt idx="191">
                  <c:v>1739.999999999998</c:v>
                </c:pt>
                <c:pt idx="192">
                  <c:v>1569.999999999998</c:v>
                </c:pt>
                <c:pt idx="193">
                  <c:v>1400.0</c:v>
                </c:pt>
                <c:pt idx="194">
                  <c:v>1230.0</c:v>
                </c:pt>
                <c:pt idx="195">
                  <c:v>1059.999999999999</c:v>
                </c:pt>
                <c:pt idx="196">
                  <c:v>889.999999999999</c:v>
                </c:pt>
                <c:pt idx="197">
                  <c:v>719.9999999999984</c:v>
                </c:pt>
                <c:pt idx="198">
                  <c:v>549.999999999998</c:v>
                </c:pt>
                <c:pt idx="199">
                  <c:v>380.0000000000004</c:v>
                </c:pt>
                <c:pt idx="200">
                  <c:v>21</c:v>
                </c:pt>
                <c:pt idx="201">
                  <c:v>39.99999999999942</c:v>
                </c:pt>
                <c:pt idx="202">
                  <c:v>-130.0000000000011</c:v>
                </c:pt>
                <c:pt idx="203">
                  <c:v>-300.0000000000016</c:v>
                </c:pt>
                <c:pt idx="204">
                  <c:v>-470.0000000000021</c:v>
                </c:pt>
                <c:pt idx="205">
                  <c:v>-639.9999999999995</c:v>
                </c:pt>
                <c:pt idx="206">
                  <c:v>-810.0000000000001</c:v>
                </c:pt>
                <c:pt idx="207">
                  <c:v>-980.0000000000006</c:v>
                </c:pt>
                <c:pt idx="208">
                  <c:v>-1150.000000000001</c:v>
                </c:pt>
                <c:pt idx="209">
                  <c:v>-1320.000000000002</c:v>
                </c:pt>
                <c:pt idx="210">
                  <c:v>-1490.000000000002</c:v>
                </c:pt>
                <c:pt idx="211">
                  <c:v>-166</c:v>
                </c:pt>
                <c:pt idx="212">
                  <c:v>-1830.0</c:v>
                </c:pt>
                <c:pt idx="213">
                  <c:v>-2000.000000000001</c:v>
                </c:pt>
              </c:numCache>
            </c:numRef>
          </c:xVal>
          <c:yVal>
            <c:numRef>
              <c:f>Circulation!$AH$9:$AH$119</c:f>
              <c:numCache>
                <c:formatCode>0</c:formatCode>
                <c:ptCount val="111"/>
                <c:pt idx="0">
                  <c:v>0.0</c:v>
                </c:pt>
                <c:pt idx="1">
                  <c:v>1.421</c:v>
                </c:pt>
                <c:pt idx="2">
                  <c:v>2.842</c:v>
                </c:pt>
                <c:pt idx="3">
                  <c:v>4.263000000000001</c:v>
                </c:pt>
                <c:pt idx="4">
                  <c:v>5.684000000000001</c:v>
                </c:pt>
                <c:pt idx="5">
                  <c:v>7.105000000000001</c:v>
                </c:pt>
                <c:pt idx="6">
                  <c:v>8.526000000000001</c:v>
                </c:pt>
                <c:pt idx="7">
                  <c:v>9.947000000000001</c:v>
                </c:pt>
                <c:pt idx="8">
                  <c:v>11.368</c:v>
                </c:pt>
                <c:pt idx="9">
                  <c:v>12.789</c:v>
                </c:pt>
                <c:pt idx="10">
                  <c:v>14.21</c:v>
                </c:pt>
                <c:pt idx="11">
                  <c:v>64.98475609756098</c:v>
                </c:pt>
                <c:pt idx="12">
                  <c:v>129.969512195122</c:v>
                </c:pt>
                <c:pt idx="13">
                  <c:v>194.954268292683</c:v>
                </c:pt>
                <c:pt idx="14">
                  <c:v>259.939024390244</c:v>
                </c:pt>
                <c:pt idx="15">
                  <c:v>324.9237804878048</c:v>
                </c:pt>
                <c:pt idx="16">
                  <c:v>389.9085365853659</c:v>
                </c:pt>
                <c:pt idx="17">
                  <c:v>454.8932926829269</c:v>
                </c:pt>
                <c:pt idx="18">
                  <c:v>519.8780487804878</c:v>
                </c:pt>
                <c:pt idx="19">
                  <c:v>584.8628048780489</c:v>
                </c:pt>
                <c:pt idx="20">
                  <c:v>649.8475609756097</c:v>
                </c:pt>
                <c:pt idx="21">
                  <c:v>714.8323170731709</c:v>
                </c:pt>
                <c:pt idx="22">
                  <c:v>779.8170731707319</c:v>
                </c:pt>
                <c:pt idx="23">
                  <c:v>844.8018292682927</c:v>
                </c:pt>
                <c:pt idx="24">
                  <c:v>909.7865853658537</c:v>
                </c:pt>
                <c:pt idx="25">
                  <c:v>974.7713414634147</c:v>
                </c:pt>
                <c:pt idx="26">
                  <c:v>1039.756097560976</c:v>
                </c:pt>
                <c:pt idx="27">
                  <c:v>1104.740853658537</c:v>
                </c:pt>
                <c:pt idx="28">
                  <c:v>1169.725609756098</c:v>
                </c:pt>
                <c:pt idx="29">
                  <c:v>1234.710365853659</c:v>
                </c:pt>
                <c:pt idx="30">
                  <c:v>1299.695121951219</c:v>
                </c:pt>
                <c:pt idx="31">
                  <c:v>1364.679878048781</c:v>
                </c:pt>
                <c:pt idx="32">
                  <c:v>1429.664634146342</c:v>
                </c:pt>
                <c:pt idx="33">
                  <c:v>1494.649390243902</c:v>
                </c:pt>
                <c:pt idx="34">
                  <c:v>1559.634146341464</c:v>
                </c:pt>
                <c:pt idx="35">
                  <c:v>1624.618902439024</c:v>
                </c:pt>
                <c:pt idx="36">
                  <c:v>1689.603658536585</c:v>
                </c:pt>
                <c:pt idx="37">
                  <c:v>1754.588414634146</c:v>
                </c:pt>
                <c:pt idx="38">
                  <c:v>1819.573170731707</c:v>
                </c:pt>
                <c:pt idx="39">
                  <c:v>1884.557926829268</c:v>
                </c:pt>
                <c:pt idx="40">
                  <c:v>1949.542682926829</c:v>
                </c:pt>
                <c:pt idx="41">
                  <c:v>2014.52743902439</c:v>
                </c:pt>
                <c:pt idx="42">
                  <c:v>2079.512195121951</c:v>
                </c:pt>
                <c:pt idx="43">
                  <c:v>2144.496951219513</c:v>
                </c:pt>
                <c:pt idx="44">
                  <c:v>2209.481707317073</c:v>
                </c:pt>
                <c:pt idx="45">
                  <c:v>2274.466463414635</c:v>
                </c:pt>
                <c:pt idx="46">
                  <c:v>2339.451219512195</c:v>
                </c:pt>
                <c:pt idx="47">
                  <c:v>2404.435975609756</c:v>
                </c:pt>
                <c:pt idx="48">
                  <c:v>2469.420731707317</c:v>
                </c:pt>
                <c:pt idx="49">
                  <c:v>2534.405487804878</c:v>
                </c:pt>
                <c:pt idx="50">
                  <c:v>2599.390243902438</c:v>
                </c:pt>
                <c:pt idx="51">
                  <c:v>2664.375</c:v>
                </c:pt>
                <c:pt idx="52">
                  <c:v>2729.359756097561</c:v>
                </c:pt>
                <c:pt idx="53">
                  <c:v>2794.344512195122</c:v>
                </c:pt>
                <c:pt idx="54">
                  <c:v>2859.329268292684</c:v>
                </c:pt>
                <c:pt idx="55">
                  <c:v>2924.314024390244</c:v>
                </c:pt>
                <c:pt idx="56">
                  <c:v>2989.298780487805</c:v>
                </c:pt>
                <c:pt idx="57">
                  <c:v>3054.283536585366</c:v>
                </c:pt>
                <c:pt idx="58">
                  <c:v>3119.268292682927</c:v>
                </c:pt>
                <c:pt idx="59">
                  <c:v>3184.253048780488</c:v>
                </c:pt>
                <c:pt idx="60">
                  <c:v>3249.237804878049</c:v>
                </c:pt>
                <c:pt idx="61">
                  <c:v>3314.22256097561</c:v>
                </c:pt>
                <c:pt idx="62">
                  <c:v>3379.207317073171</c:v>
                </c:pt>
                <c:pt idx="63">
                  <c:v>3444.192073170732</c:v>
                </c:pt>
                <c:pt idx="64">
                  <c:v>3464.797317890888</c:v>
                </c:pt>
                <c:pt idx="65">
                  <c:v>3464.797317890888</c:v>
                </c:pt>
                <c:pt idx="66">
                  <c:v>3464.797317890888</c:v>
                </c:pt>
                <c:pt idx="67">
                  <c:v>3464.797317890888</c:v>
                </c:pt>
                <c:pt idx="68">
                  <c:v>3464.797317890888</c:v>
                </c:pt>
                <c:pt idx="69">
                  <c:v>3464.797317890888</c:v>
                </c:pt>
                <c:pt idx="70">
                  <c:v>3464.797317890888</c:v>
                </c:pt>
                <c:pt idx="71">
                  <c:v>3464.797317890888</c:v>
                </c:pt>
                <c:pt idx="72">
                  <c:v>3464.797317890888</c:v>
                </c:pt>
                <c:pt idx="73">
                  <c:v>3464.797317890888</c:v>
                </c:pt>
                <c:pt idx="74">
                  <c:v>3464.797317890888</c:v>
                </c:pt>
                <c:pt idx="75">
                  <c:v>3464.797317890888</c:v>
                </c:pt>
                <c:pt idx="76">
                  <c:v>3464.797317890888</c:v>
                </c:pt>
                <c:pt idx="77">
                  <c:v>3464.797317890888</c:v>
                </c:pt>
                <c:pt idx="78">
                  <c:v>3464.797317890888</c:v>
                </c:pt>
                <c:pt idx="79">
                  <c:v>3464.797317890888</c:v>
                </c:pt>
                <c:pt idx="80">
                  <c:v>3464.797317890888</c:v>
                </c:pt>
                <c:pt idx="81">
                  <c:v>3464.797317890888</c:v>
                </c:pt>
                <c:pt idx="82">
                  <c:v>3464.797317890888</c:v>
                </c:pt>
                <c:pt idx="83">
                  <c:v>3464.797317890888</c:v>
                </c:pt>
                <c:pt idx="84">
                  <c:v>3464.797317890888</c:v>
                </c:pt>
                <c:pt idx="85">
                  <c:v>3464.797317890888</c:v>
                </c:pt>
                <c:pt idx="86">
                  <c:v>3464.797317890888</c:v>
                </c:pt>
                <c:pt idx="87">
                  <c:v>3464.797317890888</c:v>
                </c:pt>
                <c:pt idx="88">
                  <c:v>3464.797317890888</c:v>
                </c:pt>
                <c:pt idx="89">
                  <c:v>3464.797317890888</c:v>
                </c:pt>
                <c:pt idx="90">
                  <c:v>3464.797317890888</c:v>
                </c:pt>
                <c:pt idx="91">
                  <c:v>3464.797317890888</c:v>
                </c:pt>
                <c:pt idx="92">
                  <c:v>3464.797317890888</c:v>
                </c:pt>
                <c:pt idx="93">
                  <c:v>3464.797317890888</c:v>
                </c:pt>
                <c:pt idx="94">
                  <c:v>3464.797317890888</c:v>
                </c:pt>
                <c:pt idx="95">
                  <c:v>3464.797317890888</c:v>
                </c:pt>
                <c:pt idx="96">
                  <c:v>3464.797317890888</c:v>
                </c:pt>
                <c:pt idx="97">
                  <c:v>3464.797317890888</c:v>
                </c:pt>
                <c:pt idx="98">
                  <c:v>3464.797317890888</c:v>
                </c:pt>
                <c:pt idx="99">
                  <c:v>3464.797317890888</c:v>
                </c:pt>
                <c:pt idx="100">
                  <c:v>3464.797317890888</c:v>
                </c:pt>
                <c:pt idx="101">
                  <c:v>3464.797317890888</c:v>
                </c:pt>
                <c:pt idx="102">
                  <c:v>3464.797317890888</c:v>
                </c:pt>
                <c:pt idx="103">
                  <c:v>3464.797317890888</c:v>
                </c:pt>
                <c:pt idx="104">
                  <c:v>3464.797317890888</c:v>
                </c:pt>
                <c:pt idx="105">
                  <c:v>3464.797317890888</c:v>
                </c:pt>
                <c:pt idx="106">
                  <c:v>3464.797317890888</c:v>
                </c:pt>
                <c:pt idx="107">
                  <c:v>3464.797317890888</c:v>
                </c:pt>
                <c:pt idx="108">
                  <c:v>3464.797317890888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Circulation!$AJ$5</c:f>
              <c:strCache>
                <c:ptCount val="1"/>
                <c:pt idx="0">
                  <c:v>Surface Tension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Circulation!$AJ$9:$AJ$119</c:f>
              <c:numCache>
                <c:formatCode>0.000</c:formatCode>
                <c:ptCount val="111"/>
                <c:pt idx="0">
                  <c:v>0.0784433333333333</c:v>
                </c:pt>
                <c:pt idx="1">
                  <c:v>0.0784313066666667</c:v>
                </c:pt>
                <c:pt idx="2">
                  <c:v>0.07841928</c:v>
                </c:pt>
                <c:pt idx="3">
                  <c:v>0.0784072533333333</c:v>
                </c:pt>
                <c:pt idx="4">
                  <c:v>0.0783952266666667</c:v>
                </c:pt>
                <c:pt idx="5">
                  <c:v>0.0783832</c:v>
                </c:pt>
                <c:pt idx="6">
                  <c:v>0.0783711733333333</c:v>
                </c:pt>
                <c:pt idx="7">
                  <c:v>0.0783591466666667</c:v>
                </c:pt>
                <c:pt idx="8">
                  <c:v>0.07834712</c:v>
                </c:pt>
                <c:pt idx="9">
                  <c:v>0.0783350933333333</c:v>
                </c:pt>
                <c:pt idx="10">
                  <c:v>0.0783230666666667</c:v>
                </c:pt>
                <c:pt idx="11">
                  <c:v>0.0778933333333333</c:v>
                </c:pt>
                <c:pt idx="12">
                  <c:v>0.0773433333333333</c:v>
                </c:pt>
                <c:pt idx="13">
                  <c:v>0.0767933333333333</c:v>
                </c:pt>
                <c:pt idx="14">
                  <c:v>0.0762433333333333</c:v>
                </c:pt>
                <c:pt idx="15">
                  <c:v>0.0756933333333333</c:v>
                </c:pt>
                <c:pt idx="16">
                  <c:v>0.0751433333333333</c:v>
                </c:pt>
                <c:pt idx="17">
                  <c:v>0.0745933333333333</c:v>
                </c:pt>
                <c:pt idx="18">
                  <c:v>0.0740433333333333</c:v>
                </c:pt>
                <c:pt idx="19">
                  <c:v>0.0734933333333333</c:v>
                </c:pt>
                <c:pt idx="20">
                  <c:v>0.0729433333333333</c:v>
                </c:pt>
                <c:pt idx="21">
                  <c:v>0.0723933333333333</c:v>
                </c:pt>
                <c:pt idx="22">
                  <c:v>0.0718433333333333</c:v>
                </c:pt>
                <c:pt idx="23">
                  <c:v>0.0712933333333333</c:v>
                </c:pt>
                <c:pt idx="24">
                  <c:v>0.0707433333333333</c:v>
                </c:pt>
                <c:pt idx="25">
                  <c:v>0.0701933333333333</c:v>
                </c:pt>
                <c:pt idx="26">
                  <c:v>0.0696433333333333</c:v>
                </c:pt>
                <c:pt idx="27">
                  <c:v>0.0690933333333333</c:v>
                </c:pt>
                <c:pt idx="28">
                  <c:v>0.0685433333333333</c:v>
                </c:pt>
                <c:pt idx="29">
                  <c:v>0.0679933333333333</c:v>
                </c:pt>
                <c:pt idx="30">
                  <c:v>0.0674433333333333</c:v>
                </c:pt>
                <c:pt idx="31">
                  <c:v>0.0668933333333333</c:v>
                </c:pt>
                <c:pt idx="32">
                  <c:v>0.0663433333333333</c:v>
                </c:pt>
                <c:pt idx="33">
                  <c:v>0.0657933333333333</c:v>
                </c:pt>
                <c:pt idx="34">
                  <c:v>0.0652433333333333</c:v>
                </c:pt>
                <c:pt idx="35">
                  <c:v>0.0646933333333333</c:v>
                </c:pt>
                <c:pt idx="36">
                  <c:v>0.0641433333333333</c:v>
                </c:pt>
                <c:pt idx="37">
                  <c:v>0.0635933333333333</c:v>
                </c:pt>
                <c:pt idx="38">
                  <c:v>0.0630433333333333</c:v>
                </c:pt>
                <c:pt idx="39">
                  <c:v>0.0624933333333333</c:v>
                </c:pt>
                <c:pt idx="40">
                  <c:v>0.0619433333333333</c:v>
                </c:pt>
                <c:pt idx="41">
                  <c:v>0.0613933333333333</c:v>
                </c:pt>
                <c:pt idx="42">
                  <c:v>0.0608433333333333</c:v>
                </c:pt>
                <c:pt idx="43">
                  <c:v>0.0602933333333333</c:v>
                </c:pt>
                <c:pt idx="44">
                  <c:v>0.0597433333333333</c:v>
                </c:pt>
                <c:pt idx="45">
                  <c:v>0.0591933333333333</c:v>
                </c:pt>
                <c:pt idx="46">
                  <c:v>0.0586433333333333</c:v>
                </c:pt>
                <c:pt idx="47">
                  <c:v>0.0580933333333333</c:v>
                </c:pt>
                <c:pt idx="48">
                  <c:v>0.0575433333333333</c:v>
                </c:pt>
                <c:pt idx="49">
                  <c:v>0.0569933333333333</c:v>
                </c:pt>
                <c:pt idx="50">
                  <c:v>0.0564433333333333</c:v>
                </c:pt>
                <c:pt idx="51">
                  <c:v>0.0558933333333333</c:v>
                </c:pt>
                <c:pt idx="52">
                  <c:v>0.0553433333333333</c:v>
                </c:pt>
                <c:pt idx="53">
                  <c:v>0.0547933333333333</c:v>
                </c:pt>
                <c:pt idx="54">
                  <c:v>0.0542433333333333</c:v>
                </c:pt>
                <c:pt idx="55">
                  <c:v>0.0536933333333333</c:v>
                </c:pt>
                <c:pt idx="56">
                  <c:v>0.0531433333333333</c:v>
                </c:pt>
                <c:pt idx="57">
                  <c:v>0.0525933333333333</c:v>
                </c:pt>
                <c:pt idx="58">
                  <c:v>0.0520433333333333</c:v>
                </c:pt>
                <c:pt idx="59">
                  <c:v>0.0514933333333333</c:v>
                </c:pt>
                <c:pt idx="60">
                  <c:v>0.0509433333333333</c:v>
                </c:pt>
                <c:pt idx="61">
                  <c:v>0.0503933333333333</c:v>
                </c:pt>
                <c:pt idx="62">
                  <c:v>0.0498433333333333</c:v>
                </c:pt>
                <c:pt idx="63">
                  <c:v>0.0492933333333333</c:v>
                </c:pt>
                <c:pt idx="64">
                  <c:v>0.0491189403637102</c:v>
                </c:pt>
                <c:pt idx="65">
                  <c:v>0.0491189403637102</c:v>
                </c:pt>
                <c:pt idx="66">
                  <c:v>0.0491189403637102</c:v>
                </c:pt>
                <c:pt idx="67">
                  <c:v>0.0491189403637102</c:v>
                </c:pt>
                <c:pt idx="68">
                  <c:v>0.0491189403637102</c:v>
                </c:pt>
                <c:pt idx="69">
                  <c:v>0.0491189403637102</c:v>
                </c:pt>
                <c:pt idx="70">
                  <c:v>0.0491189403637102</c:v>
                </c:pt>
                <c:pt idx="71">
                  <c:v>0.0491189403637102</c:v>
                </c:pt>
                <c:pt idx="72">
                  <c:v>0.0491189403637102</c:v>
                </c:pt>
                <c:pt idx="73">
                  <c:v>0.0491189403637102</c:v>
                </c:pt>
                <c:pt idx="74">
                  <c:v>0.0491189403637102</c:v>
                </c:pt>
                <c:pt idx="75">
                  <c:v>0.0491189403637102</c:v>
                </c:pt>
                <c:pt idx="76">
                  <c:v>0.0491189403637102</c:v>
                </c:pt>
                <c:pt idx="77">
                  <c:v>0.0491189403637102</c:v>
                </c:pt>
                <c:pt idx="78">
                  <c:v>0.0491189403637102</c:v>
                </c:pt>
                <c:pt idx="79">
                  <c:v>0.0491189403637102</c:v>
                </c:pt>
                <c:pt idx="80">
                  <c:v>0.0491189403637102</c:v>
                </c:pt>
                <c:pt idx="81">
                  <c:v>0.0491189403637102</c:v>
                </c:pt>
                <c:pt idx="82">
                  <c:v>0.0491189403637102</c:v>
                </c:pt>
                <c:pt idx="83">
                  <c:v>0.0491189403637102</c:v>
                </c:pt>
                <c:pt idx="84">
                  <c:v>0.0491189403637102</c:v>
                </c:pt>
                <c:pt idx="85">
                  <c:v>0.0491189403637102</c:v>
                </c:pt>
                <c:pt idx="86">
                  <c:v>0.0491189403637102</c:v>
                </c:pt>
                <c:pt idx="87">
                  <c:v>0.0491189403637102</c:v>
                </c:pt>
                <c:pt idx="88">
                  <c:v>0.0491189403637102</c:v>
                </c:pt>
                <c:pt idx="89">
                  <c:v>0.0491189403637102</c:v>
                </c:pt>
                <c:pt idx="90">
                  <c:v>0.0491189403637102</c:v>
                </c:pt>
                <c:pt idx="91">
                  <c:v>0.0491189403637102</c:v>
                </c:pt>
                <c:pt idx="92">
                  <c:v>0.0491189403637102</c:v>
                </c:pt>
                <c:pt idx="93">
                  <c:v>0.0491189403637102</c:v>
                </c:pt>
                <c:pt idx="94">
                  <c:v>0.0491189403637102</c:v>
                </c:pt>
                <c:pt idx="95">
                  <c:v>0.0491189403637102</c:v>
                </c:pt>
                <c:pt idx="96">
                  <c:v>0.0491189403637102</c:v>
                </c:pt>
                <c:pt idx="97">
                  <c:v>0.0491189403637102</c:v>
                </c:pt>
                <c:pt idx="98">
                  <c:v>0.0491189403637102</c:v>
                </c:pt>
                <c:pt idx="99">
                  <c:v>0.0491189403637102</c:v>
                </c:pt>
                <c:pt idx="100">
                  <c:v>0.0491189403637102</c:v>
                </c:pt>
                <c:pt idx="101">
                  <c:v>0.0491189403637102</c:v>
                </c:pt>
                <c:pt idx="102">
                  <c:v>0.0491189403637102</c:v>
                </c:pt>
                <c:pt idx="103">
                  <c:v>0.0491189403637102</c:v>
                </c:pt>
                <c:pt idx="104">
                  <c:v>0.0491189403637102</c:v>
                </c:pt>
                <c:pt idx="105">
                  <c:v>0.0491189403637102</c:v>
                </c:pt>
                <c:pt idx="106">
                  <c:v>0.0491189403637102</c:v>
                </c:pt>
                <c:pt idx="107">
                  <c:v>0.0491189403637102</c:v>
                </c:pt>
                <c:pt idx="108">
                  <c:v>0.0491189403637102</c:v>
                </c:pt>
                <c:pt idx="109">
                  <c:v>0.0491189403637102</c:v>
                </c:pt>
                <c:pt idx="110">
                  <c:v>0.0491189403637102</c:v>
                </c:pt>
              </c:numCache>
            </c:numRef>
          </c:xVal>
          <c:yVal>
            <c:numRef>
              <c:f>Circulation!$B$9:$B$119</c:f>
              <c:numCache>
                <c:formatCode>0</c:formatCode>
                <c:ptCount val="111"/>
                <c:pt idx="0">
                  <c:v>414.593283488785</c:v>
                </c:pt>
                <c:pt idx="11">
                  <c:v>454.0443315985761</c:v>
                </c:pt>
                <c:pt idx="12">
                  <c:v>490.3258142562591</c:v>
                </c:pt>
                <c:pt idx="13">
                  <c:v>527.3793747775077</c:v>
                </c:pt>
                <c:pt idx="14">
                  <c:v>565.1792298352841</c:v>
                </c:pt>
                <c:pt idx="15">
                  <c:v>603.6980768844858</c:v>
                </c:pt>
                <c:pt idx="16">
                  <c:v>642.9078547812892</c:v>
                </c:pt>
                <c:pt idx="17">
                  <c:v>682.7802911663336</c:v>
                </c:pt>
                <c:pt idx="18">
                  <c:v>723.2872965559527</c:v>
                </c:pt>
                <c:pt idx="19">
                  <c:v>764.4012462943294</c:v>
                </c:pt>
                <c:pt idx="20">
                  <c:v>806.0951794180941</c:v>
                </c:pt>
                <c:pt idx="21">
                  <c:v>848.3429354198886</c:v>
                </c:pt>
                <c:pt idx="22">
                  <c:v>891.1192443563168</c:v>
                </c:pt>
                <c:pt idx="23">
                  <c:v>934.3997818362325</c:v>
                </c:pt>
                <c:pt idx="24">
                  <c:v>978.1611976036768</c:v>
                </c:pt>
                <c:pt idx="25">
                  <c:v>1022.381124354183</c:v>
                </c:pt>
                <c:pt idx="26">
                  <c:v>1067.038171872292</c:v>
                </c:pt>
                <c:pt idx="27">
                  <c:v>1112.111910404568</c:v>
                </c:pt>
                <c:pt idx="28">
                  <c:v>1157.582846285517</c:v>
                </c:pt>
                <c:pt idx="29">
                  <c:v>1203.432392142899</c:v>
                </c:pt>
                <c:pt idx="30">
                  <c:v>1249.642833473697</c:v>
                </c:pt>
                <c:pt idx="31">
                  <c:v>1296.197292965473</c:v>
                </c:pt>
                <c:pt idx="32">
                  <c:v>1343.079693612804</c:v>
                </c:pt>
                <c:pt idx="33">
                  <c:v>1390.27472142438</c:v>
                </c:pt>
                <c:pt idx="34">
                  <c:v>1437.767788317598</c:v>
                </c:pt>
                <c:pt idx="35">
                  <c:v>1485.544995641984</c:v>
                </c:pt>
                <c:pt idx="36">
                  <c:v>1533.593098651415</c:v>
                </c:pt>
                <c:pt idx="37">
                  <c:v>1581.899472150478</c:v>
                </c:pt>
                <c:pt idx="38">
                  <c:v>1630.452077466866</c:v>
                </c:pt>
                <c:pt idx="39">
                  <c:v>1679.239430844925</c:v>
                </c:pt>
                <c:pt idx="40">
                  <c:v>1728.250573311891</c:v>
                </c:pt>
                <c:pt idx="41">
                  <c:v>1777.475042035141</c:v>
                </c:pt>
                <c:pt idx="42">
                  <c:v>1826.902843163794</c:v>
                </c:pt>
                <c:pt idx="43">
                  <c:v>1876.524426129444</c:v>
                </c:pt>
                <c:pt idx="44">
                  <c:v>1926.33065936732</c:v>
                </c:pt>
                <c:pt idx="45">
                  <c:v>1976.312807409649</c:v>
                </c:pt>
                <c:pt idx="46">
                  <c:v>2026.462509296575</c:v>
                </c:pt>
                <c:pt idx="47">
                  <c:v>2076.77175824591</c:v>
                </c:pt>
                <c:pt idx="48">
                  <c:v>2127.232882520863</c:v>
                </c:pt>
                <c:pt idx="49">
                  <c:v>2177.838527434028</c:v>
                </c:pt>
                <c:pt idx="50">
                  <c:v>2228.581638426263</c:v>
                </c:pt>
                <c:pt idx="51">
                  <c:v>2279.455445160075</c:v>
                </c:pt>
                <c:pt idx="52">
                  <c:v>2330.453446568827</c:v>
                </c:pt>
                <c:pt idx="53">
                  <c:v>2381.569396805086</c:v>
                </c:pt>
                <c:pt idx="54">
                  <c:v>2432.797292033747</c:v>
                </c:pt>
                <c:pt idx="55">
                  <c:v>2484.131358018061</c:v>
                </c:pt>
                <c:pt idx="56">
                  <c:v>2535.566038449283</c:v>
                </c:pt>
                <c:pt idx="57">
                  <c:v>2587.095983973236</c:v>
                </c:pt>
                <c:pt idx="58">
                  <c:v>2638.716041869702</c:v>
                </c:pt>
                <c:pt idx="59">
                  <c:v>2690.421246343123</c:v>
                </c:pt>
                <c:pt idx="60">
                  <c:v>2743.711388529742</c:v>
                </c:pt>
                <c:pt idx="61">
                  <c:v>2797.080786999476</c:v>
                </c:pt>
                <c:pt idx="62">
                  <c:v>2850.524596744916</c:v>
                </c:pt>
                <c:pt idx="63">
                  <c:v>2904.038144848457</c:v>
                </c:pt>
                <c:pt idx="64">
                  <c:v>2957.616922315851</c:v>
                </c:pt>
                <c:pt idx="65">
                  <c:v>2959.01910065248</c:v>
                </c:pt>
                <c:pt idx="66">
                  <c:v>2960.421121710501</c:v>
                </c:pt>
                <c:pt idx="67">
                  <c:v>2961.822985665598</c:v>
                </c:pt>
                <c:pt idx="68">
                  <c:v>2963.22469269315</c:v>
                </c:pt>
                <c:pt idx="69">
                  <c:v>2964.626242968237</c:v>
                </c:pt>
                <c:pt idx="70">
                  <c:v>2966.027636665633</c:v>
                </c:pt>
                <c:pt idx="71">
                  <c:v>2967.428873959809</c:v>
                </c:pt>
                <c:pt idx="72">
                  <c:v>2968.829955024938</c:v>
                </c:pt>
                <c:pt idx="73">
                  <c:v>2970.230880034889</c:v>
                </c:pt>
                <c:pt idx="74">
                  <c:v>2971.631649163234</c:v>
                </c:pt>
                <c:pt idx="75">
                  <c:v>2973.032262583242</c:v>
                </c:pt>
                <c:pt idx="76">
                  <c:v>2974.432720467888</c:v>
                </c:pt>
                <c:pt idx="77">
                  <c:v>2975.833022989847</c:v>
                </c:pt>
                <c:pt idx="78">
                  <c:v>2977.233170321496</c:v>
                </c:pt>
                <c:pt idx="79">
                  <c:v>2978.633162634916</c:v>
                </c:pt>
                <c:pt idx="80">
                  <c:v>2980.033000101894</c:v>
                </c:pt>
                <c:pt idx="81">
                  <c:v>2981.43268289392</c:v>
                </c:pt>
                <c:pt idx="82">
                  <c:v>2982.83221118219</c:v>
                </c:pt>
                <c:pt idx="83">
                  <c:v>2984.231585137608</c:v>
                </c:pt>
                <c:pt idx="84">
                  <c:v>2985.630804930784</c:v>
                </c:pt>
                <c:pt idx="85">
                  <c:v>2987.029870732034</c:v>
                </c:pt>
                <c:pt idx="86">
                  <c:v>2988.428782711385</c:v>
                </c:pt>
                <c:pt idx="87">
                  <c:v>2989.827541038573</c:v>
                </c:pt>
                <c:pt idx="88">
                  <c:v>2991.226145883042</c:v>
                </c:pt>
                <c:pt idx="89">
                  <c:v>2992.624597413948</c:v>
                </c:pt>
                <c:pt idx="90">
                  <c:v>2994.022895800158</c:v>
                </c:pt>
                <c:pt idx="91">
                  <c:v>2995.42104121025</c:v>
                </c:pt>
                <c:pt idx="92">
                  <c:v>2996.819033812513</c:v>
                </c:pt>
                <c:pt idx="93">
                  <c:v>2998.216873774956</c:v>
                </c:pt>
                <c:pt idx="94">
                  <c:v>2999.614561265293</c:v>
                </c:pt>
                <c:pt idx="95">
                  <c:v>3001.012096450959</c:v>
                </c:pt>
                <c:pt idx="96">
                  <c:v>3002.4094794991</c:v>
                </c:pt>
                <c:pt idx="97">
                  <c:v>3003.80671057658</c:v>
                </c:pt>
                <c:pt idx="98">
                  <c:v>3005.203789849981</c:v>
                </c:pt>
                <c:pt idx="99">
                  <c:v>3006.600717485598</c:v>
                </c:pt>
                <c:pt idx="100">
                  <c:v>3007.997493649447</c:v>
                </c:pt>
                <c:pt idx="101">
                  <c:v>3009.394118507262</c:v>
                </c:pt>
                <c:pt idx="102">
                  <c:v>3010.790592224496</c:v>
                </c:pt>
                <c:pt idx="103">
                  <c:v>3012.186914966321</c:v>
                </c:pt>
                <c:pt idx="104">
                  <c:v>3013.58308689763</c:v>
                </c:pt>
                <c:pt idx="105">
                  <c:v>3014.979108183038</c:v>
                </c:pt>
                <c:pt idx="106">
                  <c:v>3016.374978986881</c:v>
                </c:pt>
                <c:pt idx="107">
                  <c:v>3017.770699473215</c:v>
                </c:pt>
                <c:pt idx="108">
                  <c:v>3019.166269805824</c:v>
                </c:pt>
                <c:pt idx="109">
                  <c:v>3020.561690148212</c:v>
                </c:pt>
                <c:pt idx="110">
                  <c:v>3021.956960663608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61601096"/>
        <c:axId val="-2061594632"/>
      </c:scatterChart>
      <c:valAx>
        <c:axId val="-20616010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Measured Depth, ft</a:t>
                </a:r>
              </a:p>
            </c:rich>
          </c:tx>
          <c:layout>
            <c:manualLayout>
              <c:xMode val="edge"/>
              <c:yMode val="edge"/>
              <c:x val="0.78861887000967"/>
              <c:y val="0.941685476815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61594632"/>
        <c:crosses val="autoZero"/>
        <c:crossBetween val="midCat"/>
      </c:valAx>
      <c:valAx>
        <c:axId val="-2061594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Pressure, psi</a:t>
                </a:r>
              </a:p>
            </c:rich>
          </c:tx>
          <c:layout>
            <c:manualLayout>
              <c:xMode val="edge"/>
              <c:yMode val="edge"/>
              <c:x val="0.0129629783119215"/>
              <c:y val="0.3650111548556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61601096"/>
        <c:crosses val="autoZero"/>
        <c:crossBetween val="midCat"/>
        <c:majorUnit val="1000.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93495924851499"/>
          <c:y val="0.14686832895888"/>
          <c:w val="0.256097527282774"/>
          <c:h val="0.1209503499562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696148359487"/>
          <c:y val="0.0406250309944389"/>
          <c:w val="0.833095577746077"/>
          <c:h val="0.804697842947701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'Bernoulli Integration'!$A$16:$B$16</c:f>
              <c:strCache>
                <c:ptCount val="1"/>
                <c:pt idx="0">
                  <c:v>Speed of sound ctp</c:v>
                </c:pt>
              </c:strCache>
            </c:strRef>
          </c:tx>
          <c:spPr>
            <a:ln w="34925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'Bernoulli Integration'!$E$7:$CZ$7</c:f>
              <c:numCache>
                <c:formatCode>#,##0</c:formatCode>
                <c:ptCount val="100"/>
                <c:pt idx="0">
                  <c:v>2.71327862845834E7</c:v>
                </c:pt>
                <c:pt idx="1">
                  <c:v>2.70691863548782E7</c:v>
                </c:pt>
                <c:pt idx="2">
                  <c:v>2.70055864251731E7</c:v>
                </c:pt>
                <c:pt idx="3">
                  <c:v>2.6941986495468E7</c:v>
                </c:pt>
                <c:pt idx="4">
                  <c:v>2.68783865657629E7</c:v>
                </c:pt>
                <c:pt idx="5">
                  <c:v>2.68147866360577E7</c:v>
                </c:pt>
                <c:pt idx="6">
                  <c:v>2.67511867063526E7</c:v>
                </c:pt>
                <c:pt idx="7">
                  <c:v>2.66875867766475E7</c:v>
                </c:pt>
                <c:pt idx="8">
                  <c:v>2.66239868469424E7</c:v>
                </c:pt>
                <c:pt idx="9">
                  <c:v>2.65603869172372E7</c:v>
                </c:pt>
                <c:pt idx="10">
                  <c:v>2.64967869875321E7</c:v>
                </c:pt>
                <c:pt idx="11">
                  <c:v>2.6433187057827E7</c:v>
                </c:pt>
                <c:pt idx="12">
                  <c:v>2.63695871281218E7</c:v>
                </c:pt>
                <c:pt idx="13">
                  <c:v>2.63059871984167E7</c:v>
                </c:pt>
                <c:pt idx="14">
                  <c:v>2.62423872687116E7</c:v>
                </c:pt>
                <c:pt idx="15">
                  <c:v>2.61787873390065E7</c:v>
                </c:pt>
                <c:pt idx="16">
                  <c:v>2.61151874093013E7</c:v>
                </c:pt>
                <c:pt idx="17">
                  <c:v>2.60515874795962E7</c:v>
                </c:pt>
                <c:pt idx="18">
                  <c:v>2.59879875498911E7</c:v>
                </c:pt>
                <c:pt idx="19">
                  <c:v>2.59243876201859E7</c:v>
                </c:pt>
                <c:pt idx="20">
                  <c:v>2.58607876904808E7</c:v>
                </c:pt>
                <c:pt idx="21">
                  <c:v>2.57971877607757E7</c:v>
                </c:pt>
                <c:pt idx="22">
                  <c:v>2.57335878310706E7</c:v>
                </c:pt>
                <c:pt idx="23">
                  <c:v>2.56699879013654E7</c:v>
                </c:pt>
                <c:pt idx="24">
                  <c:v>2.56063879716603E7</c:v>
                </c:pt>
                <c:pt idx="25">
                  <c:v>2.55427880419552E7</c:v>
                </c:pt>
                <c:pt idx="26">
                  <c:v>2.547918811225E7</c:v>
                </c:pt>
                <c:pt idx="27">
                  <c:v>2.54155881825449E7</c:v>
                </c:pt>
                <c:pt idx="28">
                  <c:v>2.53519882528398E7</c:v>
                </c:pt>
                <c:pt idx="29">
                  <c:v>2.52883883231347E7</c:v>
                </c:pt>
                <c:pt idx="30">
                  <c:v>2.52247883934295E7</c:v>
                </c:pt>
                <c:pt idx="31">
                  <c:v>2.51611884637244E7</c:v>
                </c:pt>
                <c:pt idx="32">
                  <c:v>2.50975885340193E7</c:v>
                </c:pt>
                <c:pt idx="33">
                  <c:v>2.50339886043141E7</c:v>
                </c:pt>
                <c:pt idx="34">
                  <c:v>2.4970388674609E7</c:v>
                </c:pt>
                <c:pt idx="35">
                  <c:v>2.49067887449039E7</c:v>
                </c:pt>
                <c:pt idx="36">
                  <c:v>2.48431888151988E7</c:v>
                </c:pt>
                <c:pt idx="37">
                  <c:v>2.47795888854936E7</c:v>
                </c:pt>
                <c:pt idx="38">
                  <c:v>2.47159889557885E7</c:v>
                </c:pt>
                <c:pt idx="39">
                  <c:v>2.46523890260834E7</c:v>
                </c:pt>
                <c:pt idx="40">
                  <c:v>2.45887890963783E7</c:v>
                </c:pt>
                <c:pt idx="41">
                  <c:v>2.45251891666731E7</c:v>
                </c:pt>
                <c:pt idx="42">
                  <c:v>2.4461589236968E7</c:v>
                </c:pt>
                <c:pt idx="43">
                  <c:v>2.43979893072629E7</c:v>
                </c:pt>
                <c:pt idx="44">
                  <c:v>2.43343893775577E7</c:v>
                </c:pt>
                <c:pt idx="45">
                  <c:v>2.42707894478526E7</c:v>
                </c:pt>
                <c:pt idx="46">
                  <c:v>2.42071895181475E7</c:v>
                </c:pt>
                <c:pt idx="47">
                  <c:v>2.41435895884424E7</c:v>
                </c:pt>
                <c:pt idx="48">
                  <c:v>2.40799896587372E7</c:v>
                </c:pt>
                <c:pt idx="49">
                  <c:v>2.40163897290321E7</c:v>
                </c:pt>
                <c:pt idx="50">
                  <c:v>2.3952789799327E7</c:v>
                </c:pt>
                <c:pt idx="51">
                  <c:v>2.38891898696218E7</c:v>
                </c:pt>
                <c:pt idx="52">
                  <c:v>2.38255899399167E7</c:v>
                </c:pt>
                <c:pt idx="53">
                  <c:v>2.37619900102116E7</c:v>
                </c:pt>
                <c:pt idx="54">
                  <c:v>2.36983900805065E7</c:v>
                </c:pt>
                <c:pt idx="55">
                  <c:v>2.36347901508013E7</c:v>
                </c:pt>
                <c:pt idx="56">
                  <c:v>2.35711902210962E7</c:v>
                </c:pt>
                <c:pt idx="57">
                  <c:v>2.35075902913911E7</c:v>
                </c:pt>
                <c:pt idx="58">
                  <c:v>2.34439903616859E7</c:v>
                </c:pt>
                <c:pt idx="59">
                  <c:v>2.33803904319808E7</c:v>
                </c:pt>
                <c:pt idx="60">
                  <c:v>2.33167905022757E7</c:v>
                </c:pt>
                <c:pt idx="61">
                  <c:v>2.32531905725706E7</c:v>
                </c:pt>
                <c:pt idx="62">
                  <c:v>2.31895906428654E7</c:v>
                </c:pt>
                <c:pt idx="63">
                  <c:v>2.31259907131603E7</c:v>
                </c:pt>
                <c:pt idx="64">
                  <c:v>2.30623907834552E7</c:v>
                </c:pt>
                <c:pt idx="65">
                  <c:v>2.29987908537501E7</c:v>
                </c:pt>
                <c:pt idx="66">
                  <c:v>2.29351909240449E7</c:v>
                </c:pt>
                <c:pt idx="67">
                  <c:v>2.28715909943398E7</c:v>
                </c:pt>
                <c:pt idx="68">
                  <c:v>2.28079910646347E7</c:v>
                </c:pt>
                <c:pt idx="69">
                  <c:v>2.27443911349295E7</c:v>
                </c:pt>
                <c:pt idx="70">
                  <c:v>2.26807912052244E7</c:v>
                </c:pt>
                <c:pt idx="71">
                  <c:v>2.26171912755193E7</c:v>
                </c:pt>
                <c:pt idx="72">
                  <c:v>2.25535913458142E7</c:v>
                </c:pt>
                <c:pt idx="73">
                  <c:v>2.2489991416109E7</c:v>
                </c:pt>
                <c:pt idx="74">
                  <c:v>2.24263914864039E7</c:v>
                </c:pt>
                <c:pt idx="75">
                  <c:v>2.23627915566988E7</c:v>
                </c:pt>
                <c:pt idx="76">
                  <c:v>2.22991916269936E7</c:v>
                </c:pt>
                <c:pt idx="77">
                  <c:v>2.22355916972885E7</c:v>
                </c:pt>
                <c:pt idx="78">
                  <c:v>2.21719917675834E7</c:v>
                </c:pt>
                <c:pt idx="79">
                  <c:v>2.21083918378783E7</c:v>
                </c:pt>
                <c:pt idx="80">
                  <c:v>2.20447919081731E7</c:v>
                </c:pt>
                <c:pt idx="81">
                  <c:v>2.1981191978468E7</c:v>
                </c:pt>
                <c:pt idx="82">
                  <c:v>2.19175920487629E7</c:v>
                </c:pt>
                <c:pt idx="83">
                  <c:v>2.18539921190577E7</c:v>
                </c:pt>
                <c:pt idx="84">
                  <c:v>2.17903921893526E7</c:v>
                </c:pt>
                <c:pt idx="85">
                  <c:v>2.17267922596475E7</c:v>
                </c:pt>
                <c:pt idx="86">
                  <c:v>2.16631923299424E7</c:v>
                </c:pt>
                <c:pt idx="87">
                  <c:v>2.15995924002372E7</c:v>
                </c:pt>
                <c:pt idx="88">
                  <c:v>2.15359924705321E7</c:v>
                </c:pt>
                <c:pt idx="89">
                  <c:v>2.1472392540827E7</c:v>
                </c:pt>
                <c:pt idx="90">
                  <c:v>2.14087926111218E7</c:v>
                </c:pt>
                <c:pt idx="91">
                  <c:v>2.13451926814167E7</c:v>
                </c:pt>
                <c:pt idx="92">
                  <c:v>2.12815927517116E7</c:v>
                </c:pt>
                <c:pt idx="93">
                  <c:v>2.12179928220065E7</c:v>
                </c:pt>
                <c:pt idx="94">
                  <c:v>2.11543928923013E7</c:v>
                </c:pt>
                <c:pt idx="95">
                  <c:v>2.10907929625962E7</c:v>
                </c:pt>
                <c:pt idx="96">
                  <c:v>2.10271930328911E7</c:v>
                </c:pt>
                <c:pt idx="97">
                  <c:v>2.0963593103186E7</c:v>
                </c:pt>
                <c:pt idx="98">
                  <c:v>2.08999931734808E7</c:v>
                </c:pt>
                <c:pt idx="99">
                  <c:v>2.08363932437757E7</c:v>
                </c:pt>
              </c:numCache>
            </c:numRef>
          </c:xVal>
          <c:yVal>
            <c:numRef>
              <c:f>'Bernoulli Integration'!$E$16:$CZ$16</c:f>
              <c:numCache>
                <c:formatCode>0</c:formatCode>
                <c:ptCount val="100"/>
                <c:pt idx="0">
                  <c:v>632.4158327687202</c:v>
                </c:pt>
                <c:pt idx="1">
                  <c:v>631.1152710015475</c:v>
                </c:pt>
                <c:pt idx="2">
                  <c:v>629.8196671459064</c:v>
                </c:pt>
                <c:pt idx="3">
                  <c:v>628.5289893884414</c:v>
                </c:pt>
                <c:pt idx="4">
                  <c:v>627.2432061756773</c:v>
                </c:pt>
                <c:pt idx="5">
                  <c:v>625.9622862133045</c:v>
                </c:pt>
                <c:pt idx="6">
                  <c:v>624.6861984581308</c:v>
                </c:pt>
                <c:pt idx="7">
                  <c:v>623.4149121215221</c:v>
                </c:pt>
                <c:pt idx="8">
                  <c:v>622.1483966598513</c:v>
                </c:pt>
                <c:pt idx="9">
                  <c:v>620.8866217758235</c:v>
                </c:pt>
                <c:pt idx="10">
                  <c:v>619.6295574141651</c:v>
                </c:pt>
                <c:pt idx="11">
                  <c:v>618.37717375778</c:v>
                </c:pt>
                <c:pt idx="12">
                  <c:v>617.129441226299</c:v>
                </c:pt>
                <c:pt idx="13">
                  <c:v>615.8863304720158</c:v>
                </c:pt>
                <c:pt idx="14">
                  <c:v>614.6478123779357</c:v>
                </c:pt>
                <c:pt idx="15">
                  <c:v>613.4138580547594</c:v>
                </c:pt>
                <c:pt idx="16">
                  <c:v>612.1844388372031</c:v>
                </c:pt>
                <c:pt idx="17">
                  <c:v>610.9595262825887</c:v>
                </c:pt>
                <c:pt idx="18">
                  <c:v>609.7390921681172</c:v>
                </c:pt>
                <c:pt idx="19">
                  <c:v>608.5231084859724</c:v>
                </c:pt>
                <c:pt idx="20">
                  <c:v>607.3115474444564</c:v>
                </c:pt>
                <c:pt idx="21">
                  <c:v>606.104381461324</c:v>
                </c:pt>
                <c:pt idx="22">
                  <c:v>604.9015831644275</c:v>
                </c:pt>
                <c:pt idx="23">
                  <c:v>603.7031253883591</c:v>
                </c:pt>
                <c:pt idx="24">
                  <c:v>602.5089811697483</c:v>
                </c:pt>
                <c:pt idx="25">
                  <c:v>601.3191237482193</c:v>
                </c:pt>
                <c:pt idx="26">
                  <c:v>600.1335265616188</c:v>
                </c:pt>
                <c:pt idx="27">
                  <c:v>598.9521632449215</c:v>
                </c:pt>
                <c:pt idx="28">
                  <c:v>597.775007625694</c:v>
                </c:pt>
                <c:pt idx="29">
                  <c:v>596.6020337249449</c:v>
                </c:pt>
                <c:pt idx="30">
                  <c:v>595.4332157521923</c:v>
                </c:pt>
                <c:pt idx="31">
                  <c:v>594.2685281043256</c:v>
                </c:pt>
                <c:pt idx="32">
                  <c:v>593.1079453630647</c:v>
                </c:pt>
                <c:pt idx="33">
                  <c:v>591.9514422924716</c:v>
                </c:pt>
                <c:pt idx="34">
                  <c:v>590.7989938370158</c:v>
                </c:pt>
                <c:pt idx="35">
                  <c:v>589.65057511999</c:v>
                </c:pt>
                <c:pt idx="36">
                  <c:v>588.5061614393487</c:v>
                </c:pt>
                <c:pt idx="37">
                  <c:v>587.365728268499</c:v>
                </c:pt>
                <c:pt idx="38">
                  <c:v>586.2292512510865</c:v>
                </c:pt>
                <c:pt idx="39">
                  <c:v>585.096706201477</c:v>
                </c:pt>
                <c:pt idx="40">
                  <c:v>583.9680691006469</c:v>
                </c:pt>
                <c:pt idx="41">
                  <c:v>582.8433160956787</c:v>
                </c:pt>
                <c:pt idx="42">
                  <c:v>581.7224234968206</c:v>
                </c:pt>
                <c:pt idx="43">
                  <c:v>580.6053677759713</c:v>
                </c:pt>
                <c:pt idx="44">
                  <c:v>579.4921255643576</c:v>
                </c:pt>
                <c:pt idx="45">
                  <c:v>578.3826736506517</c:v>
                </c:pt>
                <c:pt idx="46">
                  <c:v>577.2769889789493</c:v>
                </c:pt>
                <c:pt idx="47">
                  <c:v>576.175048647086</c:v>
                </c:pt>
                <c:pt idx="48">
                  <c:v>575.0768299045585</c:v>
                </c:pt>
                <c:pt idx="49">
                  <c:v>573.9823101507812</c:v>
                </c:pt>
                <c:pt idx="50">
                  <c:v>572.8914669329156</c:v>
                </c:pt>
                <c:pt idx="51">
                  <c:v>571.8042779442019</c:v>
                </c:pt>
                <c:pt idx="52">
                  <c:v>570.7207210225308</c:v>
                </c:pt>
                <c:pt idx="53">
                  <c:v>569.6407741477966</c:v>
                </c:pt>
                <c:pt idx="54">
                  <c:v>568.5644154407938</c:v>
                </c:pt>
                <c:pt idx="55">
                  <c:v>567.491623160859</c:v>
                </c:pt>
                <c:pt idx="56">
                  <c:v>566.4223757054363</c:v>
                </c:pt>
                <c:pt idx="57">
                  <c:v>565.3566516058371</c:v>
                </c:pt>
                <c:pt idx="58">
                  <c:v>564.2944295284203</c:v>
                </c:pt>
                <c:pt idx="59">
                  <c:v>563.235688270877</c:v>
                </c:pt>
                <c:pt idx="60">
                  <c:v>562.1804067611204</c:v>
                </c:pt>
                <c:pt idx="61">
                  <c:v>561.1285640555971</c:v>
                </c:pt>
                <c:pt idx="62">
                  <c:v>560.080139338499</c:v>
                </c:pt>
                <c:pt idx="63">
                  <c:v>559.035111918051</c:v>
                </c:pt>
                <c:pt idx="64">
                  <c:v>557.9934612270185</c:v>
                </c:pt>
                <c:pt idx="65">
                  <c:v>556.9551668198961</c:v>
                </c:pt>
                <c:pt idx="66">
                  <c:v>555.9202083721284</c:v>
                </c:pt>
                <c:pt idx="67">
                  <c:v>554.8885656767037</c:v>
                </c:pt>
                <c:pt idx="68">
                  <c:v>553.8602186453984</c:v>
                </c:pt>
                <c:pt idx="69">
                  <c:v>552.8351473052802</c:v>
                </c:pt>
                <c:pt idx="70">
                  <c:v>551.8133317966238</c:v>
                </c:pt>
                <c:pt idx="71">
                  <c:v>550.794752373792</c:v>
                </c:pt>
                <c:pt idx="72">
                  <c:v>549.7793894013907</c:v>
                </c:pt>
                <c:pt idx="73">
                  <c:v>548.767223353749</c:v>
                </c:pt>
                <c:pt idx="74">
                  <c:v>547.7582348134821</c:v>
                </c:pt>
                <c:pt idx="75">
                  <c:v>546.7524044699405</c:v>
                </c:pt>
                <c:pt idx="76">
                  <c:v>545.7497131172232</c:v>
                </c:pt>
                <c:pt idx="77">
                  <c:v>544.7501416536147</c:v>
                </c:pt>
                <c:pt idx="78">
                  <c:v>543.7536710791232</c:v>
                </c:pt>
                <c:pt idx="79">
                  <c:v>542.7602824950861</c:v>
                </c:pt>
                <c:pt idx="80">
                  <c:v>541.7699571019635</c:v>
                </c:pt>
                <c:pt idx="81">
                  <c:v>540.7826761979705</c:v>
                </c:pt>
                <c:pt idx="82">
                  <c:v>539.798421178126</c:v>
                </c:pt>
                <c:pt idx="83">
                  <c:v>538.8171735329395</c:v>
                </c:pt>
                <c:pt idx="84">
                  <c:v>537.8389148456672</c:v>
                </c:pt>
                <c:pt idx="85">
                  <c:v>536.8636267931747</c:v>
                </c:pt>
                <c:pt idx="86">
                  <c:v>535.8912911422913</c:v>
                </c:pt>
                <c:pt idx="87">
                  <c:v>534.9218897502044</c:v>
                </c:pt>
                <c:pt idx="88">
                  <c:v>533.9554045619086</c:v>
                </c:pt>
                <c:pt idx="89">
                  <c:v>532.9918176094866</c:v>
                </c:pt>
                <c:pt idx="90">
                  <c:v>532.0311110108663</c:v>
                </c:pt>
                <c:pt idx="91">
                  <c:v>531.0732669678748</c:v>
                </c:pt>
                <c:pt idx="92">
                  <c:v>530.1182677655786</c:v>
                </c:pt>
                <c:pt idx="93">
                  <c:v>529.1660957705448</c:v>
                </c:pt>
                <c:pt idx="94">
                  <c:v>528.2167334291534</c:v>
                </c:pt>
                <c:pt idx="95">
                  <c:v>527.270163268314</c:v>
                </c:pt>
                <c:pt idx="96">
                  <c:v>526.3263678907146</c:v>
                </c:pt>
                <c:pt idx="97">
                  <c:v>525.3853299768255</c:v>
                </c:pt>
                <c:pt idx="98">
                  <c:v>524.4470322818421</c:v>
                </c:pt>
                <c:pt idx="99">
                  <c:v>523.511457634897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'Bernoulli Integration'!$A$17:$B$17</c:f>
              <c:strCache>
                <c:ptCount val="1"/>
                <c:pt idx="0">
                  <c:v>Potential velocity of flow vp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'Bernoulli Integration'!$E$7:$CZ$7</c:f>
              <c:numCache>
                <c:formatCode>#,##0</c:formatCode>
                <c:ptCount val="100"/>
                <c:pt idx="0">
                  <c:v>2.71327862845834E7</c:v>
                </c:pt>
                <c:pt idx="1">
                  <c:v>2.70691863548782E7</c:v>
                </c:pt>
                <c:pt idx="2">
                  <c:v>2.70055864251731E7</c:v>
                </c:pt>
                <c:pt idx="3">
                  <c:v>2.6941986495468E7</c:v>
                </c:pt>
                <c:pt idx="4">
                  <c:v>2.68783865657629E7</c:v>
                </c:pt>
                <c:pt idx="5">
                  <c:v>2.68147866360577E7</c:v>
                </c:pt>
                <c:pt idx="6">
                  <c:v>2.67511867063526E7</c:v>
                </c:pt>
                <c:pt idx="7">
                  <c:v>2.66875867766475E7</c:v>
                </c:pt>
                <c:pt idx="8">
                  <c:v>2.66239868469424E7</c:v>
                </c:pt>
                <c:pt idx="9">
                  <c:v>2.65603869172372E7</c:v>
                </c:pt>
                <c:pt idx="10">
                  <c:v>2.64967869875321E7</c:v>
                </c:pt>
                <c:pt idx="11">
                  <c:v>2.6433187057827E7</c:v>
                </c:pt>
                <c:pt idx="12">
                  <c:v>2.63695871281218E7</c:v>
                </c:pt>
                <c:pt idx="13">
                  <c:v>2.63059871984167E7</c:v>
                </c:pt>
                <c:pt idx="14">
                  <c:v>2.62423872687116E7</c:v>
                </c:pt>
                <c:pt idx="15">
                  <c:v>2.61787873390065E7</c:v>
                </c:pt>
                <c:pt idx="16">
                  <c:v>2.61151874093013E7</c:v>
                </c:pt>
                <c:pt idx="17">
                  <c:v>2.60515874795962E7</c:v>
                </c:pt>
                <c:pt idx="18">
                  <c:v>2.59879875498911E7</c:v>
                </c:pt>
                <c:pt idx="19">
                  <c:v>2.59243876201859E7</c:v>
                </c:pt>
                <c:pt idx="20">
                  <c:v>2.58607876904808E7</c:v>
                </c:pt>
                <c:pt idx="21">
                  <c:v>2.57971877607757E7</c:v>
                </c:pt>
                <c:pt idx="22">
                  <c:v>2.57335878310706E7</c:v>
                </c:pt>
                <c:pt idx="23">
                  <c:v>2.56699879013654E7</c:v>
                </c:pt>
                <c:pt idx="24">
                  <c:v>2.56063879716603E7</c:v>
                </c:pt>
                <c:pt idx="25">
                  <c:v>2.55427880419552E7</c:v>
                </c:pt>
                <c:pt idx="26">
                  <c:v>2.547918811225E7</c:v>
                </c:pt>
                <c:pt idx="27">
                  <c:v>2.54155881825449E7</c:v>
                </c:pt>
                <c:pt idx="28">
                  <c:v>2.53519882528398E7</c:v>
                </c:pt>
                <c:pt idx="29">
                  <c:v>2.52883883231347E7</c:v>
                </c:pt>
                <c:pt idx="30">
                  <c:v>2.52247883934295E7</c:v>
                </c:pt>
                <c:pt idx="31">
                  <c:v>2.51611884637244E7</c:v>
                </c:pt>
                <c:pt idx="32">
                  <c:v>2.50975885340193E7</c:v>
                </c:pt>
                <c:pt idx="33">
                  <c:v>2.50339886043141E7</c:v>
                </c:pt>
                <c:pt idx="34">
                  <c:v>2.4970388674609E7</c:v>
                </c:pt>
                <c:pt idx="35">
                  <c:v>2.49067887449039E7</c:v>
                </c:pt>
                <c:pt idx="36">
                  <c:v>2.48431888151988E7</c:v>
                </c:pt>
                <c:pt idx="37">
                  <c:v>2.47795888854936E7</c:v>
                </c:pt>
                <c:pt idx="38">
                  <c:v>2.47159889557885E7</c:v>
                </c:pt>
                <c:pt idx="39">
                  <c:v>2.46523890260834E7</c:v>
                </c:pt>
                <c:pt idx="40">
                  <c:v>2.45887890963783E7</c:v>
                </c:pt>
                <c:pt idx="41">
                  <c:v>2.45251891666731E7</c:v>
                </c:pt>
                <c:pt idx="42">
                  <c:v>2.4461589236968E7</c:v>
                </c:pt>
                <c:pt idx="43">
                  <c:v>2.43979893072629E7</c:v>
                </c:pt>
                <c:pt idx="44">
                  <c:v>2.43343893775577E7</c:v>
                </c:pt>
                <c:pt idx="45">
                  <c:v>2.42707894478526E7</c:v>
                </c:pt>
                <c:pt idx="46">
                  <c:v>2.42071895181475E7</c:v>
                </c:pt>
                <c:pt idx="47">
                  <c:v>2.41435895884424E7</c:v>
                </c:pt>
                <c:pt idx="48">
                  <c:v>2.40799896587372E7</c:v>
                </c:pt>
                <c:pt idx="49">
                  <c:v>2.40163897290321E7</c:v>
                </c:pt>
                <c:pt idx="50">
                  <c:v>2.3952789799327E7</c:v>
                </c:pt>
                <c:pt idx="51">
                  <c:v>2.38891898696218E7</c:v>
                </c:pt>
                <c:pt idx="52">
                  <c:v>2.38255899399167E7</c:v>
                </c:pt>
                <c:pt idx="53">
                  <c:v>2.37619900102116E7</c:v>
                </c:pt>
                <c:pt idx="54">
                  <c:v>2.36983900805065E7</c:v>
                </c:pt>
                <c:pt idx="55">
                  <c:v>2.36347901508013E7</c:v>
                </c:pt>
                <c:pt idx="56">
                  <c:v>2.35711902210962E7</c:v>
                </c:pt>
                <c:pt idx="57">
                  <c:v>2.35075902913911E7</c:v>
                </c:pt>
                <c:pt idx="58">
                  <c:v>2.34439903616859E7</c:v>
                </c:pt>
                <c:pt idx="59">
                  <c:v>2.33803904319808E7</c:v>
                </c:pt>
                <c:pt idx="60">
                  <c:v>2.33167905022757E7</c:v>
                </c:pt>
                <c:pt idx="61">
                  <c:v>2.32531905725706E7</c:v>
                </c:pt>
                <c:pt idx="62">
                  <c:v>2.31895906428654E7</c:v>
                </c:pt>
                <c:pt idx="63">
                  <c:v>2.31259907131603E7</c:v>
                </c:pt>
                <c:pt idx="64">
                  <c:v>2.30623907834552E7</c:v>
                </c:pt>
                <c:pt idx="65">
                  <c:v>2.29987908537501E7</c:v>
                </c:pt>
                <c:pt idx="66">
                  <c:v>2.29351909240449E7</c:v>
                </c:pt>
                <c:pt idx="67">
                  <c:v>2.28715909943398E7</c:v>
                </c:pt>
                <c:pt idx="68">
                  <c:v>2.28079910646347E7</c:v>
                </c:pt>
                <c:pt idx="69">
                  <c:v>2.27443911349295E7</c:v>
                </c:pt>
                <c:pt idx="70">
                  <c:v>2.26807912052244E7</c:v>
                </c:pt>
                <c:pt idx="71">
                  <c:v>2.26171912755193E7</c:v>
                </c:pt>
                <c:pt idx="72">
                  <c:v>2.25535913458142E7</c:v>
                </c:pt>
                <c:pt idx="73">
                  <c:v>2.2489991416109E7</c:v>
                </c:pt>
                <c:pt idx="74">
                  <c:v>2.24263914864039E7</c:v>
                </c:pt>
                <c:pt idx="75">
                  <c:v>2.23627915566988E7</c:v>
                </c:pt>
                <c:pt idx="76">
                  <c:v>2.22991916269936E7</c:v>
                </c:pt>
                <c:pt idx="77">
                  <c:v>2.22355916972885E7</c:v>
                </c:pt>
                <c:pt idx="78">
                  <c:v>2.21719917675834E7</c:v>
                </c:pt>
                <c:pt idx="79">
                  <c:v>2.21083918378783E7</c:v>
                </c:pt>
                <c:pt idx="80">
                  <c:v>2.20447919081731E7</c:v>
                </c:pt>
                <c:pt idx="81">
                  <c:v>2.1981191978468E7</c:v>
                </c:pt>
                <c:pt idx="82">
                  <c:v>2.19175920487629E7</c:v>
                </c:pt>
                <c:pt idx="83">
                  <c:v>2.18539921190577E7</c:v>
                </c:pt>
                <c:pt idx="84">
                  <c:v>2.17903921893526E7</c:v>
                </c:pt>
                <c:pt idx="85">
                  <c:v>2.17267922596475E7</c:v>
                </c:pt>
                <c:pt idx="86">
                  <c:v>2.16631923299424E7</c:v>
                </c:pt>
                <c:pt idx="87">
                  <c:v>2.15995924002372E7</c:v>
                </c:pt>
                <c:pt idx="88">
                  <c:v>2.15359924705321E7</c:v>
                </c:pt>
                <c:pt idx="89">
                  <c:v>2.1472392540827E7</c:v>
                </c:pt>
                <c:pt idx="90">
                  <c:v>2.14087926111218E7</c:v>
                </c:pt>
                <c:pt idx="91">
                  <c:v>2.13451926814167E7</c:v>
                </c:pt>
                <c:pt idx="92">
                  <c:v>2.12815927517116E7</c:v>
                </c:pt>
                <c:pt idx="93">
                  <c:v>2.12179928220065E7</c:v>
                </c:pt>
                <c:pt idx="94">
                  <c:v>2.11543928923013E7</c:v>
                </c:pt>
                <c:pt idx="95">
                  <c:v>2.10907929625962E7</c:v>
                </c:pt>
                <c:pt idx="96">
                  <c:v>2.10271930328911E7</c:v>
                </c:pt>
                <c:pt idx="97">
                  <c:v>2.0963593103186E7</c:v>
                </c:pt>
                <c:pt idx="98">
                  <c:v>2.08999931734808E7</c:v>
                </c:pt>
                <c:pt idx="99">
                  <c:v>2.08363932437757E7</c:v>
                </c:pt>
              </c:numCache>
            </c:numRef>
          </c:xVal>
          <c:yVal>
            <c:numRef>
              <c:f>'Bernoulli Integration'!$E$17:$CZ$17</c:f>
              <c:numCache>
                <c:formatCode>0</c:formatCode>
                <c:ptCount val="100"/>
                <c:pt idx="0">
                  <c:v>36.73400680606554</c:v>
                </c:pt>
                <c:pt idx="1">
                  <c:v>44.99930919112608</c:v>
                </c:pt>
                <c:pt idx="2">
                  <c:v>51.97176286381709</c:v>
                </c:pt>
                <c:pt idx="3">
                  <c:v>58.11858165610747</c:v>
                </c:pt>
                <c:pt idx="4">
                  <c:v>63.67933258787196</c:v>
                </c:pt>
                <c:pt idx="5">
                  <c:v>68.79630169233684</c:v>
                </c:pt>
                <c:pt idx="6">
                  <c:v>73.56217868926431</c:v>
                </c:pt>
                <c:pt idx="7">
                  <c:v>78.04133428673687</c:v>
                </c:pt>
                <c:pt idx="8">
                  <c:v>82.28062807429067</c:v>
                </c:pt>
                <c:pt idx="9">
                  <c:v>86.31542915591714</c:v>
                </c:pt>
                <c:pt idx="10">
                  <c:v>90.17321121354952</c:v>
                </c:pt>
                <c:pt idx="11">
                  <c:v>93.87581908849877</c:v>
                </c:pt>
                <c:pt idx="12">
                  <c:v>97.44096172396345</c:v>
                </c:pt>
                <c:pt idx="13">
                  <c:v>100.8832316262696</c:v>
                </c:pt>
                <c:pt idx="14">
                  <c:v>104.2148223766503</c:v>
                </c:pt>
                <c:pt idx="15">
                  <c:v>107.4460467926555</c:v>
                </c:pt>
                <c:pt idx="16">
                  <c:v>110.5857195199785</c:v>
                </c:pt>
                <c:pt idx="17">
                  <c:v>113.6414450370909</c:v>
                </c:pt>
                <c:pt idx="18">
                  <c:v>116.6198381723552</c:v>
                </c:pt>
                <c:pt idx="19">
                  <c:v>119.5266955094678</c:v>
                </c:pt>
                <c:pt idx="20">
                  <c:v>122.3671304215266</c:v>
                </c:pt>
                <c:pt idx="21">
                  <c:v>125.1456807432558</c:v>
                </c:pt>
                <c:pt idx="22">
                  <c:v>127.8663955666203</c:v>
                </c:pt>
                <c:pt idx="23">
                  <c:v>130.532905903255</c:v>
                </c:pt>
                <c:pt idx="24">
                  <c:v>133.1484827337709</c:v>
                </c:pt>
                <c:pt idx="25">
                  <c:v>135.7160850908589</c:v>
                </c:pt>
                <c:pt idx="26">
                  <c:v>138.2384001907078</c:v>
                </c:pt>
                <c:pt idx="27">
                  <c:v>140.7178771630325</c:v>
                </c:pt>
                <c:pt idx="28">
                  <c:v>143.156755585005</c:v>
                </c:pt>
                <c:pt idx="29">
                  <c:v>145.557089765038</c:v>
                </c:pt>
                <c:pt idx="30">
                  <c:v>147.9207695253648</c:v>
                </c:pt>
                <c:pt idx="31">
                  <c:v>150.2495380812208</c:v>
                </c:pt>
                <c:pt idx="32">
                  <c:v>152.5450074974325</c:v>
                </c:pt>
                <c:pt idx="33">
                  <c:v>154.8086721118705</c:v>
                </c:pt>
                <c:pt idx="34">
                  <c:v>157.0419202433314</c:v>
                </c:pt>
                <c:pt idx="35">
                  <c:v>159.2460444444092</c:v>
                </c:pt>
                <c:pt idx="36">
                  <c:v>161.4222505144086</c:v>
                </c:pt>
                <c:pt idx="37">
                  <c:v>163.5716654507694</c:v>
                </c:pt>
                <c:pt idx="38">
                  <c:v>165.6953444878892</c:v>
                </c:pt>
                <c:pt idx="39">
                  <c:v>167.7942773481661</c:v>
                </c:pt>
                <c:pt idx="40">
                  <c:v>169.8693938103961</c:v>
                </c:pt>
                <c:pt idx="41">
                  <c:v>171.9215686844716</c:v>
                </c:pt>
                <c:pt idx="42">
                  <c:v>173.9516262679496</c:v>
                </c:pt>
                <c:pt idx="43">
                  <c:v>175.9603443489465</c:v>
                </c:pt>
                <c:pt idx="44">
                  <c:v>177.948457810551</c:v>
                </c:pt>
                <c:pt idx="45">
                  <c:v>179.9166618841844</c:v>
                </c:pt>
                <c:pt idx="46">
                  <c:v>181.8656150928073</c:v>
                </c:pt>
                <c:pt idx="47">
                  <c:v>183.7959419193558</c:v>
                </c:pt>
                <c:pt idx="48">
                  <c:v>185.7082352311216</c:v>
                </c:pt>
                <c:pt idx="49">
                  <c:v>187.6030584868093</c:v>
                </c:pt>
                <c:pt idx="50">
                  <c:v>189.4809477496136</c:v>
                </c:pt>
                <c:pt idx="51">
                  <c:v>191.3424135267546</c:v>
                </c:pt>
                <c:pt idx="52">
                  <c:v>193.1879424534087</c:v>
                </c:pt>
                <c:pt idx="53">
                  <c:v>195.0179988368255</c:v>
                </c:pt>
                <c:pt idx="54">
                  <c:v>196.8330260745612</c:v>
                </c:pt>
                <c:pt idx="55">
                  <c:v>198.6334479591462</c:v>
                </c:pt>
                <c:pt idx="56">
                  <c:v>200.4196698801082</c:v>
                </c:pt>
                <c:pt idx="57">
                  <c:v>202.1920799330494</c:v>
                </c:pt>
                <c:pt idx="58">
                  <c:v>203.9510499444151</c:v>
                </c:pt>
                <c:pt idx="59">
                  <c:v>205.6969364196547</c:v>
                </c:pt>
                <c:pt idx="60">
                  <c:v>207.4300814216614</c:v>
                </c:pt>
                <c:pt idx="61">
                  <c:v>209.1508133856563</c:v>
                </c:pt>
                <c:pt idx="62">
                  <c:v>210.8594478760474</c:v>
                </c:pt>
                <c:pt idx="63">
                  <c:v>212.5562882902368</c:v>
                </c:pt>
                <c:pt idx="64">
                  <c:v>214.2416265138498</c:v>
                </c:pt>
                <c:pt idx="65">
                  <c:v>215.915743531425</c:v>
                </c:pt>
                <c:pt idx="66">
                  <c:v>217.5789099962088</c:v>
                </c:pt>
                <c:pt idx="67">
                  <c:v>219.231386762356</c:v>
                </c:pt>
                <c:pt idx="68">
                  <c:v>220.8734253825224</c:v>
                </c:pt>
                <c:pt idx="69">
                  <c:v>222.5052685735627</c:v>
                </c:pt>
                <c:pt idx="70">
                  <c:v>224.1271506527993</c:v>
                </c:pt>
                <c:pt idx="71">
                  <c:v>225.7392979471023</c:v>
                </c:pt>
                <c:pt idx="72">
                  <c:v>227.3419291768263</c:v>
                </c:pt>
                <c:pt idx="73">
                  <c:v>228.935255816467</c:v>
                </c:pt>
                <c:pt idx="74">
                  <c:v>230.519482433742</c:v>
                </c:pt>
                <c:pt idx="75">
                  <c:v>232.0948070086525</c:v>
                </c:pt>
                <c:pt idx="76">
                  <c:v>233.6614212339547</c:v>
                </c:pt>
                <c:pt idx="77">
                  <c:v>235.219510798347</c:v>
                </c:pt>
                <c:pt idx="78">
                  <c:v>236.7692556535752</c:v>
                </c:pt>
                <c:pt idx="79">
                  <c:v>238.3108302665591</c:v>
                </c:pt>
                <c:pt idx="80">
                  <c:v>239.8444038575547</c:v>
                </c:pt>
                <c:pt idx="81">
                  <c:v>241.3701406252885</c:v>
                </c:pt>
                <c:pt idx="82">
                  <c:v>242.8881999599248</c:v>
                </c:pt>
                <c:pt idx="83">
                  <c:v>244.3987366446607</c:v>
                </c:pt>
                <c:pt idx="84">
                  <c:v>245.9019010466851</c:v>
                </c:pt>
                <c:pt idx="85">
                  <c:v>247.3978392981797</c:v>
                </c:pt>
                <c:pt idx="86">
                  <c:v>248.8866934679909</c:v>
                </c:pt>
                <c:pt idx="87">
                  <c:v>250.3686017245549</c:v>
                </c:pt>
                <c:pt idx="88">
                  <c:v>251.8436984906166</c:v>
                </c:pt>
                <c:pt idx="89">
                  <c:v>253.3121145902415</c:v>
                </c:pt>
                <c:pt idx="90">
                  <c:v>254.7739773885875</c:v>
                </c:pt>
                <c:pt idx="91">
                  <c:v>256.2294109248686</c:v>
                </c:pt>
                <c:pt idx="92">
                  <c:v>257.6785360389124</c:v>
                </c:pt>
                <c:pt idx="93">
                  <c:v>259.1214704916861</c:v>
                </c:pt>
                <c:pt idx="94">
                  <c:v>260.5583290801403</c:v>
                </c:pt>
                <c:pt idx="95">
                  <c:v>261.9892237466952</c:v>
                </c:pt>
                <c:pt idx="96">
                  <c:v>263.4142636836741</c:v>
                </c:pt>
                <c:pt idx="97">
                  <c:v>264.833555432966</c:v>
                </c:pt>
                <c:pt idx="98">
                  <c:v>266.2472029811839</c:v>
                </c:pt>
                <c:pt idx="99">
                  <c:v>267.655307850566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'Bernoulli Integration'!$D$23</c:f>
              <c:strCache>
                <c:ptCount val="1"/>
                <c:pt idx="0">
                  <c:v>Flux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none"/>
          </c:marker>
          <c:xVal>
            <c:numRef>
              <c:f>'Bernoulli Integration'!$E$7:$CZ$7</c:f>
              <c:numCache>
                <c:formatCode>#,##0</c:formatCode>
                <c:ptCount val="100"/>
                <c:pt idx="0">
                  <c:v>2.71327862845834E7</c:v>
                </c:pt>
                <c:pt idx="1">
                  <c:v>2.70691863548782E7</c:v>
                </c:pt>
                <c:pt idx="2">
                  <c:v>2.70055864251731E7</c:v>
                </c:pt>
                <c:pt idx="3">
                  <c:v>2.6941986495468E7</c:v>
                </c:pt>
                <c:pt idx="4">
                  <c:v>2.68783865657629E7</c:v>
                </c:pt>
                <c:pt idx="5">
                  <c:v>2.68147866360577E7</c:v>
                </c:pt>
                <c:pt idx="6">
                  <c:v>2.67511867063526E7</c:v>
                </c:pt>
                <c:pt idx="7">
                  <c:v>2.66875867766475E7</c:v>
                </c:pt>
                <c:pt idx="8">
                  <c:v>2.66239868469424E7</c:v>
                </c:pt>
                <c:pt idx="9">
                  <c:v>2.65603869172372E7</c:v>
                </c:pt>
                <c:pt idx="10">
                  <c:v>2.64967869875321E7</c:v>
                </c:pt>
                <c:pt idx="11">
                  <c:v>2.6433187057827E7</c:v>
                </c:pt>
                <c:pt idx="12">
                  <c:v>2.63695871281218E7</c:v>
                </c:pt>
                <c:pt idx="13">
                  <c:v>2.63059871984167E7</c:v>
                </c:pt>
                <c:pt idx="14">
                  <c:v>2.62423872687116E7</c:v>
                </c:pt>
                <c:pt idx="15">
                  <c:v>2.61787873390065E7</c:v>
                </c:pt>
                <c:pt idx="16">
                  <c:v>2.61151874093013E7</c:v>
                </c:pt>
                <c:pt idx="17">
                  <c:v>2.60515874795962E7</c:v>
                </c:pt>
                <c:pt idx="18">
                  <c:v>2.59879875498911E7</c:v>
                </c:pt>
                <c:pt idx="19">
                  <c:v>2.59243876201859E7</c:v>
                </c:pt>
                <c:pt idx="20">
                  <c:v>2.58607876904808E7</c:v>
                </c:pt>
                <c:pt idx="21">
                  <c:v>2.57971877607757E7</c:v>
                </c:pt>
                <c:pt idx="22">
                  <c:v>2.57335878310706E7</c:v>
                </c:pt>
                <c:pt idx="23">
                  <c:v>2.56699879013654E7</c:v>
                </c:pt>
                <c:pt idx="24">
                  <c:v>2.56063879716603E7</c:v>
                </c:pt>
                <c:pt idx="25">
                  <c:v>2.55427880419552E7</c:v>
                </c:pt>
                <c:pt idx="26">
                  <c:v>2.547918811225E7</c:v>
                </c:pt>
                <c:pt idx="27">
                  <c:v>2.54155881825449E7</c:v>
                </c:pt>
                <c:pt idx="28">
                  <c:v>2.53519882528398E7</c:v>
                </c:pt>
                <c:pt idx="29">
                  <c:v>2.52883883231347E7</c:v>
                </c:pt>
                <c:pt idx="30">
                  <c:v>2.52247883934295E7</c:v>
                </c:pt>
                <c:pt idx="31">
                  <c:v>2.51611884637244E7</c:v>
                </c:pt>
                <c:pt idx="32">
                  <c:v>2.50975885340193E7</c:v>
                </c:pt>
                <c:pt idx="33">
                  <c:v>2.50339886043141E7</c:v>
                </c:pt>
                <c:pt idx="34">
                  <c:v>2.4970388674609E7</c:v>
                </c:pt>
                <c:pt idx="35">
                  <c:v>2.49067887449039E7</c:v>
                </c:pt>
                <c:pt idx="36">
                  <c:v>2.48431888151988E7</c:v>
                </c:pt>
                <c:pt idx="37">
                  <c:v>2.47795888854936E7</c:v>
                </c:pt>
                <c:pt idx="38">
                  <c:v>2.47159889557885E7</c:v>
                </c:pt>
                <c:pt idx="39">
                  <c:v>2.46523890260834E7</c:v>
                </c:pt>
                <c:pt idx="40">
                  <c:v>2.45887890963783E7</c:v>
                </c:pt>
                <c:pt idx="41">
                  <c:v>2.45251891666731E7</c:v>
                </c:pt>
                <c:pt idx="42">
                  <c:v>2.4461589236968E7</c:v>
                </c:pt>
                <c:pt idx="43">
                  <c:v>2.43979893072629E7</c:v>
                </c:pt>
                <c:pt idx="44">
                  <c:v>2.43343893775577E7</c:v>
                </c:pt>
                <c:pt idx="45">
                  <c:v>2.42707894478526E7</c:v>
                </c:pt>
                <c:pt idx="46">
                  <c:v>2.42071895181475E7</c:v>
                </c:pt>
                <c:pt idx="47">
                  <c:v>2.41435895884424E7</c:v>
                </c:pt>
                <c:pt idx="48">
                  <c:v>2.40799896587372E7</c:v>
                </c:pt>
                <c:pt idx="49">
                  <c:v>2.40163897290321E7</c:v>
                </c:pt>
                <c:pt idx="50">
                  <c:v>2.3952789799327E7</c:v>
                </c:pt>
                <c:pt idx="51">
                  <c:v>2.38891898696218E7</c:v>
                </c:pt>
                <c:pt idx="52">
                  <c:v>2.38255899399167E7</c:v>
                </c:pt>
                <c:pt idx="53">
                  <c:v>2.37619900102116E7</c:v>
                </c:pt>
                <c:pt idx="54">
                  <c:v>2.36983900805065E7</c:v>
                </c:pt>
                <c:pt idx="55">
                  <c:v>2.36347901508013E7</c:v>
                </c:pt>
                <c:pt idx="56">
                  <c:v>2.35711902210962E7</c:v>
                </c:pt>
                <c:pt idx="57">
                  <c:v>2.35075902913911E7</c:v>
                </c:pt>
                <c:pt idx="58">
                  <c:v>2.34439903616859E7</c:v>
                </c:pt>
                <c:pt idx="59">
                  <c:v>2.33803904319808E7</c:v>
                </c:pt>
                <c:pt idx="60">
                  <c:v>2.33167905022757E7</c:v>
                </c:pt>
                <c:pt idx="61">
                  <c:v>2.32531905725706E7</c:v>
                </c:pt>
                <c:pt idx="62">
                  <c:v>2.31895906428654E7</c:v>
                </c:pt>
                <c:pt idx="63">
                  <c:v>2.31259907131603E7</c:v>
                </c:pt>
                <c:pt idx="64">
                  <c:v>2.30623907834552E7</c:v>
                </c:pt>
                <c:pt idx="65">
                  <c:v>2.29987908537501E7</c:v>
                </c:pt>
                <c:pt idx="66">
                  <c:v>2.29351909240449E7</c:v>
                </c:pt>
                <c:pt idx="67">
                  <c:v>2.28715909943398E7</c:v>
                </c:pt>
                <c:pt idx="68">
                  <c:v>2.28079910646347E7</c:v>
                </c:pt>
                <c:pt idx="69">
                  <c:v>2.27443911349295E7</c:v>
                </c:pt>
                <c:pt idx="70">
                  <c:v>2.26807912052244E7</c:v>
                </c:pt>
                <c:pt idx="71">
                  <c:v>2.26171912755193E7</c:v>
                </c:pt>
                <c:pt idx="72">
                  <c:v>2.25535913458142E7</c:v>
                </c:pt>
                <c:pt idx="73">
                  <c:v>2.2489991416109E7</c:v>
                </c:pt>
                <c:pt idx="74">
                  <c:v>2.24263914864039E7</c:v>
                </c:pt>
                <c:pt idx="75">
                  <c:v>2.23627915566988E7</c:v>
                </c:pt>
                <c:pt idx="76">
                  <c:v>2.22991916269936E7</c:v>
                </c:pt>
                <c:pt idx="77">
                  <c:v>2.22355916972885E7</c:v>
                </c:pt>
                <c:pt idx="78">
                  <c:v>2.21719917675834E7</c:v>
                </c:pt>
                <c:pt idx="79">
                  <c:v>2.21083918378783E7</c:v>
                </c:pt>
                <c:pt idx="80">
                  <c:v>2.20447919081731E7</c:v>
                </c:pt>
                <c:pt idx="81">
                  <c:v>2.1981191978468E7</c:v>
                </c:pt>
                <c:pt idx="82">
                  <c:v>2.19175920487629E7</c:v>
                </c:pt>
                <c:pt idx="83">
                  <c:v>2.18539921190577E7</c:v>
                </c:pt>
                <c:pt idx="84">
                  <c:v>2.17903921893526E7</c:v>
                </c:pt>
                <c:pt idx="85">
                  <c:v>2.17267922596475E7</c:v>
                </c:pt>
                <c:pt idx="86">
                  <c:v>2.16631923299424E7</c:v>
                </c:pt>
                <c:pt idx="87">
                  <c:v>2.15995924002372E7</c:v>
                </c:pt>
                <c:pt idx="88">
                  <c:v>2.15359924705321E7</c:v>
                </c:pt>
                <c:pt idx="89">
                  <c:v>2.1472392540827E7</c:v>
                </c:pt>
                <c:pt idx="90">
                  <c:v>2.14087926111218E7</c:v>
                </c:pt>
                <c:pt idx="91">
                  <c:v>2.13451926814167E7</c:v>
                </c:pt>
                <c:pt idx="92">
                  <c:v>2.12815927517116E7</c:v>
                </c:pt>
                <c:pt idx="93">
                  <c:v>2.12179928220065E7</c:v>
                </c:pt>
                <c:pt idx="94">
                  <c:v>2.11543928923013E7</c:v>
                </c:pt>
                <c:pt idx="95">
                  <c:v>2.10907929625962E7</c:v>
                </c:pt>
                <c:pt idx="96">
                  <c:v>2.10271930328911E7</c:v>
                </c:pt>
                <c:pt idx="97">
                  <c:v>2.0963593103186E7</c:v>
                </c:pt>
                <c:pt idx="98">
                  <c:v>2.08999931734808E7</c:v>
                </c:pt>
                <c:pt idx="99">
                  <c:v>2.08363932437757E7</c:v>
                </c:pt>
              </c:numCache>
            </c:numRef>
          </c:xVal>
          <c:yVal>
            <c:numRef>
              <c:f>'Bernoulli Integration'!$E$23:$CZ$23</c:f>
              <c:numCache>
                <c:formatCode>0</c:formatCode>
                <c:ptCount val="100"/>
                <c:pt idx="0">
                  <c:v>69.22535724838417</c:v>
                </c:pt>
                <c:pt idx="1">
                  <c:v>84.72949388060516</c:v>
                </c:pt>
                <c:pt idx="2">
                  <c:v>97.77464441637366</c:v>
                </c:pt>
                <c:pt idx="3">
                  <c:v>109.2451077186307</c:v>
                </c:pt>
                <c:pt idx="4">
                  <c:v>119.5946741359534</c:v>
                </c:pt>
                <c:pt idx="5">
                  <c:v>129.0930677136895</c:v>
                </c:pt>
                <c:pt idx="6">
                  <c:v>137.9161235186547</c:v>
                </c:pt>
                <c:pt idx="7">
                  <c:v>146.1860404437077</c:v>
                </c:pt>
                <c:pt idx="8">
                  <c:v>153.9918352017475</c:v>
                </c:pt>
                <c:pt idx="9">
                  <c:v>161.4007404741998</c:v>
                </c:pt>
                <c:pt idx="10">
                  <c:v>168.4650134193717</c:v>
                </c:pt>
                <c:pt idx="11">
                  <c:v>175.2262297365553</c:v>
                </c:pt>
                <c:pt idx="12">
                  <c:v>181.7181130429967</c:v>
                </c:pt>
                <c:pt idx="13">
                  <c:v>187.9684675891504</c:v>
                </c:pt>
                <c:pt idx="14">
                  <c:v>194.0005389969782</c:v>
                </c:pt>
                <c:pt idx="15">
                  <c:v>199.833997270363</c:v>
                </c:pt>
                <c:pt idx="16">
                  <c:v>205.485662859823</c:v>
                </c:pt>
                <c:pt idx="17">
                  <c:v>210.9700534075715</c:v>
                </c:pt>
                <c:pt idx="18">
                  <c:v>216.2998025146695</c:v>
                </c:pt>
                <c:pt idx="19">
                  <c:v>221.4859853520098</c:v>
                </c:pt>
                <c:pt idx="20">
                  <c:v>226.5383752629653</c:v>
                </c:pt>
                <c:pt idx="21">
                  <c:v>231.4656484380309</c:v>
                </c:pt>
                <c:pt idx="22">
                  <c:v>236.2755489589056</c:v>
                </c:pt>
                <c:pt idx="23">
                  <c:v>240.9750232085562</c:v>
                </c:pt>
                <c:pt idx="24">
                  <c:v>245.570330324992</c:v>
                </c:pt>
                <c:pt idx="25">
                  <c:v>250.0671337211749</c:v>
                </c:pt>
                <c:pt idx="26">
                  <c:v>254.4705774943492</c:v>
                </c:pt>
                <c:pt idx="27">
                  <c:v>258.7853506676859</c:v>
                </c:pt>
                <c:pt idx="28">
                  <c:v>263.0157415527068</c:v>
                </c:pt>
                <c:pt idx="29">
                  <c:v>267.1656840289417</c:v>
                </c:pt>
                <c:pt idx="30">
                  <c:v>271.2387971634242</c:v>
                </c:pt>
                <c:pt idx="31">
                  <c:v>275.2384193058037</c:v>
                </c:pt>
                <c:pt idx="32">
                  <c:v>279.1676375727467</c:v>
                </c:pt>
                <c:pt idx="33">
                  <c:v>283.0293134618717</c:v>
                </c:pt>
                <c:pt idx="34">
                  <c:v>286.8261051989373</c:v>
                </c:pt>
                <c:pt idx="35">
                  <c:v>290.5604873137502</c:v>
                </c:pt>
                <c:pt idx="36">
                  <c:v>294.2347678537892</c:v>
                </c:pt>
                <c:pt idx="37">
                  <c:v>297.8511035750598</c:v>
                </c:pt>
                <c:pt idx="38">
                  <c:v>301.4115133934583</c:v>
                </c:pt>
                <c:pt idx="39">
                  <c:v>304.9178903341967</c:v>
                </c:pt>
                <c:pt idx="40">
                  <c:v>308.37201217941</c:v>
                </c:pt>
                <c:pt idx="41">
                  <c:v>311.7755509832901</c:v>
                </c:pt>
                <c:pt idx="42">
                  <c:v>315.1300815986478</c:v>
                </c:pt>
                <c:pt idx="43">
                  <c:v>318.4370893376736</c:v>
                </c:pt>
                <c:pt idx="44">
                  <c:v>321.6979768720397</c:v>
                </c:pt>
                <c:pt idx="45">
                  <c:v>324.9140704627168</c:v>
                </c:pt>
                <c:pt idx="46">
                  <c:v>328.086625597451</c:v>
                </c:pt>
                <c:pt idx="47">
                  <c:v>331.2168321033531</c:v>
                </c:pt>
                <c:pt idx="48">
                  <c:v>334.3058187931562</c:v>
                </c:pt>
                <c:pt idx="49">
                  <c:v>337.3546576961221</c:v>
                </c:pt>
                <c:pt idx="50">
                  <c:v>340.3643679181251</c:v>
                </c:pt>
                <c:pt idx="51">
                  <c:v>343.3359191698949</c:v>
                </c:pt>
                <c:pt idx="52">
                  <c:v>346.2702349976568</c:v>
                </c:pt>
                <c:pt idx="53">
                  <c:v>349.1681957462968</c:v>
                </c:pt>
                <c:pt idx="54">
                  <c:v>352.0306412816477</c:v>
                </c:pt>
                <c:pt idx="55">
                  <c:v>354.8583734954128</c:v>
                </c:pt>
                <c:pt idx="56">
                  <c:v>357.6521586135862</c:v>
                </c:pt>
                <c:pt idx="57">
                  <c:v>360.4127293268879</c:v>
                </c:pt>
                <c:pt idx="58">
                  <c:v>363.1407867597213</c:v>
                </c:pt>
                <c:pt idx="59">
                  <c:v>365.8370022923648</c:v>
                </c:pt>
                <c:pt idx="60">
                  <c:v>368.5020192495581</c:v>
                </c:pt>
                <c:pt idx="61">
                  <c:v>371.1364544672682</c:v>
                </c:pt>
                <c:pt idx="62">
                  <c:v>373.7408997482155</c:v>
                </c:pt>
                <c:pt idx="63">
                  <c:v>376.3159232156575</c:v>
                </c:pt>
                <c:pt idx="64">
                  <c:v>378.8620705740011</c:v>
                </c:pt>
                <c:pt idx="65">
                  <c:v>381.3798662839596</c:v>
                </c:pt>
                <c:pt idx="66">
                  <c:v>383.8698146592318</c:v>
                </c:pt>
                <c:pt idx="67">
                  <c:v>386.3324008910152</c:v>
                </c:pt>
                <c:pt idx="68">
                  <c:v>388.7680920060779</c:v>
                </c:pt>
                <c:pt idx="69">
                  <c:v>391.1773377635769</c:v>
                </c:pt>
                <c:pt idx="70">
                  <c:v>393.5605714953414</c:v>
                </c:pt>
                <c:pt idx="71">
                  <c:v>395.9182108939228</c:v>
                </c:pt>
                <c:pt idx="72">
                  <c:v>398.2506587523168</c:v>
                </c:pt>
                <c:pt idx="73">
                  <c:v>400.5583036589356</c:v>
                </c:pt>
                <c:pt idx="74">
                  <c:v>402.841520651093</c:v>
                </c:pt>
                <c:pt idx="75">
                  <c:v>405.1006718299868</c:v>
                </c:pt>
                <c:pt idx="76">
                  <c:v>407.3361069399148</c:v>
                </c:pt>
                <c:pt idx="77">
                  <c:v>409.5481639142328</c:v>
                </c:pt>
                <c:pt idx="78">
                  <c:v>411.7371693903567</c:v>
                </c:pt>
                <c:pt idx="79">
                  <c:v>413.9034391959261</c:v>
                </c:pt>
                <c:pt idx="80">
                  <c:v>416.0472788080751</c:v>
                </c:pt>
                <c:pt idx="81">
                  <c:v>418.1689837876056</c:v>
                </c:pt>
                <c:pt idx="82">
                  <c:v>420.2688401897166</c:v>
                </c:pt>
                <c:pt idx="83">
                  <c:v>422.3471249528167</c:v>
                </c:pt>
                <c:pt idx="84">
                  <c:v>424.4041062668255</c:v>
                </c:pt>
                <c:pt idx="85">
                  <c:v>426.4400439222765</c:v>
                </c:pt>
                <c:pt idx="86">
                  <c:v>428.4551896414193</c:v>
                </c:pt>
                <c:pt idx="87">
                  <c:v>430.449787392446</c:v>
                </c:pt>
                <c:pt idx="88">
                  <c:v>432.4240736878754</c:v>
                </c:pt>
                <c:pt idx="89">
                  <c:v>434.378277868059</c:v>
                </c:pt>
                <c:pt idx="90">
                  <c:v>436.3126223707014</c:v>
                </c:pt>
                <c:pt idx="91">
                  <c:v>438.2273229872272</c:v>
                </c:pt>
                <c:pt idx="92">
                  <c:v>440.1225891067665</c:v>
                </c:pt>
                <c:pt idx="93">
                  <c:v>441.9986239484808</c:v>
                </c:pt>
                <c:pt idx="94">
                  <c:v>443.8556247828957</c:v>
                </c:pt>
                <c:pt idx="95">
                  <c:v>445.6937831428758</c:v>
                </c:pt>
                <c:pt idx="96">
                  <c:v>447.5132850248098</c:v>
                </c:pt>
                <c:pt idx="97">
                  <c:v>449.3143110805678</c:v>
                </c:pt>
                <c:pt idx="98">
                  <c:v>451.0970368007303</c:v>
                </c:pt>
                <c:pt idx="99">
                  <c:v>452.861632689567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61531944"/>
        <c:axId val="-2061525480"/>
      </c:scatterChart>
      <c:valAx>
        <c:axId val="-20615319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Differential Press (Pa)</a:t>
                </a:r>
              </a:p>
            </c:rich>
          </c:tx>
          <c:layout>
            <c:manualLayout>
              <c:xMode val="edge"/>
              <c:yMode val="edge"/>
              <c:x val="0.430813094811539"/>
              <c:y val="0.8742715503971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61525480"/>
        <c:crosses val="autoZero"/>
        <c:crossBetween val="midCat"/>
      </c:valAx>
      <c:valAx>
        <c:axId val="-2061525480"/>
        <c:scaling>
          <c:orientation val="minMax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Velocity (m/s)</a:t>
                </a:r>
              </a:p>
            </c:rich>
          </c:tx>
          <c:layout>
            <c:manualLayout>
              <c:xMode val="edge"/>
              <c:yMode val="edge"/>
              <c:x val="0.0313837643213577"/>
              <c:y val="0.274854722663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0615319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474492756879"/>
          <c:y val="0.283917673364869"/>
          <c:w val="0.271920236152667"/>
          <c:h val="0.0676329300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image" Target="../media/image1.jpg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9526</xdr:colOff>
      <xdr:row>25</xdr:row>
      <xdr:rowOff>142875</xdr:rowOff>
    </xdr:from>
    <xdr:to>
      <xdr:col>20</xdr:col>
      <xdr:colOff>0</xdr:colOff>
      <xdr:row>31</xdr:row>
      <xdr:rowOff>173353</xdr:rowOff>
    </xdr:to>
    <xdr:graphicFrame macro="">
      <xdr:nvGraphicFramePr>
        <xdr:cNvPr id="1025" name="Chart 4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37148</xdr:colOff>
      <xdr:row>32</xdr:row>
      <xdr:rowOff>166686</xdr:rowOff>
    </xdr:from>
    <xdr:to>
      <xdr:col>19</xdr:col>
      <xdr:colOff>1062038</xdr:colOff>
      <xdr:row>41</xdr:row>
      <xdr:rowOff>166687</xdr:rowOff>
    </xdr:to>
    <xdr:graphicFrame macro="">
      <xdr:nvGraphicFramePr>
        <xdr:cNvPr id="1026" name="Chart 5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19050</xdr:colOff>
      <xdr:row>0</xdr:row>
      <xdr:rowOff>419099</xdr:rowOff>
    </xdr:from>
    <xdr:to>
      <xdr:col>19</xdr:col>
      <xdr:colOff>1066800</xdr:colOff>
      <xdr:row>25</xdr:row>
      <xdr:rowOff>171450</xdr:rowOff>
    </xdr:to>
    <xdr:graphicFrame macro="">
      <xdr:nvGraphicFramePr>
        <xdr:cNvPr id="1027" name="Chart 5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13</xdr:col>
      <xdr:colOff>142875</xdr:colOff>
      <xdr:row>0</xdr:row>
      <xdr:rowOff>57151</xdr:rowOff>
    </xdr:from>
    <xdr:to>
      <xdr:col>15</xdr:col>
      <xdr:colOff>523875</xdr:colOff>
      <xdr:row>0</xdr:row>
      <xdr:rowOff>370660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57151"/>
          <a:ext cx="1704975" cy="313509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0.45711</cdr:x>
      <cdr:y>0.53599</cdr:y>
    </cdr:from>
    <cdr:to>
      <cdr:x>0.59594</cdr:x>
      <cdr:y>0.6965</cdr:y>
    </cdr:to>
    <cdr:sp macro="" textlink="">
      <cdr:nvSpPr>
        <cdr:cNvPr id="406529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01215" y="1049651"/>
          <a:ext cx="638175" cy="314333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val="C0C0C0"/>
            </a:gs>
            <a:gs pos="100000">
              <a:srgbClr val="595959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0" tIns="22860" rIns="27432" bIns="22860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2.88" </a:t>
          </a:r>
        </a:p>
      </cdr:txBody>
    </cdr:sp>
  </cdr:relSizeAnchor>
  <cdr:relSizeAnchor xmlns:cdr="http://schemas.openxmlformats.org/drawingml/2006/chartDrawing">
    <cdr:from>
      <cdr:x>0.08827</cdr:x>
      <cdr:y>0.54086</cdr:y>
    </cdr:from>
    <cdr:to>
      <cdr:x>0.3017</cdr:x>
      <cdr:y>0.7</cdr:y>
    </cdr:to>
    <cdr:sp macro="" textlink="">
      <cdr:nvSpPr>
        <cdr:cNvPr id="406530" name="Text Box 409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756" y="927305"/>
          <a:ext cx="981088" cy="272846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val="C0C0C0"/>
            </a:gs>
            <a:gs pos="100000">
              <a:srgbClr val="595959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0" tIns="22860" rIns="27432" bIns="22860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1.69"  Motor</a:t>
          </a:r>
        </a:p>
      </cdr:txBody>
    </cdr:sp>
  </cdr:relSizeAnchor>
  <cdr:relSizeAnchor xmlns:cdr="http://schemas.openxmlformats.org/drawingml/2006/chartDrawing">
    <cdr:from>
      <cdr:x>0.30377</cdr:x>
      <cdr:y>0.54572</cdr:y>
    </cdr:from>
    <cdr:to>
      <cdr:x>0.45918</cdr:x>
      <cdr:y>0.70008</cdr:y>
    </cdr:to>
    <cdr:sp macro="" textlink="">
      <cdr:nvSpPr>
        <cdr:cNvPr id="406531" name="Text Box 410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6365" y="1068705"/>
          <a:ext cx="714376" cy="302290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0">
              <a:srgbClr val="C0C0C0"/>
            </a:gs>
            <a:gs pos="100000">
              <a:srgbClr val="595959">
                <a:gamma/>
                <a:shade val="46275"/>
                <a:invGamma/>
              </a:srgbClr>
            </a:gs>
          </a:gsLst>
          <a:lin ang="0" scaled="1"/>
        </a:gra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0" tIns="22860" rIns="27432" bIns="22860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2.12" </a:t>
          </a:r>
        </a:p>
      </cdr:txBody>
    </cdr:sp>
  </cdr:relSizeAnchor>
  <cdr:relSizeAnchor xmlns:cdr="http://schemas.openxmlformats.org/drawingml/2006/chartDrawing">
    <cdr:from>
      <cdr:x>0.59594</cdr:x>
      <cdr:y>0.53599</cdr:y>
    </cdr:from>
    <cdr:to>
      <cdr:x>0.96477</cdr:x>
      <cdr:y>0.7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39396" y="918956"/>
          <a:ext cx="1695425" cy="281196"/>
        </a:xfrm>
        <a:prstGeom xmlns:a="http://schemas.openxmlformats.org/drawingml/2006/main" prst="rect">
          <a:avLst/>
        </a:prstGeom>
        <a:gradFill xmlns:a="http://schemas.openxmlformats.org/drawingml/2006/main" flip="none" rotWithShape="1">
          <a:gsLst>
            <a:gs pos="0">
              <a:schemeClr val="bg1">
                <a:lumMod val="85000"/>
              </a:schemeClr>
            </a:gs>
            <a:gs pos="100000">
              <a:schemeClr val="tx1">
                <a:lumMod val="95000"/>
                <a:lumOff val="5000"/>
              </a:schemeClr>
            </a:gs>
            <a:gs pos="100000">
              <a:schemeClr val="tx1">
                <a:lumMod val="75000"/>
                <a:lumOff val="25000"/>
              </a:schemeClr>
            </a:gs>
          </a:gsLst>
          <a:lin ang="0" scaled="1"/>
          <a:tileRect/>
        </a:gra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3.XX"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0.0302</cdr:x>
      <cdr:y>0.94263</cdr:y>
    </cdr:from>
    <cdr:to>
      <cdr:x>0.84218</cdr:x>
      <cdr:y>0.98799</cdr:y>
    </cdr:to>
    <cdr:sp macro="" textlink="">
      <cdr:nvSpPr>
        <cdr:cNvPr id="410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493" y="4207331"/>
          <a:ext cx="3751043" cy="20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22860" rIns="0" bIns="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Tubing on Reel </a:t>
          </a: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←→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Measured depth in well (feet)</a:t>
          </a:r>
        </a:p>
      </cdr:txBody>
    </cdr:sp>
  </cdr:relSizeAnchor>
  <cdr:relSizeAnchor xmlns:cdr="http://schemas.openxmlformats.org/drawingml/2006/chartDrawing">
    <cdr:from>
      <cdr:x>0.12165</cdr:x>
      <cdr:y>0.01588</cdr:y>
    </cdr:from>
    <cdr:to>
      <cdr:x>0.55648</cdr:x>
      <cdr:y>0.06957</cdr:y>
    </cdr:to>
    <cdr:sp macro="" textlink="">
      <cdr:nvSpPr>
        <cdr:cNvPr id="410629" name="Text Box 102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975" y="79424"/>
          <a:ext cx="2008734" cy="2684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Circulating Pressure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19053</xdr:colOff>
      <xdr:row>0</xdr:row>
      <xdr:rowOff>19047</xdr:rowOff>
    </xdr:from>
    <xdr:to>
      <xdr:col>1</xdr:col>
      <xdr:colOff>0</xdr:colOff>
      <xdr:row>67</xdr:row>
      <xdr:rowOff>123825</xdr:rowOff>
    </xdr:to>
    <xdr:sp macro="" textlink="">
      <xdr:nvSpPr>
        <xdr:cNvPr id="2" name="TextBox 1"/>
        <xdr:cNvSpPr txBox="1"/>
      </xdr:nvSpPr>
      <xdr:spPr>
        <a:xfrm>
          <a:off x="19053" y="19047"/>
          <a:ext cx="6391272" cy="109347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i="0" u="sng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Instruction for Using the MGS WBS Performance Software</a:t>
          </a:r>
        </a:p>
        <a:p>
          <a:endParaRPr lang="en-US" sz="800" b="1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4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WBS</a:t>
          </a:r>
        </a:p>
        <a:p>
          <a:r>
            <a:rPr lang="en-US" sz="11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Bypass orifice size is selected so maximum motor speed is not exceeded at the maximum required pump flow rate. Input variables include: required pump flow rate, motor selection, coil size and length and depth of operation. </a:t>
          </a:r>
        </a:p>
        <a:p>
          <a:endParaRPr lang="en-US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685800" marR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 typeface="+mj-lt"/>
            <a:buAutoNum type="arabicPeriod"/>
            <a:tabLst/>
            <a:defRPr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Open the spreadsheet/program: </a:t>
          </a:r>
          <a:r>
            <a:rPr lang="en-U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MGS WBS Performance US.xls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.  Microsoft Excel 2000 or later is required.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When asked,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Enable Macros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Input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String and Well Data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in the white cells (note the units).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Use the drop-down boxes for selecting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Orifice Size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and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Motor Specification.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Pick closest match to the motor you will be using. (The drop down list includes some tool combinations. If you plan to run motors and/or other tools not on this list contact Tempress for assistance)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Adjust variable input parameters as needed to get the desired result.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Press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Control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and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(together) if directed to balance the model.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Check that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Pump Pressure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is acceptable.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Check that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Flow to motor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is within the appropriate range (indicated by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OK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).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Check that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Minimum Cuttings Transport Ratio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is 50% or greater (indicated by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OK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).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Check that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Velocity in horizontal section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is over 200 fpm and not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Stratified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(indicated by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OK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s).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If you wish to save the file, give it a new name. </a:t>
          </a:r>
        </a:p>
        <a:p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Note: The model may lock up if you enter something out of range. Try to recover by hitting the Excel </a:t>
          </a:r>
          <a:r>
            <a:rPr lang="en-US" sz="11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Undo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button or correcting the entry. If that doesn’t work, close the model without saving and start again</a:t>
          </a:r>
          <a:r>
            <a:rPr lang="en-US" sz="105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. </a:t>
          </a:r>
          <a:endParaRPr lang="en-US" sz="105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800" b="1" i="0" u="sng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400" b="1"/>
            <a:t>MGS</a:t>
          </a:r>
        </a:p>
        <a:p>
          <a:r>
            <a:rPr lang="en-US" sz="11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Use the MGS™ Performance Model to choose the proper Bypass Port size for the job parameters . </a:t>
          </a:r>
        </a:p>
        <a:p>
          <a:endParaRPr lang="en-US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Open the spreadsheet/program: </a:t>
          </a:r>
          <a:r>
            <a:rPr lang="en-US" sz="1100" b="1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MGS™ Performance Model US.xls. </a:t>
          </a:r>
          <a:endParaRPr lang="en-US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When asked,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Enable Macros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Input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String and Well Data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in the white cells (note the units).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Use the drop-down boxes for selecting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Gas Separator Size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and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Motor Specification.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Pick closest match to the motor you will be using. If you plan to run motors and/or other tools not on this list, you may contact Tempress for assistance.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Input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Operating Parameters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in the white cells with blue text (note the units).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The model assumes that the motor will be run at full load while milling. If this is not the case, select % full load while on bottom to adjust motor differential to match the expected motor differential pressure while milling.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Select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OFF-BOTTOM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to set the Bypass Port for off-bottom operation.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Enter a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Bypass Port Size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using the suggested value suggested on the right. It may take a few moments to calculate the results depending upon the speed of your computer.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Adjust the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Bypass Port Size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until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Balanced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appears.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Select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ON-BOTTOM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to check the fluid bypass when the motor is drilling . When the bit is on-bottom, the motor pressure increases and some water will bypass. This is normal.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Check that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Pump Pressure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is acceptable.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Check that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Total Motor Equivalent Flow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is within the appropriate range (indicated by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OK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).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Check that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Vertical Cuttings Transport Ratio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is over 50% (indicated by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OK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).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Check that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Velocity in horizontal section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is over 200 fpm and not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Stratified 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(indicated by </a:t>
          </a:r>
          <a:r>
            <a:rPr lang="en-US" sz="1100" b="0" i="1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OK</a:t>
          </a: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s). </a:t>
          </a:r>
        </a:p>
        <a:p>
          <a:pPr marL="685800" indent="-228600">
            <a:spcAft>
              <a:spcPts val="600"/>
            </a:spcAft>
            <a:buFont typeface="+mj-lt"/>
            <a:buAutoNum type="arabicPeriod"/>
          </a:pPr>
          <a:r>
            <a:rPr 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Save the file with a new name for use in the field or future reference.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 The model may lock up if you enter something out of range. Try to recover by hitting the Excel </a:t>
          </a:r>
          <a:r>
            <a:rPr lang="en-U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Undo 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button or correcting the entry. If that doesn’t work, close the model without saving and start again. </a:t>
          </a:r>
          <a:endParaRPr lang="en-US" sz="1100">
            <a:effectLst/>
          </a:endParaRP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542934</xdr:colOff>
      <xdr:row>13</xdr:row>
      <xdr:rowOff>152399</xdr:rowOff>
    </xdr:from>
    <xdr:ext cx="3200180" cy="393741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8366003" y="1968630"/>
          <a:ext cx="393741" cy="3200180"/>
        </a:xfrm>
        <a:prstGeom prst="rect">
          <a:avLst/>
        </a:prstGeom>
      </xdr:spPr>
    </xdr:pic>
    <xdr:clientData/>
  </xdr:oneCellAnchor>
  <xdr:twoCellAnchor editAs="oneCell">
    <xdr:from>
      <xdr:col>7</xdr:col>
      <xdr:colOff>628650</xdr:colOff>
      <xdr:row>18</xdr:row>
      <xdr:rowOff>93345</xdr:rowOff>
    </xdr:from>
    <xdr:to>
      <xdr:col>8</xdr:col>
      <xdr:colOff>4029075</xdr:colOff>
      <xdr:row>24</xdr:row>
      <xdr:rowOff>1905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45" t="29060" r="12900" b="940"/>
        <a:stretch/>
      </xdr:blipFill>
      <xdr:spPr>
        <a:xfrm>
          <a:off x="6334125" y="4427220"/>
          <a:ext cx="4114800" cy="1280160"/>
        </a:xfrm>
        <a:prstGeom prst="rect">
          <a:avLst/>
        </a:prstGeom>
      </xdr:spPr>
    </xdr:pic>
    <xdr:clientData/>
  </xdr:twoCellAnchor>
  <xdr:twoCellAnchor editAs="oneCell">
    <xdr:from>
      <xdr:col>8</xdr:col>
      <xdr:colOff>70910</xdr:colOff>
      <xdr:row>1</xdr:row>
      <xdr:rowOff>57150</xdr:rowOff>
    </xdr:from>
    <xdr:to>
      <xdr:col>8</xdr:col>
      <xdr:colOff>4384015</xdr:colOff>
      <xdr:row>11</xdr:row>
      <xdr:rowOff>104774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9910" y="390525"/>
          <a:ext cx="4313105" cy="2276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30480</xdr:colOff>
      <xdr:row>0</xdr:row>
      <xdr:rowOff>121920</xdr:rowOff>
    </xdr:from>
    <xdr:to>
      <xdr:col>19</xdr:col>
      <xdr:colOff>144780</xdr:colOff>
      <xdr:row>25</xdr:row>
      <xdr:rowOff>30480</xdr:rowOff>
    </xdr:to>
    <xdr:pic>
      <xdr:nvPicPr>
        <xdr:cNvPr id="71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2904" r="35214"/>
        <a:stretch>
          <a:fillRect/>
        </a:stretch>
      </xdr:blipFill>
      <xdr:spPr bwMode="auto">
        <a:xfrm>
          <a:off x="8503920" y="121920"/>
          <a:ext cx="4267200" cy="4145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21</xdr:row>
      <xdr:rowOff>144780</xdr:rowOff>
    </xdr:from>
    <xdr:to>
      <xdr:col>17</xdr:col>
      <xdr:colOff>327660</xdr:colOff>
      <xdr:row>49</xdr:row>
      <xdr:rowOff>22860</xdr:rowOff>
    </xdr:to>
    <xdr:graphicFrame macro="">
      <xdr:nvGraphicFramePr>
        <xdr:cNvPr id="8193" name="Chart 17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0.06412</cdr:x>
      <cdr:y>0.93003</cdr:y>
    </cdr:from>
    <cdr:to>
      <cdr:x>0.31837</cdr:x>
      <cdr:y>0.97748</cdr:y>
    </cdr:to>
    <cdr:sp macro="" textlink="">
      <cdr:nvSpPr>
        <cdr:cNvPr id="350209" name="Text Box 819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455" y="4113527"/>
          <a:ext cx="1275824" cy="2097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Tubing on Reel, ft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236220</xdr:colOff>
      <xdr:row>24</xdr:row>
      <xdr:rowOff>0</xdr:rowOff>
    </xdr:from>
    <xdr:to>
      <xdr:col>8</xdr:col>
      <xdr:colOff>198120</xdr:colOff>
      <xdr:row>61</xdr:row>
      <xdr:rowOff>106680</xdr:rowOff>
    </xdr:to>
    <xdr:graphicFrame macro="">
      <xdr:nvGraphicFramePr>
        <xdr:cNvPr id="102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1:CK271"/>
  <sheetViews>
    <sheetView showGridLines="0" tabSelected="1" workbookViewId="0">
      <selection activeCell="M2" sqref="M2"/>
    </sheetView>
  </sheetViews>
  <sheetFormatPr baseColWidth="10" defaultColWidth="0" defaultRowHeight="12" zeroHeight="1" x14ac:dyDescent="0"/>
  <cols>
    <col min="1" max="1" width="8.5" style="85" customWidth="1"/>
    <col min="2" max="2" width="37.5" style="85" customWidth="1"/>
    <col min="3" max="3" width="8.33203125" style="423" hidden="1" customWidth="1"/>
    <col min="4" max="4" width="8" style="85" hidden="1" customWidth="1"/>
    <col min="5" max="5" width="8.1640625" style="85" hidden="1" customWidth="1"/>
    <col min="6" max="6" width="12.5" style="85" hidden="1" customWidth="1"/>
    <col min="7" max="7" width="12.83203125" style="85" hidden="1" customWidth="1"/>
    <col min="8" max="8" width="16.6640625" style="85" customWidth="1"/>
    <col min="9" max="9" width="5.6640625" style="85" customWidth="1"/>
    <col min="10" max="10" width="8.1640625" style="85" customWidth="1"/>
    <col min="11" max="11" width="5.6640625" style="85" customWidth="1"/>
    <col min="12" max="12" width="7.83203125" style="85" customWidth="1"/>
    <col min="13" max="13" width="20.1640625" style="85" customWidth="1"/>
    <col min="14" max="14" width="9.6640625" style="444" customWidth="1"/>
    <col min="15" max="15" width="10.1640625" style="444" customWidth="1"/>
    <col min="16" max="16" width="9.33203125" style="444" customWidth="1"/>
    <col min="17" max="17" width="10" style="444" customWidth="1"/>
    <col min="18" max="18" width="8.33203125" style="444" customWidth="1"/>
    <col min="19" max="19" width="6.1640625" style="444" customWidth="1"/>
    <col min="20" max="20" width="16.33203125" style="444" customWidth="1"/>
    <col min="21" max="21" width="10.6640625" style="85" hidden="1" customWidth="1"/>
    <col min="22" max="22" width="8.6640625" style="85" hidden="1" customWidth="1"/>
    <col min="23" max="23" width="9.5" style="85" hidden="1" customWidth="1"/>
    <col min="24" max="24" width="12.33203125" style="85" hidden="1" customWidth="1"/>
    <col min="25" max="28" width="11.5" style="85" hidden="1" customWidth="1"/>
    <col min="29" max="89" width="10.5" style="85" hidden="1" customWidth="1"/>
    <col min="90" max="16384" width="9.1640625" style="85" hidden="1"/>
  </cols>
  <sheetData>
    <row r="1" spans="1:47" ht="36.75" customHeight="1">
      <c r="A1" s="973" t="s">
        <v>688</v>
      </c>
      <c r="B1" s="973"/>
      <c r="C1" s="899" t="s">
        <v>575</v>
      </c>
      <c r="D1" s="900"/>
      <c r="E1" s="901"/>
      <c r="F1" s="900"/>
      <c r="G1" s="900">
        <v>10</v>
      </c>
      <c r="H1" s="902" t="s">
        <v>689</v>
      </c>
      <c r="I1" s="974" t="s">
        <v>690</v>
      </c>
      <c r="J1" s="974"/>
      <c r="K1" s="974"/>
      <c r="L1" s="974"/>
      <c r="M1" s="974"/>
      <c r="N1" s="480"/>
      <c r="O1" s="481"/>
      <c r="P1" s="481"/>
      <c r="Q1" s="960" t="s">
        <v>698</v>
      </c>
      <c r="R1" s="960"/>
      <c r="S1" s="960"/>
      <c r="T1" s="960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</row>
    <row r="2" spans="1:47" ht="17.25" customHeight="1">
      <c r="A2" s="594"/>
      <c r="B2" s="594" t="s">
        <v>691</v>
      </c>
      <c r="C2" s="596"/>
      <c r="D2" s="595"/>
      <c r="E2" s="595"/>
      <c r="F2" s="595"/>
      <c r="G2" s="597"/>
      <c r="H2" s="975" t="s">
        <v>504</v>
      </c>
      <c r="I2" s="976"/>
      <c r="J2" s="976"/>
      <c r="K2" s="976"/>
      <c r="L2" s="976"/>
      <c r="M2" s="485" t="s">
        <v>505</v>
      </c>
      <c r="N2" s="433"/>
      <c r="O2" s="433"/>
      <c r="P2" s="433"/>
      <c r="Q2" s="433"/>
      <c r="R2" s="434"/>
      <c r="S2" s="435"/>
      <c r="T2" s="435"/>
      <c r="U2" s="314"/>
      <c r="V2" s="297"/>
      <c r="W2" s="297"/>
      <c r="X2" s="297"/>
      <c r="Y2" s="290"/>
      <c r="Z2" s="290"/>
      <c r="AA2" s="290"/>
      <c r="AB2" s="290"/>
      <c r="AC2" s="78"/>
      <c r="AD2" s="78"/>
      <c r="AE2" s="302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</row>
    <row r="3" spans="1:47" ht="17.75" customHeight="1">
      <c r="A3" s="967" t="s">
        <v>639</v>
      </c>
      <c r="B3" s="598" t="s">
        <v>424</v>
      </c>
      <c r="C3" s="599" t="s">
        <v>416</v>
      </c>
      <c r="D3" s="600"/>
      <c r="E3" s="600"/>
      <c r="F3" s="601">
        <f>H3/3.281</f>
        <v>2438.28101188662</v>
      </c>
      <c r="G3" s="600" t="s">
        <v>6</v>
      </c>
      <c r="H3" s="488">
        <v>8000</v>
      </c>
      <c r="I3" s="604" t="s">
        <v>35</v>
      </c>
      <c r="J3" s="635">
        <f>TVD/1000</f>
        <v>2.4382810118866201</v>
      </c>
      <c r="K3" s="600" t="s">
        <v>163</v>
      </c>
      <c r="L3" s="638"/>
      <c r="M3" s="638"/>
      <c r="N3" s="433"/>
      <c r="O3" s="433"/>
      <c r="P3" s="433"/>
      <c r="Q3" s="433"/>
      <c r="R3" s="434"/>
      <c r="S3" s="435"/>
      <c r="T3" s="435"/>
      <c r="U3" s="314"/>
      <c r="V3" s="297"/>
      <c r="W3" s="297"/>
      <c r="X3" s="297"/>
      <c r="Y3" s="290"/>
      <c r="Z3" s="290"/>
      <c r="AA3" s="290"/>
      <c r="AB3" s="290"/>
      <c r="AC3" s="78"/>
      <c r="AD3" s="78"/>
      <c r="AE3" s="302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</row>
    <row r="4" spans="1:47" ht="17.75" customHeight="1">
      <c r="A4" s="968"/>
      <c r="B4" s="598" t="s">
        <v>467</v>
      </c>
      <c r="C4" s="599" t="s">
        <v>20</v>
      </c>
      <c r="D4" s="600"/>
      <c r="E4" s="600"/>
      <c r="F4" s="601">
        <f>H4/3.28</f>
        <v>4573.1707317073169</v>
      </c>
      <c r="G4" s="600" t="s">
        <v>6</v>
      </c>
      <c r="H4" s="488">
        <v>15000</v>
      </c>
      <c r="I4" s="604" t="s">
        <v>35</v>
      </c>
      <c r="J4" s="635">
        <f>L/1000</f>
        <v>4.5731707317073171</v>
      </c>
      <c r="K4" s="600" t="s">
        <v>163</v>
      </c>
      <c r="L4" s="638"/>
      <c r="M4" s="638"/>
      <c r="N4" s="433"/>
      <c r="O4" s="433"/>
      <c r="P4" s="433"/>
      <c r="Q4" s="433"/>
      <c r="R4" s="434"/>
      <c r="S4" s="435"/>
      <c r="T4" s="435"/>
      <c r="U4" s="314"/>
      <c r="V4" s="297"/>
      <c r="W4" s="297"/>
      <c r="X4" s="297"/>
      <c r="Y4" s="290"/>
      <c r="Z4" s="290"/>
      <c r="AA4" s="290"/>
      <c r="AB4" s="290"/>
      <c r="AC4" s="78"/>
      <c r="AD4" s="78"/>
      <c r="AE4" s="302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</row>
    <row r="5" spans="1:47" ht="17.75" customHeight="1">
      <c r="A5" s="968"/>
      <c r="B5" s="602" t="s">
        <v>631</v>
      </c>
      <c r="C5" s="603" t="s">
        <v>463</v>
      </c>
      <c r="D5" s="604"/>
      <c r="E5" s="604"/>
      <c r="F5" s="605">
        <f>H5/39.37</f>
        <v>0.11861823723647448</v>
      </c>
      <c r="G5" s="604" t="s">
        <v>6</v>
      </c>
      <c r="H5" s="329">
        <v>4.67</v>
      </c>
      <c r="I5" s="604" t="s">
        <v>7</v>
      </c>
      <c r="J5" s="636">
        <f>25.4*H5</f>
        <v>118.61799999999999</v>
      </c>
      <c r="K5" s="604" t="s">
        <v>16</v>
      </c>
      <c r="L5" s="638"/>
      <c r="M5" s="638"/>
      <c r="N5" s="433"/>
      <c r="O5" s="433"/>
      <c r="P5" s="433"/>
      <c r="Q5" s="433"/>
      <c r="R5" s="434"/>
      <c r="S5" s="435"/>
      <c r="T5" s="435"/>
      <c r="U5" s="314"/>
      <c r="V5" s="297"/>
      <c r="W5" s="297"/>
      <c r="X5" s="297"/>
      <c r="Y5" s="290"/>
      <c r="Z5" s="290"/>
      <c r="AA5" s="290"/>
      <c r="AB5" s="290"/>
      <c r="AC5" s="78"/>
      <c r="AD5" s="78"/>
      <c r="AE5" s="302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</row>
    <row r="6" spans="1:47" ht="17.75" customHeight="1">
      <c r="A6" s="968"/>
      <c r="B6" s="602" t="s">
        <v>630</v>
      </c>
      <c r="C6" s="603" t="s">
        <v>462</v>
      </c>
      <c r="D6" s="604"/>
      <c r="E6" s="604"/>
      <c r="F6" s="605">
        <f>H6/39.37</f>
        <v>0.11861823723647448</v>
      </c>
      <c r="G6" s="604" t="s">
        <v>6</v>
      </c>
      <c r="H6" s="329">
        <v>4.67</v>
      </c>
      <c r="I6" s="604" t="s">
        <v>7</v>
      </c>
      <c r="J6" s="636">
        <f>25.4*H6</f>
        <v>118.61799999999999</v>
      </c>
      <c r="K6" s="604" t="s">
        <v>16</v>
      </c>
      <c r="L6" s="638"/>
      <c r="M6" s="638"/>
      <c r="N6" s="433"/>
      <c r="O6" s="433"/>
      <c r="P6" s="433"/>
      <c r="Q6" s="433"/>
      <c r="R6" s="434"/>
      <c r="S6" s="435"/>
      <c r="T6" s="435"/>
      <c r="U6" s="314"/>
      <c r="V6" s="297"/>
      <c r="W6" s="297"/>
      <c r="X6" s="297"/>
      <c r="Y6" s="290"/>
      <c r="Z6" s="290"/>
      <c r="AA6" s="290"/>
      <c r="AB6" s="290"/>
      <c r="AC6" s="78"/>
      <c r="AD6" s="78"/>
      <c r="AE6" s="302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</row>
    <row r="7" spans="1:47" ht="17.75" customHeight="1">
      <c r="A7" s="969"/>
      <c r="B7" s="606" t="s">
        <v>466</v>
      </c>
      <c r="C7" s="607" t="s">
        <v>67</v>
      </c>
      <c r="D7" s="608"/>
      <c r="E7" s="608"/>
      <c r="F7" s="609">
        <f>3.28*H7/1800</f>
        <v>3.6444444444444439E-2</v>
      </c>
      <c r="G7" s="608" t="s">
        <v>88</v>
      </c>
      <c r="H7" s="484">
        <v>20</v>
      </c>
      <c r="I7" s="608"/>
      <c r="J7" s="637">
        <f>1000*dT</f>
        <v>36.444444444444436</v>
      </c>
      <c r="K7" s="608" t="s">
        <v>87</v>
      </c>
      <c r="L7" s="639"/>
      <c r="M7" s="639"/>
      <c r="N7" s="433"/>
      <c r="O7" s="433"/>
      <c r="P7" s="433"/>
      <c r="Q7" s="433"/>
      <c r="R7" s="434"/>
      <c r="S7" s="435"/>
      <c r="T7" s="435"/>
      <c r="U7" s="314"/>
      <c r="V7" s="297"/>
      <c r="W7" s="297"/>
      <c r="X7" s="297"/>
      <c r="Y7" s="290"/>
      <c r="Z7" s="290"/>
      <c r="AA7" s="290"/>
      <c r="AB7" s="290"/>
      <c r="AC7" s="78"/>
      <c r="AD7" s="78"/>
      <c r="AE7" s="302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</row>
    <row r="8" spans="1:47" ht="15" customHeight="1">
      <c r="A8" s="967" t="s">
        <v>640</v>
      </c>
      <c r="B8" s="602" t="s">
        <v>629</v>
      </c>
      <c r="C8" s="603" t="s">
        <v>8</v>
      </c>
      <c r="D8" s="604"/>
      <c r="E8" s="604"/>
      <c r="F8" s="610">
        <f>H8/3.28</f>
        <v>5182.9268292682927</v>
      </c>
      <c r="G8" s="604" t="s">
        <v>6</v>
      </c>
      <c r="H8" s="426">
        <v>17000</v>
      </c>
      <c r="I8" s="604" t="s">
        <v>35</v>
      </c>
      <c r="J8" s="635">
        <f>lt/1000</f>
        <v>5.1829268292682924</v>
      </c>
      <c r="K8" s="600" t="s">
        <v>163</v>
      </c>
      <c r="L8" s="613"/>
      <c r="M8" s="613"/>
      <c r="N8" s="436"/>
      <c r="O8" s="436"/>
      <c r="P8" s="436"/>
      <c r="Q8" s="437"/>
      <c r="R8" s="437"/>
      <c r="S8" s="438"/>
      <c r="T8" s="438"/>
      <c r="U8" s="315"/>
      <c r="V8" s="315"/>
      <c r="W8" s="315"/>
      <c r="X8" s="315"/>
      <c r="Y8" s="291"/>
      <c r="Z8" s="291"/>
      <c r="AA8" s="291"/>
      <c r="AB8" s="291"/>
      <c r="AC8" s="80"/>
      <c r="AD8" s="80"/>
      <c r="AE8" s="78"/>
      <c r="AF8" s="303"/>
      <c r="AG8" s="304"/>
      <c r="AH8" s="78"/>
      <c r="AI8" s="291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</row>
    <row r="9" spans="1:47" ht="15" customHeight="1">
      <c r="A9" s="970"/>
      <c r="B9" s="602" t="s">
        <v>506</v>
      </c>
      <c r="C9" s="603" t="s">
        <v>9</v>
      </c>
      <c r="D9" s="604"/>
      <c r="E9" s="604"/>
      <c r="F9" s="605">
        <f>H9/39.37</f>
        <v>5.0800101600203207E-2</v>
      </c>
      <c r="G9" s="604" t="s">
        <v>6</v>
      </c>
      <c r="H9" s="329">
        <v>2</v>
      </c>
      <c r="I9" s="604" t="s">
        <v>7</v>
      </c>
      <c r="J9" s="604">
        <f>25.4*D</f>
        <v>50.8</v>
      </c>
      <c r="K9" s="604" t="s">
        <v>16</v>
      </c>
      <c r="L9" s="613"/>
      <c r="M9" s="613"/>
      <c r="N9" s="436"/>
      <c r="O9" s="436"/>
      <c r="P9" s="436"/>
      <c r="Q9" s="437"/>
      <c r="R9" s="437"/>
      <c r="S9" s="438"/>
      <c r="T9" s="438"/>
      <c r="U9" s="315"/>
      <c r="V9" s="315"/>
      <c r="W9" s="315"/>
      <c r="X9" s="315"/>
      <c r="Y9" s="291"/>
      <c r="Z9" s="291"/>
      <c r="AA9" s="291"/>
      <c r="AB9" s="291"/>
      <c r="AC9" s="80"/>
      <c r="AD9" s="80"/>
      <c r="AE9" s="78"/>
      <c r="AF9" s="303"/>
      <c r="AG9" s="304"/>
      <c r="AH9" s="78"/>
      <c r="AI9" s="291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</row>
    <row r="10" spans="1:47" ht="15" customHeight="1">
      <c r="A10" s="969"/>
      <c r="B10" s="594" t="s">
        <v>628</v>
      </c>
      <c r="C10" s="607"/>
      <c r="D10" s="608"/>
      <c r="E10" s="608"/>
      <c r="F10" s="611">
        <f>H10/39.37</f>
        <v>5.1562103124206254E-3</v>
      </c>
      <c r="G10" s="608" t="s">
        <v>6</v>
      </c>
      <c r="H10" s="319">
        <v>0.20300000000000001</v>
      </c>
      <c r="I10" s="608" t="s">
        <v>7</v>
      </c>
      <c r="J10" s="637">
        <f>25.4*H10</f>
        <v>5.1562000000000001</v>
      </c>
      <c r="K10" s="608" t="s">
        <v>16</v>
      </c>
      <c r="L10" s="640"/>
      <c r="M10" s="640"/>
      <c r="N10" s="436"/>
      <c r="O10" s="436"/>
      <c r="P10" s="436"/>
      <c r="Q10" s="437"/>
      <c r="R10" s="437"/>
      <c r="S10" s="438"/>
      <c r="T10" s="438"/>
      <c r="U10" s="315"/>
      <c r="V10" s="315"/>
      <c r="W10" s="315"/>
      <c r="X10" s="315"/>
      <c r="Y10" s="291"/>
      <c r="Z10" s="291"/>
      <c r="AA10" s="291"/>
      <c r="AB10" s="291"/>
      <c r="AC10" s="80"/>
      <c r="AD10" s="80"/>
      <c r="AE10" s="78"/>
      <c r="AF10" s="303"/>
      <c r="AG10" s="304"/>
      <c r="AH10" s="78"/>
      <c r="AI10" s="291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</row>
    <row r="11" spans="1:47" ht="15" customHeight="1">
      <c r="A11" s="967" t="s">
        <v>507</v>
      </c>
      <c r="B11" s="602" t="s">
        <v>627</v>
      </c>
      <c r="C11" s="603" t="s">
        <v>399</v>
      </c>
      <c r="D11" s="604"/>
      <c r="E11" s="604"/>
      <c r="F11" s="612">
        <f>H11/39.37</f>
        <v>1.6967233934467869E-2</v>
      </c>
      <c r="G11" s="613" t="s">
        <v>6</v>
      </c>
      <c r="H11" s="489">
        <v>0.66800000000000004</v>
      </c>
      <c r="I11" s="604" t="s">
        <v>7</v>
      </c>
      <c r="J11" s="641" t="s">
        <v>468</v>
      </c>
      <c r="K11" s="604"/>
      <c r="L11" s="642"/>
      <c r="M11" s="642"/>
      <c r="N11" s="439"/>
      <c r="O11" s="440"/>
      <c r="P11" s="441"/>
      <c r="Q11" s="441"/>
      <c r="R11" s="441"/>
      <c r="S11" s="441"/>
      <c r="T11" s="441"/>
      <c r="U11" s="316"/>
      <c r="V11" s="301"/>
      <c r="W11" s="298"/>
      <c r="X11" s="299"/>
      <c r="Y11" s="82"/>
      <c r="Z11" s="82"/>
      <c r="AA11" s="82"/>
      <c r="AB11" s="82"/>
      <c r="AC11" s="82"/>
      <c r="AD11" s="82"/>
      <c r="AE11" s="78"/>
      <c r="AF11" s="303"/>
      <c r="AG11" s="304"/>
      <c r="AH11" s="78"/>
      <c r="AI11" s="82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</row>
    <row r="12" spans="1:47" ht="15" customHeight="1">
      <c r="A12" s="968"/>
      <c r="B12" s="602" t="s">
        <v>500</v>
      </c>
      <c r="C12" s="603"/>
      <c r="D12" s="604">
        <f>IF(H12=1.69,1,IF(H12=2.12,2,IF(H12=2.88,3,4)))</f>
        <v>3</v>
      </c>
      <c r="E12" s="604"/>
      <c r="F12" s="612"/>
      <c r="G12" s="613"/>
      <c r="H12" s="490">
        <v>2.88</v>
      </c>
      <c r="I12" s="604"/>
      <c r="J12" s="618"/>
      <c r="K12" s="629"/>
      <c r="L12" s="643"/>
      <c r="M12" s="644"/>
      <c r="N12" s="442"/>
      <c r="O12" s="442"/>
      <c r="P12" s="442"/>
      <c r="Q12" s="443"/>
      <c r="R12" s="443"/>
      <c r="S12" s="442"/>
      <c r="T12" s="442"/>
      <c r="U12" s="316"/>
      <c r="V12" s="301"/>
      <c r="W12" s="298"/>
      <c r="X12" s="299"/>
      <c r="Y12" s="83"/>
      <c r="Z12" s="83"/>
      <c r="AA12" s="83"/>
      <c r="AB12" s="83"/>
      <c r="AC12" s="84"/>
      <c r="AD12" s="84"/>
      <c r="AE12" s="78"/>
      <c r="AF12" s="303"/>
      <c r="AG12" s="305"/>
      <c r="AH12" s="78"/>
      <c r="AI12" s="287"/>
      <c r="AJ12" s="288"/>
      <c r="AK12" s="288"/>
      <c r="AL12" s="288"/>
      <c r="AM12" s="288"/>
      <c r="AN12" s="78"/>
      <c r="AO12" s="78"/>
      <c r="AP12" s="78"/>
      <c r="AQ12" s="78"/>
      <c r="AR12" s="78"/>
      <c r="AS12" s="78"/>
      <c r="AT12" s="78"/>
      <c r="AU12" s="78"/>
    </row>
    <row r="13" spans="1:47" ht="15" customHeight="1">
      <c r="A13" s="968"/>
      <c r="B13" s="602" t="s">
        <v>625</v>
      </c>
      <c r="C13" s="603" t="s">
        <v>492</v>
      </c>
      <c r="D13" s="614">
        <f>IF(MGS="MGS™",1,(IF(MGS="None",0,2)))</f>
        <v>1</v>
      </c>
      <c r="E13" s="614"/>
      <c r="F13" s="612"/>
      <c r="G13" s="613"/>
      <c r="H13" s="333" t="s">
        <v>501</v>
      </c>
      <c r="I13" s="962" t="str">
        <f>IF(H17&gt;0,IF(D13&gt;1,"Set gas rate to 0 scfm or select MGS™",""),"")</f>
        <v/>
      </c>
      <c r="J13" s="963"/>
      <c r="K13" s="963"/>
      <c r="L13" s="963"/>
      <c r="M13" s="963"/>
      <c r="O13" s="439"/>
      <c r="P13" s="445"/>
      <c r="Q13" s="443"/>
      <c r="R13" s="445"/>
      <c r="S13" s="439"/>
      <c r="T13" s="439"/>
      <c r="U13" s="316"/>
      <c r="V13" s="301"/>
      <c r="W13" s="298"/>
      <c r="X13" s="299"/>
      <c r="Y13" s="81"/>
      <c r="Z13" s="83"/>
      <c r="AA13" s="83"/>
      <c r="AB13" s="83"/>
      <c r="AC13" s="84"/>
      <c r="AD13" s="84"/>
      <c r="AE13" s="78"/>
      <c r="AF13" s="303"/>
      <c r="AG13" s="304"/>
      <c r="AH13" s="78"/>
      <c r="AI13" s="287"/>
      <c r="AJ13" s="288"/>
      <c r="AK13" s="288"/>
      <c r="AL13" s="288"/>
      <c r="AM13" s="288"/>
      <c r="AN13" s="78"/>
      <c r="AO13" s="78"/>
      <c r="AP13" s="78"/>
    </row>
    <row r="14" spans="1:47" ht="15" customHeight="1">
      <c r="A14" s="968"/>
      <c r="B14" s="615" t="s">
        <v>626</v>
      </c>
      <c r="C14" s="603" t="s">
        <v>481</v>
      </c>
      <c r="D14" s="604"/>
      <c r="E14" s="604"/>
      <c r="F14" s="610"/>
      <c r="G14" s="613"/>
      <c r="H14" s="491" t="s">
        <v>697</v>
      </c>
      <c r="I14" s="604"/>
      <c r="J14" s="966" t="str">
        <f>IF(AND(H12=2.38,H13="MGS™"),"2.38 MGS Not an Option","See HydroPull® Performance Program")</f>
        <v>See HydroPull® Performance Program</v>
      </c>
      <c r="K14" s="966"/>
      <c r="L14" s="966"/>
      <c r="M14" s="966"/>
      <c r="O14" s="439"/>
      <c r="P14" s="445"/>
      <c r="Q14" s="443"/>
      <c r="R14" s="445"/>
      <c r="S14" s="439"/>
      <c r="T14" s="439"/>
      <c r="U14" s="316"/>
      <c r="V14" s="301"/>
      <c r="W14" s="298"/>
      <c r="X14" s="299"/>
      <c r="Y14" s="81"/>
      <c r="Z14" s="83"/>
      <c r="AA14" s="83"/>
      <c r="AB14" s="83"/>
      <c r="AC14" s="84"/>
      <c r="AD14" s="84"/>
      <c r="AE14" s="78"/>
      <c r="AF14" s="303"/>
      <c r="AG14" s="304"/>
      <c r="AH14" s="78"/>
      <c r="AI14" s="287"/>
      <c r="AJ14" s="288"/>
      <c r="AK14" s="288"/>
      <c r="AL14" s="288"/>
      <c r="AM14" s="288"/>
      <c r="AN14" s="78"/>
      <c r="AO14" s="78"/>
      <c r="AP14" s="78"/>
    </row>
    <row r="15" spans="1:47" ht="17.25" customHeight="1">
      <c r="A15" s="968"/>
      <c r="B15" s="616" t="s">
        <v>420</v>
      </c>
      <c r="C15" s="617" t="s">
        <v>153</v>
      </c>
      <c r="D15" s="618"/>
      <c r="E15" s="618"/>
      <c r="F15" s="619">
        <f>H15/39.37</f>
        <v>9.5250190500381013E-3</v>
      </c>
      <c r="G15" s="618" t="s">
        <v>6</v>
      </c>
      <c r="H15" s="332">
        <v>0.375</v>
      </c>
      <c r="I15" s="618" t="s">
        <v>7</v>
      </c>
      <c r="J15" s="971" t="s">
        <v>638</v>
      </c>
      <c r="K15" s="971"/>
      <c r="L15" s="971"/>
      <c r="M15" s="971"/>
      <c r="N15" s="446"/>
      <c r="O15" s="447"/>
      <c r="P15" s="448"/>
      <c r="Q15" s="449"/>
      <c r="R15" s="448"/>
      <c r="S15" s="447"/>
      <c r="T15" s="447"/>
      <c r="U15" s="316"/>
      <c r="V15" s="301"/>
      <c r="W15" s="298"/>
      <c r="X15" s="299"/>
      <c r="Y15" s="87"/>
      <c r="Z15" s="291"/>
      <c r="AA15" s="291"/>
      <c r="AB15" s="291"/>
      <c r="AC15" s="78"/>
      <c r="AD15" s="78"/>
      <c r="AE15" s="78"/>
      <c r="AF15" s="303"/>
      <c r="AG15" s="137"/>
      <c r="AH15" s="78"/>
      <c r="AI15" s="78"/>
      <c r="AJ15" s="78"/>
      <c r="AK15" s="288"/>
      <c r="AL15" s="288"/>
      <c r="AM15" s="288"/>
      <c r="AN15" s="288"/>
      <c r="AO15" s="288"/>
      <c r="AP15" s="288"/>
    </row>
    <row r="16" spans="1:47" ht="15" customHeight="1">
      <c r="A16" s="969"/>
      <c r="B16" s="594" t="s">
        <v>576</v>
      </c>
      <c r="C16" s="607" t="s">
        <v>152</v>
      </c>
      <c r="D16" s="608"/>
      <c r="E16" s="608"/>
      <c r="F16" s="620">
        <f>H16</f>
        <v>4</v>
      </c>
      <c r="G16" s="608"/>
      <c r="H16" s="333">
        <v>4</v>
      </c>
      <c r="I16" s="608"/>
      <c r="J16" s="645" t="s">
        <v>632</v>
      </c>
      <c r="K16" s="608"/>
      <c r="L16" s="608"/>
      <c r="M16" s="608"/>
      <c r="N16" s="439"/>
      <c r="O16" s="439"/>
      <c r="P16" s="439"/>
      <c r="Q16" s="443"/>
      <c r="R16" s="445"/>
      <c r="S16" s="439"/>
      <c r="T16" s="439"/>
      <c r="U16" s="316"/>
      <c r="V16" s="301"/>
      <c r="W16" s="298"/>
      <c r="X16" s="300"/>
      <c r="Y16" s="81"/>
      <c r="Z16" s="83"/>
      <c r="AA16" s="83"/>
      <c r="AB16" s="83"/>
      <c r="AC16" s="84"/>
      <c r="AD16" s="84"/>
      <c r="AE16" s="78"/>
      <c r="AF16" s="303"/>
      <c r="AG16" s="82"/>
      <c r="AH16" s="78"/>
      <c r="AI16" s="287"/>
      <c r="AJ16" s="288"/>
      <c r="AK16" s="288"/>
      <c r="AL16" s="288"/>
      <c r="AM16" s="288"/>
      <c r="AN16" s="78"/>
      <c r="AO16" s="78"/>
      <c r="AP16" s="78"/>
    </row>
    <row r="17" spans="1:42" ht="15" customHeight="1">
      <c r="A17" s="967" t="s">
        <v>508</v>
      </c>
      <c r="B17" s="621" t="s">
        <v>34</v>
      </c>
      <c r="C17" s="622" t="s">
        <v>24</v>
      </c>
      <c r="D17" s="623"/>
      <c r="E17" s="623"/>
      <c r="F17" s="624">
        <f>IF(H17=0,0.0001,J17/60)</f>
        <v>0.47231008449287359</v>
      </c>
      <c r="G17" s="623" t="s">
        <v>1</v>
      </c>
      <c r="H17" s="320">
        <v>1000</v>
      </c>
      <c r="I17" s="623" t="s">
        <v>106</v>
      </c>
      <c r="J17" s="646">
        <f>H17/3.28^3</f>
        <v>28.338605069572417</v>
      </c>
      <c r="K17" s="623" t="s">
        <v>56</v>
      </c>
      <c r="L17" s="964"/>
      <c r="M17" s="964"/>
      <c r="N17" s="446"/>
      <c r="O17" s="447"/>
      <c r="P17" s="448"/>
      <c r="Q17" s="449"/>
      <c r="R17" s="448"/>
      <c r="S17" s="447"/>
      <c r="T17" s="447"/>
      <c r="U17" s="316"/>
      <c r="V17" s="301"/>
      <c r="W17" s="298"/>
      <c r="X17" s="299"/>
      <c r="Y17" s="87"/>
      <c r="Z17" s="291"/>
      <c r="AA17" s="291"/>
      <c r="AB17" s="291"/>
      <c r="AC17" s="78"/>
      <c r="AD17" s="78"/>
      <c r="AE17" s="78"/>
      <c r="AF17" s="303"/>
      <c r="AG17" s="307"/>
      <c r="AH17" s="78"/>
      <c r="AI17" s="78"/>
      <c r="AJ17" s="78"/>
      <c r="AK17" s="288"/>
      <c r="AL17" s="288"/>
      <c r="AM17" s="288"/>
      <c r="AN17" s="288"/>
      <c r="AO17" s="288"/>
      <c r="AP17" s="288"/>
    </row>
    <row r="18" spans="1:42" ht="15" customHeight="1">
      <c r="A18" s="970"/>
      <c r="B18" s="594" t="s">
        <v>622</v>
      </c>
      <c r="C18" s="607" t="s">
        <v>0</v>
      </c>
      <c r="D18" s="608"/>
      <c r="E18" s="608"/>
      <c r="F18" s="611">
        <f>IF(H18=0,0.00001,J18/60000)</f>
        <v>1.0598E-2</v>
      </c>
      <c r="G18" s="608" t="s">
        <v>1</v>
      </c>
      <c r="H18" s="328">
        <v>4</v>
      </c>
      <c r="I18" s="608" t="s">
        <v>105</v>
      </c>
      <c r="J18" s="647">
        <f>H18*42*3.785</f>
        <v>635.88</v>
      </c>
      <c r="K18" s="608" t="s">
        <v>110</v>
      </c>
      <c r="L18" s="647">
        <f>H18*42</f>
        <v>168</v>
      </c>
      <c r="M18" s="640" t="s">
        <v>143</v>
      </c>
      <c r="N18" s="446"/>
      <c r="O18" s="447"/>
      <c r="P18" s="448"/>
      <c r="Q18" s="449"/>
      <c r="R18" s="448"/>
      <c r="S18" s="447"/>
      <c r="T18" s="447"/>
      <c r="U18" s="316"/>
      <c r="V18" s="301"/>
      <c r="W18" s="298"/>
      <c r="X18" s="299"/>
      <c r="Y18" s="87"/>
      <c r="Z18" s="291"/>
      <c r="AA18" s="291"/>
      <c r="AB18" s="291"/>
      <c r="AC18" s="78"/>
      <c r="AD18" s="78"/>
      <c r="AE18" s="78"/>
      <c r="AF18" s="306"/>
      <c r="AG18" s="305"/>
      <c r="AH18" s="78"/>
      <c r="AI18" s="78"/>
      <c r="AJ18" s="78"/>
      <c r="AK18" s="288"/>
      <c r="AL18" s="288"/>
      <c r="AM18" s="288"/>
      <c r="AN18" s="288"/>
      <c r="AO18" s="288"/>
      <c r="AP18" s="288"/>
    </row>
    <row r="19" spans="1:42" ht="15" customHeight="1">
      <c r="A19" s="970"/>
      <c r="B19" s="616" t="s">
        <v>624</v>
      </c>
      <c r="C19" s="617" t="s">
        <v>389</v>
      </c>
      <c r="D19" s="618"/>
      <c r="E19" s="618"/>
      <c r="F19" s="625">
        <f>H19*6895</f>
        <v>344750</v>
      </c>
      <c r="G19" s="618" t="s">
        <v>3</v>
      </c>
      <c r="H19" s="487">
        <v>50</v>
      </c>
      <c r="I19" s="618" t="s">
        <v>529</v>
      </c>
      <c r="J19" s="648" t="s">
        <v>545</v>
      </c>
      <c r="K19" s="648"/>
      <c r="L19" s="648"/>
      <c r="M19" s="648"/>
      <c r="N19" s="446"/>
      <c r="O19" s="447"/>
      <c r="P19" s="448"/>
      <c r="Q19" s="449"/>
      <c r="R19" s="448"/>
      <c r="S19" s="447"/>
      <c r="T19" s="447"/>
      <c r="U19" s="316"/>
      <c r="V19" s="301"/>
      <c r="W19" s="298"/>
      <c r="X19" s="299"/>
      <c r="Y19" s="87"/>
      <c r="Z19" s="291"/>
      <c r="AA19" s="291"/>
      <c r="AB19" s="291"/>
      <c r="AC19" s="78"/>
      <c r="AD19" s="78"/>
      <c r="AE19" s="78"/>
      <c r="AF19" s="306"/>
      <c r="AG19" s="305"/>
      <c r="AH19" s="78"/>
      <c r="AI19" s="78"/>
      <c r="AJ19" s="78"/>
      <c r="AK19" s="288"/>
      <c r="AL19" s="288"/>
      <c r="AM19" s="288"/>
      <c r="AN19" s="288"/>
      <c r="AO19" s="288"/>
      <c r="AP19" s="288"/>
    </row>
    <row r="20" spans="1:42" ht="15" customHeight="1">
      <c r="A20" s="970"/>
      <c r="B20" s="594" t="s">
        <v>623</v>
      </c>
      <c r="C20" s="607" t="s">
        <v>290</v>
      </c>
      <c r="D20" s="608"/>
      <c r="E20" s="608"/>
      <c r="F20" s="626">
        <f>H20*6895</f>
        <v>5171250</v>
      </c>
      <c r="G20" s="608" t="s">
        <v>3</v>
      </c>
      <c r="H20" s="486">
        <v>750</v>
      </c>
      <c r="I20" s="608" t="s">
        <v>529</v>
      </c>
      <c r="J20" s="649" t="s">
        <v>544</v>
      </c>
      <c r="K20" s="647"/>
      <c r="L20" s="647"/>
      <c r="M20" s="647"/>
      <c r="N20" s="446"/>
      <c r="O20" s="447"/>
      <c r="P20" s="448"/>
      <c r="Q20" s="449"/>
      <c r="R20" s="448"/>
      <c r="S20" s="447"/>
      <c r="T20" s="447"/>
      <c r="U20" s="316"/>
      <c r="V20" s="301"/>
      <c r="W20" s="298"/>
      <c r="X20" s="299"/>
      <c r="Y20" s="87"/>
      <c r="Z20" s="291"/>
      <c r="AA20" s="291"/>
      <c r="AB20" s="291"/>
      <c r="AC20" s="78"/>
      <c r="AD20" s="78"/>
      <c r="AE20" s="78"/>
      <c r="AF20" s="306"/>
      <c r="AG20" s="305"/>
      <c r="AH20" s="78"/>
      <c r="AI20" s="78"/>
      <c r="AJ20" s="78"/>
      <c r="AK20" s="288"/>
      <c r="AL20" s="288"/>
      <c r="AM20" s="288"/>
      <c r="AN20" s="288"/>
      <c r="AO20" s="288"/>
      <c r="AP20" s="288"/>
    </row>
    <row r="21" spans="1:42" ht="15" customHeight="1">
      <c r="A21" s="970"/>
      <c r="B21" s="627" t="s">
        <v>428</v>
      </c>
      <c r="C21" s="617" t="s">
        <v>29</v>
      </c>
      <c r="D21" s="618"/>
      <c r="E21" s="618"/>
      <c r="F21" s="628">
        <f>1000*J21+100000</f>
        <v>2858620.6896551726</v>
      </c>
      <c r="G21" s="618" t="s">
        <v>3</v>
      </c>
      <c r="H21" s="427">
        <v>400</v>
      </c>
      <c r="I21" s="618" t="s">
        <v>426</v>
      </c>
      <c r="J21" s="610">
        <f>H21/0.145</f>
        <v>2758.6206896551726</v>
      </c>
      <c r="K21" s="625" t="s">
        <v>427</v>
      </c>
      <c r="L21" s="610"/>
      <c r="M21" s="613"/>
      <c r="N21" s="446"/>
      <c r="O21" s="447"/>
      <c r="P21" s="448"/>
      <c r="Q21" s="449"/>
      <c r="R21" s="448"/>
      <c r="S21" s="447"/>
      <c r="T21" s="447"/>
      <c r="U21" s="316"/>
      <c r="V21" s="301"/>
      <c r="W21" s="298"/>
      <c r="X21" s="299"/>
      <c r="Y21" s="87"/>
      <c r="Z21" s="291"/>
      <c r="AA21" s="291"/>
      <c r="AB21" s="291"/>
      <c r="AC21" s="78"/>
      <c r="AD21" s="78"/>
      <c r="AE21" s="78"/>
      <c r="AF21" s="306"/>
      <c r="AG21" s="305"/>
      <c r="AH21" s="78"/>
      <c r="AI21" s="78"/>
      <c r="AJ21" s="78"/>
      <c r="AK21" s="288"/>
      <c r="AL21" s="288"/>
      <c r="AM21" s="288"/>
      <c r="AN21" s="288"/>
      <c r="AO21" s="288"/>
      <c r="AP21" s="288"/>
    </row>
    <row r="22" spans="1:42" ht="15" customHeight="1">
      <c r="A22" s="970"/>
      <c r="B22" s="629" t="s">
        <v>496</v>
      </c>
      <c r="C22" s="603" t="s">
        <v>495</v>
      </c>
      <c r="D22" s="604"/>
      <c r="E22" s="604"/>
      <c r="F22" s="630"/>
      <c r="G22" s="604"/>
      <c r="H22" s="322">
        <v>0.5</v>
      </c>
      <c r="I22" s="604" t="s">
        <v>497</v>
      </c>
      <c r="J22" s="610"/>
      <c r="K22" s="604"/>
      <c r="L22" s="610"/>
      <c r="M22" s="613"/>
      <c r="N22" s="446"/>
      <c r="O22" s="447"/>
      <c r="P22" s="448"/>
      <c r="Q22" s="449"/>
      <c r="R22" s="448"/>
      <c r="S22" s="447"/>
      <c r="T22" s="447"/>
      <c r="U22" s="316"/>
      <c r="V22" s="301"/>
      <c r="W22" s="298"/>
      <c r="X22" s="299"/>
      <c r="Y22" s="87"/>
      <c r="Z22" s="291"/>
      <c r="AA22" s="291"/>
      <c r="AB22" s="291"/>
      <c r="AC22" s="78"/>
      <c r="AD22" s="78"/>
      <c r="AE22" s="78"/>
      <c r="AF22" s="306"/>
      <c r="AG22" s="305"/>
      <c r="AH22" s="78"/>
      <c r="AI22" s="78"/>
      <c r="AJ22" s="78"/>
      <c r="AK22" s="288"/>
      <c r="AL22" s="288"/>
      <c r="AM22" s="288"/>
      <c r="AN22" s="288"/>
      <c r="AO22" s="288"/>
      <c r="AP22" s="288"/>
    </row>
    <row r="23" spans="1:42" ht="15" customHeight="1">
      <c r="A23" s="970"/>
      <c r="B23" s="629" t="s">
        <v>407</v>
      </c>
      <c r="C23" s="603" t="s">
        <v>489</v>
      </c>
      <c r="D23" s="604"/>
      <c r="E23" s="604"/>
      <c r="F23" s="630"/>
      <c r="G23" s="604"/>
      <c r="H23" s="322">
        <v>0</v>
      </c>
      <c r="I23" s="604" t="s">
        <v>120</v>
      </c>
      <c r="J23" s="610"/>
      <c r="K23" s="604"/>
      <c r="L23" s="613"/>
      <c r="M23" s="613"/>
      <c r="N23" s="446"/>
      <c r="O23" s="447"/>
      <c r="P23" s="448"/>
      <c r="Q23" s="449"/>
      <c r="R23" s="448"/>
      <c r="S23" s="447"/>
      <c r="T23" s="447"/>
      <c r="U23" s="317"/>
      <c r="V23" s="318"/>
      <c r="Y23" s="87"/>
      <c r="Z23" s="291"/>
      <c r="AA23" s="291"/>
      <c r="AB23" s="291"/>
      <c r="AC23" s="78"/>
      <c r="AD23" s="78"/>
      <c r="AE23" s="78"/>
      <c r="AF23" s="306"/>
      <c r="AG23" s="305"/>
      <c r="AH23" s="78"/>
      <c r="AI23" s="78"/>
      <c r="AJ23" s="78"/>
      <c r="AK23" s="288"/>
      <c r="AL23" s="288"/>
      <c r="AM23" s="288"/>
      <c r="AN23" s="288"/>
      <c r="AO23" s="288"/>
      <c r="AP23" s="288"/>
    </row>
    <row r="24" spans="1:42" ht="15.75" customHeight="1">
      <c r="A24" s="969"/>
      <c r="B24" s="606" t="s">
        <v>419</v>
      </c>
      <c r="C24" s="607" t="s">
        <v>256</v>
      </c>
      <c r="D24" s="608"/>
      <c r="E24" s="608"/>
      <c r="F24" s="611"/>
      <c r="G24" s="608"/>
      <c r="H24" s="321">
        <v>0.2</v>
      </c>
      <c r="I24" s="608" t="s">
        <v>120</v>
      </c>
      <c r="J24" s="647"/>
      <c r="K24" s="608"/>
      <c r="L24" s="640"/>
      <c r="M24" s="640"/>
      <c r="N24" s="450"/>
      <c r="O24" s="451"/>
      <c r="P24" s="451"/>
      <c r="Q24" s="451"/>
      <c r="R24" s="451"/>
      <c r="S24" s="451"/>
      <c r="T24" s="451"/>
      <c r="U24" s="316"/>
      <c r="V24" s="301"/>
      <c r="W24" s="298"/>
      <c r="X24" s="299"/>
      <c r="Z24" s="291"/>
      <c r="AA24" s="291"/>
      <c r="AB24" s="291"/>
      <c r="AC24" s="78"/>
      <c r="AD24" s="78"/>
      <c r="AE24" s="78"/>
      <c r="AF24" s="78"/>
      <c r="AG24" s="78"/>
      <c r="AH24" s="309"/>
      <c r="AI24" s="78"/>
      <c r="AJ24" s="78"/>
      <c r="AK24" s="288"/>
      <c r="AL24" s="288"/>
      <c r="AM24" s="288"/>
      <c r="AN24" s="288"/>
      <c r="AO24" s="288"/>
      <c r="AP24" s="288"/>
    </row>
    <row r="25" spans="1:42" ht="15" customHeight="1">
      <c r="A25" s="967" t="s">
        <v>641</v>
      </c>
      <c r="B25" s="631" t="s">
        <v>425</v>
      </c>
      <c r="C25" s="617"/>
      <c r="D25" s="610"/>
      <c r="E25" s="625"/>
      <c r="F25" s="628"/>
      <c r="G25" s="618"/>
      <c r="H25" s="589" t="s">
        <v>486</v>
      </c>
      <c r="I25" s="977" t="str">
        <f>IF(H29&gt;'Dropdown Lists'!I10,"Oversize Port",IF(H29&gt;'Dropdown Lists'!C31,"Oversize Port",IF(ISERROR(dg),"Check Inputs",IF(mwr/mw&gt;0.02,"water bypass",IF(mgb/mg&gt;0.02,"gas in motor","Balanced")))))</f>
        <v>Balanced</v>
      </c>
      <c r="J25" s="978"/>
      <c r="K25" s="978"/>
      <c r="L25" s="978"/>
      <c r="M25" s="978"/>
      <c r="N25" s="452"/>
      <c r="O25" s="451"/>
      <c r="P25" s="451"/>
      <c r="Q25" s="451"/>
      <c r="R25" s="451"/>
      <c r="S25" s="451"/>
      <c r="T25" s="451"/>
      <c r="U25" s="316"/>
      <c r="V25" s="301"/>
      <c r="W25" s="298"/>
      <c r="X25" s="299"/>
      <c r="Z25" s="291"/>
      <c r="AA25" s="291"/>
      <c r="AB25" s="291"/>
      <c r="AC25" s="78"/>
      <c r="AD25" s="78"/>
      <c r="AE25" s="78"/>
      <c r="AF25" s="78"/>
      <c r="AG25" s="78"/>
      <c r="AH25" s="309"/>
      <c r="AI25" s="78"/>
      <c r="AJ25" s="78"/>
      <c r="AK25" s="288"/>
      <c r="AL25" s="288"/>
      <c r="AM25" s="288"/>
      <c r="AN25" s="288"/>
      <c r="AO25" s="288"/>
      <c r="AP25" s="288"/>
    </row>
    <row r="26" spans="1:42" ht="15" customHeight="1">
      <c r="A26" s="968"/>
      <c r="B26" s="616" t="s">
        <v>679</v>
      </c>
      <c r="C26" s="617"/>
      <c r="D26" s="610"/>
      <c r="E26" s="625"/>
      <c r="F26" s="628"/>
      <c r="G26" s="618"/>
      <c r="H26" s="722" t="s">
        <v>678</v>
      </c>
      <c r="I26" s="879"/>
      <c r="J26" s="936" t="str">
        <f>IF(AND(H26="Custom Drilled",MGS="WBS"),"Max Port Size:",IF(MGS="MGS™","Max Port Size =",""))</f>
        <v>Max Port Size =</v>
      </c>
      <c r="K26" s="937"/>
      <c r="L26" s="937">
        <f>IF(MGS="MGS™",'Dropdown Lists'!I10,IF(AND(H26="Custom Drilled",MGS="WBS"),'Dropdown Lists'!C31,""))</f>
        <v>0.375</v>
      </c>
      <c r="M26" s="879"/>
      <c r="N26" s="452"/>
      <c r="O26" s="451"/>
      <c r="P26" s="451"/>
      <c r="Q26" s="451"/>
      <c r="R26" s="451"/>
      <c r="S26" s="451"/>
      <c r="T26" s="451"/>
      <c r="U26" s="316"/>
      <c r="V26" s="301"/>
      <c r="W26" s="298"/>
      <c r="X26" s="299"/>
      <c r="Z26" s="291"/>
      <c r="AA26" s="291"/>
      <c r="AB26" s="291"/>
      <c r="AC26" s="78"/>
      <c r="AD26" s="78"/>
      <c r="AE26" s="78"/>
      <c r="AF26" s="78"/>
      <c r="AG26" s="78"/>
      <c r="AH26" s="309"/>
      <c r="AI26" s="78"/>
      <c r="AJ26" s="78"/>
      <c r="AK26" s="288"/>
      <c r="AL26" s="288"/>
      <c r="AM26" s="288"/>
      <c r="AN26" s="288"/>
      <c r="AO26" s="288"/>
      <c r="AP26" s="288"/>
    </row>
    <row r="27" spans="1:42" ht="15" customHeight="1">
      <c r="A27" s="968"/>
      <c r="B27" s="616" t="s">
        <v>694</v>
      </c>
      <c r="C27" s="617"/>
      <c r="D27" s="610"/>
      <c r="E27" s="625"/>
      <c r="F27" s="628"/>
      <c r="G27" s="618"/>
      <c r="H27" s="941">
        <v>1</v>
      </c>
      <c r="I27" s="879"/>
      <c r="J27" s="936"/>
      <c r="K27" s="937"/>
      <c r="L27" s="937"/>
      <c r="M27" s="879"/>
      <c r="N27" s="452"/>
      <c r="O27" s="451"/>
      <c r="P27" s="451"/>
      <c r="Q27" s="451"/>
      <c r="R27" s="451"/>
      <c r="S27" s="451"/>
      <c r="T27" s="451"/>
      <c r="U27" s="316"/>
      <c r="V27" s="301"/>
      <c r="W27" s="298"/>
      <c r="X27" s="299"/>
      <c r="Z27" s="291"/>
      <c r="AA27" s="291"/>
      <c r="AB27" s="291"/>
      <c r="AC27" s="78"/>
      <c r="AD27" s="78"/>
      <c r="AE27" s="78"/>
      <c r="AF27" s="78"/>
      <c r="AG27" s="78"/>
      <c r="AH27" s="309"/>
      <c r="AI27" s="78"/>
      <c r="AJ27" s="78"/>
      <c r="AK27" s="288"/>
      <c r="AL27" s="288"/>
      <c r="AM27" s="288"/>
      <c r="AN27" s="288"/>
      <c r="AO27" s="288"/>
      <c r="AP27" s="288"/>
    </row>
    <row r="28" spans="1:42" ht="15" customHeight="1">
      <c r="A28" s="968"/>
      <c r="B28" s="616" t="s">
        <v>695</v>
      </c>
      <c r="C28" s="617" t="s">
        <v>554</v>
      </c>
      <c r="D28" s="610"/>
      <c r="E28" s="625"/>
      <c r="F28" s="628">
        <f>IF(MGS="MGS™",1,H28)</f>
        <v>1</v>
      </c>
      <c r="G28" s="618"/>
      <c r="H28" s="722">
        <v>4</v>
      </c>
      <c r="I28" s="934"/>
      <c r="J28" s="940" t="s">
        <v>555</v>
      </c>
      <c r="K28" s="644"/>
      <c r="L28" s="644"/>
      <c r="M28" s="644"/>
      <c r="N28" s="452"/>
      <c r="O28" s="451"/>
      <c r="P28" s="451"/>
      <c r="Q28" s="451"/>
      <c r="R28" s="451"/>
      <c r="S28" s="451"/>
      <c r="T28" s="451"/>
      <c r="U28" s="316"/>
      <c r="V28" s="301"/>
      <c r="W28" s="298"/>
      <c r="X28" s="299"/>
      <c r="Z28" s="291"/>
      <c r="AA28" s="291"/>
      <c r="AB28" s="291"/>
      <c r="AC28" s="78"/>
      <c r="AD28" s="78"/>
      <c r="AE28" s="78"/>
      <c r="AF28" s="78"/>
      <c r="AG28" s="78"/>
      <c r="AH28" s="309"/>
      <c r="AI28" s="78"/>
      <c r="AJ28" s="78"/>
      <c r="AK28" s="288"/>
      <c r="AL28" s="288"/>
      <c r="AM28" s="288"/>
      <c r="AN28" s="288"/>
      <c r="AO28" s="288"/>
      <c r="AP28" s="288"/>
    </row>
    <row r="29" spans="1:42" ht="18" customHeight="1">
      <c r="A29" s="968"/>
      <c r="B29" s="616" t="s">
        <v>498</v>
      </c>
      <c r="C29" s="617" t="s">
        <v>133</v>
      </c>
      <c r="D29" s="632" t="s">
        <v>499</v>
      </c>
      <c r="E29" s="618"/>
      <c r="F29" s="633">
        <f>IF(D13=0,0.000001,IF(D13=2,'WBS Std Port Sizes'!T51,H29/39.37*SQRT(Nb)))</f>
        <v>4.9022098044196093E-3</v>
      </c>
      <c r="G29" s="613" t="s">
        <v>6</v>
      </c>
      <c r="H29" s="654">
        <v>0.193</v>
      </c>
      <c r="I29" s="650" t="s">
        <v>108</v>
      </c>
      <c r="J29" s="651">
        <f>H29*25.4</f>
        <v>4.9021999999999997</v>
      </c>
      <c r="K29" s="638" t="s">
        <v>16</v>
      </c>
      <c r="L29" s="972" t="str">
        <f>IF(AND(H13="WBS",H26="Standard Carbide"),"Choose diameter from WBS Port Sizes sheet","")</f>
        <v/>
      </c>
      <c r="M29" s="972"/>
      <c r="N29" s="961"/>
      <c r="O29" s="961"/>
      <c r="P29" s="961"/>
      <c r="Q29" s="961"/>
      <c r="R29" s="961"/>
      <c r="S29" s="961"/>
      <c r="T29" s="961"/>
      <c r="U29" s="316"/>
      <c r="V29" s="301"/>
      <c r="W29" s="298"/>
      <c r="Y29" s="286"/>
      <c r="Z29" s="291"/>
      <c r="AA29" s="291"/>
      <c r="AB29" s="291"/>
      <c r="AC29" s="79"/>
      <c r="AD29" s="79"/>
      <c r="AE29" s="310"/>
      <c r="AF29" s="79"/>
      <c r="AG29" s="310"/>
      <c r="AH29" s="79"/>
      <c r="AI29" s="310"/>
      <c r="AJ29" s="79"/>
      <c r="AK29" s="288"/>
      <c r="AL29" s="288"/>
      <c r="AM29" s="288"/>
      <c r="AN29" s="288"/>
      <c r="AO29" s="288"/>
      <c r="AP29" s="288"/>
    </row>
    <row r="30" spans="1:42" ht="18" customHeight="1">
      <c r="A30" s="969"/>
      <c r="B30" s="608"/>
      <c r="C30" s="634"/>
      <c r="D30" s="634"/>
      <c r="E30" s="634"/>
      <c r="F30" s="634"/>
      <c r="G30" s="634"/>
      <c r="H30" s="652" t="s">
        <v>517</v>
      </c>
      <c r="I30" s="634"/>
      <c r="J30" s="634"/>
      <c r="K30" s="696" t="s">
        <v>464</v>
      </c>
      <c r="L30" s="697">
        <f>IF(H17=0,0.001,Calculations!I127)</f>
        <v>0.19353805688788134</v>
      </c>
      <c r="M30" s="698" t="s">
        <v>108</v>
      </c>
      <c r="U30" s="317"/>
      <c r="V30" s="301"/>
      <c r="W30" s="298"/>
      <c r="X30" s="286"/>
      <c r="Z30" s="78"/>
      <c r="AA30" s="78"/>
      <c r="AB30" s="78"/>
      <c r="AC30" s="79"/>
      <c r="AD30" s="311"/>
      <c r="AE30" s="288"/>
      <c r="AF30" s="288"/>
      <c r="AG30" s="288"/>
      <c r="AH30" s="288"/>
      <c r="AI30" s="311"/>
      <c r="AJ30" s="311"/>
      <c r="AK30" s="78"/>
      <c r="AL30" s="78"/>
      <c r="AM30" s="78"/>
      <c r="AN30" s="78"/>
      <c r="AO30" s="78"/>
      <c r="AP30" s="78"/>
    </row>
    <row r="31" spans="1:42" ht="15" customHeight="1">
      <c r="A31" s="967" t="s">
        <v>509</v>
      </c>
      <c r="B31" s="459" t="s">
        <v>423</v>
      </c>
      <c r="C31" s="460" t="s">
        <v>215</v>
      </c>
      <c r="D31" s="461"/>
      <c r="E31" s="461"/>
      <c r="F31" s="462">
        <f>1000000*J31</f>
        <v>8965517.2413793094</v>
      </c>
      <c r="G31" s="461" t="s">
        <v>3</v>
      </c>
      <c r="H31" s="903">
        <f>ROUND(G55,-2)</f>
        <v>1300</v>
      </c>
      <c r="I31" s="463" t="s">
        <v>2</v>
      </c>
      <c r="J31" s="483">
        <f>H31/145</f>
        <v>8.9655172413793096</v>
      </c>
      <c r="K31" s="482" t="s">
        <v>48</v>
      </c>
      <c r="L31" s="482"/>
      <c r="M31" s="482"/>
      <c r="U31" s="317"/>
      <c r="V31" s="301"/>
      <c r="W31" s="298"/>
      <c r="Z31" s="78"/>
      <c r="AA31" s="78"/>
      <c r="AB31" s="78"/>
      <c r="AC31" s="79"/>
      <c r="AD31" s="311"/>
      <c r="AE31" s="288"/>
      <c r="AF31" s="288"/>
      <c r="AG31" s="312"/>
      <c r="AH31" s="312"/>
      <c r="AI31" s="313"/>
      <c r="AJ31" s="312"/>
      <c r="AK31" s="288"/>
      <c r="AL31" s="288"/>
      <c r="AM31" s="288"/>
      <c r="AN31" s="288"/>
      <c r="AO31" s="288"/>
      <c r="AP31" s="288"/>
    </row>
    <row r="32" spans="1:42" ht="15" customHeight="1">
      <c r="A32" s="970"/>
      <c r="B32" s="466" t="s">
        <v>268</v>
      </c>
      <c r="C32" s="460" t="s">
        <v>15</v>
      </c>
      <c r="D32" s="461"/>
      <c r="E32" s="461"/>
      <c r="F32" s="462">
        <f>Pp</f>
        <v>44717418.962376639</v>
      </c>
      <c r="G32" s="467" t="s">
        <v>3</v>
      </c>
      <c r="H32" s="903">
        <f>ROUND(Circulation!H223/6895,-2)</f>
        <v>6500</v>
      </c>
      <c r="I32" s="463" t="s">
        <v>2</v>
      </c>
      <c r="J32" s="468">
        <f>Pp/1000000</f>
        <v>44.717418962376641</v>
      </c>
      <c r="K32" s="469" t="s">
        <v>48</v>
      </c>
      <c r="L32" s="465"/>
      <c r="M32" s="465"/>
      <c r="N32" s="446"/>
      <c r="O32" s="447"/>
      <c r="P32" s="453"/>
      <c r="Q32" s="454"/>
      <c r="R32" s="455"/>
      <c r="S32" s="447"/>
      <c r="T32" s="447"/>
      <c r="U32" s="317"/>
      <c r="V32" s="301"/>
      <c r="W32" s="298"/>
      <c r="Y32" s="87"/>
      <c r="Z32" s="291"/>
      <c r="AA32" s="291"/>
      <c r="AB32" s="291"/>
      <c r="AC32" s="79"/>
      <c r="AD32" s="311"/>
      <c r="AE32" s="288"/>
      <c r="AF32" s="313"/>
      <c r="AG32" s="312"/>
      <c r="AH32" s="312"/>
      <c r="AI32" s="313"/>
      <c r="AJ32" s="312"/>
      <c r="AK32" s="288"/>
      <c r="AL32" s="288"/>
      <c r="AM32" s="288"/>
      <c r="AN32" s="288"/>
      <c r="AO32" s="288"/>
      <c r="AP32" s="288"/>
    </row>
    <row r="33" spans="1:42" ht="15" customHeight="1">
      <c r="A33" s="970"/>
      <c r="B33" s="466" t="s">
        <v>422</v>
      </c>
      <c r="C33" s="460" t="s">
        <v>3</v>
      </c>
      <c r="D33" s="470">
        <f>Circulation!AH117</f>
        <v>3464.7973178908878</v>
      </c>
      <c r="E33" s="461" t="s">
        <v>513</v>
      </c>
      <c r="F33" s="462">
        <f>Pa</f>
        <v>20836393.243775576</v>
      </c>
      <c r="G33" s="467" t="s">
        <v>3</v>
      </c>
      <c r="H33" s="903">
        <f>ROUND(Circulation!H119/6895,-1)</f>
        <v>3020</v>
      </c>
      <c r="I33" s="463" t="s">
        <v>2</v>
      </c>
      <c r="J33" s="468">
        <f>Pa/1000000</f>
        <v>20.836393243775575</v>
      </c>
      <c r="K33" s="469" t="s">
        <v>48</v>
      </c>
      <c r="L33" s="965" t="str">
        <f>IF(H33&gt;D33,"Above Hydrostatic","")</f>
        <v/>
      </c>
      <c r="M33" s="965"/>
      <c r="N33" s="456"/>
      <c r="O33" s="456"/>
      <c r="P33" s="456"/>
      <c r="Q33" s="456"/>
      <c r="R33" s="433"/>
      <c r="S33" s="433"/>
      <c r="T33" s="433"/>
      <c r="U33" s="317"/>
      <c r="V33" s="301"/>
      <c r="W33" s="298"/>
      <c r="X33" s="286"/>
      <c r="Y33" s="78"/>
      <c r="Z33" s="78"/>
      <c r="AA33" s="78"/>
      <c r="AB33" s="78"/>
      <c r="AC33" s="79"/>
      <c r="AD33" s="311"/>
      <c r="AE33" s="311"/>
      <c r="AF33" s="311"/>
      <c r="AG33" s="311"/>
      <c r="AH33" s="311"/>
      <c r="AI33" s="311"/>
      <c r="AJ33" s="311"/>
      <c r="AK33" s="78"/>
      <c r="AL33" s="78"/>
      <c r="AM33" s="78"/>
      <c r="AN33" s="78"/>
      <c r="AO33" s="78"/>
      <c r="AP33" s="78"/>
    </row>
    <row r="34" spans="1:42" ht="15" customHeight="1">
      <c r="A34" s="970"/>
      <c r="B34" s="459" t="s">
        <v>515</v>
      </c>
      <c r="C34" s="471"/>
      <c r="D34" s="461"/>
      <c r="E34" s="461"/>
      <c r="F34" s="472"/>
      <c r="G34" s="461"/>
      <c r="H34" s="904">
        <f>H42+H41</f>
        <v>3.9905413595630561</v>
      </c>
      <c r="I34" s="463" t="s">
        <v>105</v>
      </c>
      <c r="J34" s="464">
        <f>H34*42*3.785</f>
        <v>634.37635992973901</v>
      </c>
      <c r="K34" s="465" t="s">
        <v>110</v>
      </c>
      <c r="L34" s="979"/>
      <c r="M34" s="979"/>
      <c r="N34" s="446"/>
      <c r="O34" s="447"/>
      <c r="P34" s="453"/>
      <c r="Q34" s="454"/>
      <c r="R34" s="455"/>
      <c r="S34" s="447"/>
      <c r="T34" s="447"/>
      <c r="U34" s="317"/>
      <c r="V34" s="301"/>
      <c r="W34" s="298"/>
      <c r="X34" s="299"/>
      <c r="Y34" s="87"/>
      <c r="Z34" s="291"/>
      <c r="AA34" s="291"/>
      <c r="AB34" s="291"/>
      <c r="AC34" s="78"/>
      <c r="AD34" s="78"/>
      <c r="AE34" s="78"/>
      <c r="AF34" s="78"/>
      <c r="AG34" s="78"/>
      <c r="AH34" s="78"/>
      <c r="AI34" s="78"/>
      <c r="AJ34" s="78"/>
      <c r="AK34" s="288"/>
      <c r="AL34" s="288"/>
      <c r="AM34" s="288"/>
      <c r="AN34" s="288"/>
      <c r="AO34" s="288"/>
      <c r="AP34" s="288"/>
    </row>
    <row r="35" spans="1:42" ht="15" customHeight="1">
      <c r="A35" s="970"/>
      <c r="B35" s="459" t="s">
        <v>516</v>
      </c>
      <c r="C35" s="471"/>
      <c r="D35" s="461"/>
      <c r="E35" s="461"/>
      <c r="F35" s="472"/>
      <c r="G35" s="461"/>
      <c r="H35" s="904">
        <f>H40+H39</f>
        <v>1.1480754410596925</v>
      </c>
      <c r="I35" s="463" t="s">
        <v>105</v>
      </c>
      <c r="J35" s="464">
        <f>H35*42*3.785</f>
        <v>182.50955286525931</v>
      </c>
      <c r="K35" s="465" t="s">
        <v>110</v>
      </c>
      <c r="L35" s="469"/>
      <c r="M35" s="469"/>
      <c r="U35" s="316"/>
      <c r="V35" s="301"/>
      <c r="W35" s="29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</row>
    <row r="36" spans="1:42" ht="15" customHeight="1">
      <c r="A36" s="970"/>
      <c r="B36" s="466" t="s">
        <v>465</v>
      </c>
      <c r="C36" s="460" t="s">
        <v>42</v>
      </c>
      <c r="D36" s="461"/>
      <c r="E36" s="461"/>
      <c r="F36" s="473">
        <f>MIN(xrat)</f>
        <v>0.79116869094797337</v>
      </c>
      <c r="G36" s="467"/>
      <c r="H36" s="905">
        <f>MIN(xrat)</f>
        <v>0.79116869094797337</v>
      </c>
      <c r="I36" s="474"/>
      <c r="J36" s="474"/>
      <c r="K36" s="474"/>
      <c r="L36" s="979" t="str">
        <f>IF(H36&lt;0.5,"lose cuttings circulation","OK")</f>
        <v>OK</v>
      </c>
      <c r="M36" s="979"/>
      <c r="N36" s="446"/>
      <c r="O36" s="447"/>
      <c r="P36" s="453"/>
      <c r="Q36" s="454"/>
      <c r="R36" s="455"/>
      <c r="S36" s="447"/>
      <c r="T36" s="447"/>
      <c r="U36" s="316"/>
      <c r="V36" s="301"/>
      <c r="W36" s="298"/>
      <c r="Y36" s="87"/>
      <c r="Z36" s="291"/>
      <c r="AA36" s="291"/>
      <c r="AB36" s="291"/>
      <c r="AC36" s="78"/>
      <c r="AD36" s="78"/>
      <c r="AE36" s="78"/>
      <c r="AF36" s="78"/>
      <c r="AG36" s="78"/>
      <c r="AH36" s="78"/>
      <c r="AI36" s="78"/>
      <c r="AJ36" s="78"/>
      <c r="AK36" s="288"/>
      <c r="AL36" s="288"/>
      <c r="AM36" s="288"/>
      <c r="AN36" s="288"/>
      <c r="AO36" s="288"/>
      <c r="AP36" s="288"/>
    </row>
    <row r="37" spans="1:42" ht="15" customHeight="1">
      <c r="A37" s="970"/>
      <c r="B37" s="466" t="s">
        <v>681</v>
      </c>
      <c r="C37" s="471"/>
      <c r="D37" s="461"/>
      <c r="E37" s="461"/>
      <c r="F37" s="475">
        <f>MIN(Circulation!AC9:AC119)</f>
        <v>1.2580721502659298</v>
      </c>
      <c r="G37" s="461" t="s">
        <v>4</v>
      </c>
      <c r="H37" s="906">
        <f>F37*3.28*60</f>
        <v>247.58859917233499</v>
      </c>
      <c r="I37" s="463" t="s">
        <v>107</v>
      </c>
      <c r="J37" s="464">
        <f>F37</f>
        <v>1.2580721502659298</v>
      </c>
      <c r="K37" s="465" t="s">
        <v>4</v>
      </c>
      <c r="L37" s="980" t="s">
        <v>685</v>
      </c>
      <c r="M37" s="980"/>
      <c r="N37" s="446"/>
      <c r="O37" s="447"/>
      <c r="P37" s="453"/>
      <c r="Q37" s="454"/>
      <c r="R37" s="455"/>
      <c r="S37" s="447"/>
      <c r="T37" s="447"/>
      <c r="U37" s="317"/>
      <c r="V37" s="301"/>
      <c r="W37" s="298"/>
      <c r="X37" s="299"/>
      <c r="Y37" s="87"/>
      <c r="Z37" s="291"/>
      <c r="AA37" s="291"/>
      <c r="AB37" s="291"/>
      <c r="AC37" s="78"/>
      <c r="AD37" s="78"/>
      <c r="AE37" s="78"/>
      <c r="AF37" s="78"/>
      <c r="AG37" s="78"/>
      <c r="AH37" s="78"/>
      <c r="AI37" s="78"/>
      <c r="AJ37" s="78"/>
      <c r="AK37" s="288"/>
      <c r="AL37" s="288"/>
      <c r="AM37" s="288"/>
      <c r="AN37" s="288"/>
      <c r="AO37" s="288"/>
      <c r="AP37" s="288"/>
    </row>
    <row r="38" spans="1:42" ht="15" customHeight="1">
      <c r="A38" s="970"/>
      <c r="B38" s="459" t="s">
        <v>436</v>
      </c>
      <c r="C38" s="471" t="s">
        <v>437</v>
      </c>
      <c r="D38" s="461"/>
      <c r="E38" s="461"/>
      <c r="F38" s="476">
        <f>IF(H17=0,1,MIN(Circulation!AG9:AG119))</f>
        <v>1.4758460295400173</v>
      </c>
      <c r="G38" s="461"/>
      <c r="H38" s="907" t="str">
        <f>IF(F38&lt;1,"Stratified","Mixed - OK")</f>
        <v>Mixed - OK</v>
      </c>
      <c r="I38" s="463"/>
      <c r="J38" s="465"/>
      <c r="K38" s="465"/>
      <c r="L38" s="477"/>
      <c r="M38" s="477"/>
      <c r="N38" s="446"/>
      <c r="O38" s="447"/>
      <c r="P38" s="453"/>
      <c r="Q38" s="454"/>
      <c r="R38" s="455"/>
      <c r="S38" s="447"/>
      <c r="T38" s="447"/>
      <c r="U38" s="317"/>
      <c r="V38" s="301"/>
      <c r="W38" s="298"/>
      <c r="X38" s="299"/>
      <c r="Y38" s="87"/>
      <c r="Z38" s="291"/>
      <c r="AA38" s="291"/>
      <c r="AB38" s="291"/>
      <c r="AC38" s="78"/>
      <c r="AD38" s="78"/>
      <c r="AE38" s="78"/>
      <c r="AF38" s="78"/>
      <c r="AG38" s="78"/>
      <c r="AH38" s="78"/>
      <c r="AI38" s="78"/>
      <c r="AJ38" s="78"/>
      <c r="AK38" s="288"/>
      <c r="AL38" s="288"/>
      <c r="AM38" s="288"/>
      <c r="AN38" s="288"/>
      <c r="AO38" s="288"/>
      <c r="AP38" s="288"/>
    </row>
    <row r="39" spans="1:42" ht="15" customHeight="1">
      <c r="A39" s="970"/>
      <c r="B39" s="459" t="s">
        <v>411</v>
      </c>
      <c r="C39" s="471"/>
      <c r="D39" s="461"/>
      <c r="E39" s="461"/>
      <c r="F39" s="478">
        <f>mwr/rhowo</f>
        <v>1.1093773079213232E-5</v>
      </c>
      <c r="G39" s="461" t="s">
        <v>1</v>
      </c>
      <c r="H39" s="904">
        <f>60*F39*1000/3.79/42</f>
        <v>4.1815955820630355E-3</v>
      </c>
      <c r="I39" s="463" t="s">
        <v>105</v>
      </c>
      <c r="J39" s="464">
        <f>H39*42*3.785</f>
        <v>0.66474824968056079</v>
      </c>
      <c r="K39" s="465" t="s">
        <v>110</v>
      </c>
      <c r="L39" s="479">
        <f>H39/H18</f>
        <v>1.0453988955157589E-3</v>
      </c>
      <c r="M39" s="469" t="s">
        <v>514</v>
      </c>
      <c r="N39" s="446"/>
      <c r="O39" s="447"/>
      <c r="P39" s="453"/>
      <c r="Q39" s="454"/>
      <c r="R39" s="455"/>
      <c r="S39" s="447"/>
      <c r="T39" s="447"/>
      <c r="U39" s="316"/>
      <c r="V39" s="301"/>
      <c r="W39" s="298"/>
      <c r="X39" s="299"/>
      <c r="Y39" s="293"/>
      <c r="Z39" s="308"/>
      <c r="AA39" s="308"/>
      <c r="AB39" s="308"/>
      <c r="AC39" s="78"/>
      <c r="AD39" s="78"/>
      <c r="AE39" s="78"/>
      <c r="AF39" s="78"/>
      <c r="AG39" s="78"/>
      <c r="AH39" s="78"/>
      <c r="AI39" s="78"/>
      <c r="AJ39" s="78"/>
      <c r="AK39" s="288"/>
      <c r="AL39" s="288"/>
      <c r="AM39" s="288"/>
      <c r="AN39" s="288"/>
      <c r="AO39" s="288"/>
      <c r="AP39" s="288"/>
    </row>
    <row r="40" spans="1:42" ht="15" customHeight="1">
      <c r="A40" s="970"/>
      <c r="B40" s="459" t="s">
        <v>412</v>
      </c>
      <c r="C40" s="471"/>
      <c r="D40" s="461"/>
      <c r="E40" s="461"/>
      <c r="F40" s="478">
        <f>mgr/rhoga</f>
        <v>3.0347503720521509E-3</v>
      </c>
      <c r="G40" s="461" t="s">
        <v>1</v>
      </c>
      <c r="H40" s="904">
        <f>60000*F40/3.79/42</f>
        <v>1.1438938454776295</v>
      </c>
      <c r="I40" s="463" t="s">
        <v>105</v>
      </c>
      <c r="J40" s="464">
        <f>H40*42*3.785</f>
        <v>181.84480461557877</v>
      </c>
      <c r="K40" s="465" t="s">
        <v>110</v>
      </c>
      <c r="L40" s="479"/>
      <c r="M40" s="469"/>
      <c r="N40" s="446"/>
      <c r="O40" s="447"/>
      <c r="P40" s="453"/>
      <c r="Q40" s="454"/>
      <c r="R40" s="455"/>
      <c r="S40" s="447"/>
      <c r="T40" s="447"/>
      <c r="U40" s="317"/>
      <c r="V40" s="301"/>
      <c r="W40" s="298"/>
      <c r="X40" s="299"/>
      <c r="Y40" s="87"/>
      <c r="Z40" s="291"/>
      <c r="AA40" s="291"/>
      <c r="AB40" s="291"/>
      <c r="AC40" s="78"/>
      <c r="AD40" s="78"/>
      <c r="AE40" s="78"/>
      <c r="AF40" s="78"/>
      <c r="AG40" s="78"/>
      <c r="AH40" s="78"/>
      <c r="AI40" s="78"/>
      <c r="AJ40" s="78"/>
      <c r="AK40" s="288"/>
      <c r="AL40" s="288"/>
      <c r="AM40" s="288"/>
      <c r="AN40" s="288"/>
      <c r="AO40" s="288"/>
      <c r="AP40" s="288"/>
    </row>
    <row r="41" spans="1:42" ht="15" customHeight="1">
      <c r="A41" s="970"/>
      <c r="B41" s="459" t="s">
        <v>518</v>
      </c>
      <c r="C41" s="471"/>
      <c r="D41" s="461"/>
      <c r="E41" s="461"/>
      <c r="F41" s="478">
        <f>mwb/rhowo</f>
        <v>1.0586906226920788E-2</v>
      </c>
      <c r="G41" s="461" t="s">
        <v>1</v>
      </c>
      <c r="H41" s="904">
        <f>60*F41*1000/3.79/42</f>
        <v>3.9905413595630561</v>
      </c>
      <c r="I41" s="463" t="s">
        <v>105</v>
      </c>
      <c r="J41" s="464">
        <f>H41*42*3.785</f>
        <v>634.37635992973901</v>
      </c>
      <c r="K41" s="465" t="s">
        <v>110</v>
      </c>
      <c r="L41" s="479"/>
      <c r="M41" s="469"/>
      <c r="N41" s="446"/>
      <c r="O41" s="447"/>
      <c r="P41" s="453"/>
      <c r="Q41" s="454"/>
      <c r="R41" s="455"/>
      <c r="S41" s="447"/>
      <c r="T41" s="447"/>
      <c r="U41" s="317"/>
      <c r="V41" s="301"/>
      <c r="W41" s="298"/>
      <c r="X41" s="299"/>
      <c r="Y41" s="87"/>
      <c r="Z41" s="291"/>
      <c r="AA41" s="291"/>
      <c r="AB41" s="291"/>
      <c r="AC41" s="78"/>
      <c r="AD41" s="78"/>
      <c r="AE41" s="78"/>
      <c r="AF41" s="78"/>
      <c r="AG41" s="78"/>
      <c r="AH41" s="78"/>
      <c r="AI41" s="78"/>
      <c r="AJ41" s="78"/>
      <c r="AK41" s="288"/>
      <c r="AL41" s="288"/>
      <c r="AM41" s="288"/>
      <c r="AN41" s="288"/>
      <c r="AO41" s="288"/>
      <c r="AP41" s="288"/>
    </row>
    <row r="42" spans="1:42" ht="18" customHeight="1">
      <c r="A42" s="970"/>
      <c r="B42" s="459" t="s">
        <v>519</v>
      </c>
      <c r="C42" s="471"/>
      <c r="D42" s="461"/>
      <c r="E42" s="461"/>
      <c r="F42" s="478">
        <f>mgb/rhogm</f>
        <v>0</v>
      </c>
      <c r="G42" s="461" t="s">
        <v>1</v>
      </c>
      <c r="H42" s="904">
        <f>60000*F42/3.79/42</f>
        <v>0</v>
      </c>
      <c r="I42" s="463" t="s">
        <v>105</v>
      </c>
      <c r="J42" s="464">
        <f>H42*42*3.785</f>
        <v>0</v>
      </c>
      <c r="K42" s="465" t="s">
        <v>110</v>
      </c>
      <c r="L42" s="479">
        <f>H42/(H42+H41)</f>
        <v>0</v>
      </c>
      <c r="M42" s="942" t="s">
        <v>696</v>
      </c>
      <c r="N42" s="446"/>
      <c r="O42" s="447"/>
      <c r="P42" s="453"/>
      <c r="Q42" s="454"/>
      <c r="R42" s="455"/>
      <c r="S42" s="447"/>
      <c r="U42" s="317"/>
      <c r="V42" s="301"/>
      <c r="W42" s="298"/>
      <c r="X42" s="299"/>
      <c r="Y42" s="87"/>
      <c r="Z42" s="291"/>
      <c r="AA42" s="291"/>
      <c r="AB42" s="291"/>
      <c r="AC42" s="78"/>
      <c r="AD42" s="78"/>
      <c r="AE42" s="78"/>
      <c r="AF42" s="78"/>
      <c r="AG42" s="78"/>
      <c r="AH42" s="78"/>
      <c r="AI42" s="78"/>
      <c r="AJ42" s="78"/>
      <c r="AK42" s="288"/>
      <c r="AL42" s="288"/>
      <c r="AM42" s="288"/>
      <c r="AN42" s="288"/>
      <c r="AO42" s="288"/>
      <c r="AP42" s="288"/>
    </row>
    <row r="43" spans="1:42" ht="17" hidden="1">
      <c r="C43" s="653" t="s">
        <v>637</v>
      </c>
      <c r="D43" s="291"/>
      <c r="E43" s="291"/>
      <c r="F43" s="291"/>
      <c r="G43" s="291"/>
      <c r="H43" s="428">
        <f>H29-L30</f>
        <v>-5.3805688788133299E-4</v>
      </c>
      <c r="I43" s="291"/>
      <c r="J43" s="291"/>
      <c r="M43" s="291"/>
      <c r="N43" s="438"/>
      <c r="O43" s="438"/>
      <c r="P43" s="438"/>
      <c r="Q43" s="438"/>
      <c r="R43" s="438"/>
      <c r="S43" s="438"/>
      <c r="T43" s="438"/>
      <c r="U43" s="316"/>
      <c r="V43" s="301"/>
      <c r="W43" s="29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</row>
    <row r="44" spans="1:42" ht="16" hidden="1" customHeight="1">
      <c r="A44" s="593" t="s">
        <v>642</v>
      </c>
      <c r="C44" s="591"/>
      <c r="D44" s="591"/>
      <c r="E44" s="591"/>
      <c r="F44" s="591"/>
      <c r="I44" s="592" t="s">
        <v>634</v>
      </c>
      <c r="U44" s="316"/>
      <c r="V44" s="301"/>
      <c r="W44" s="29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</row>
    <row r="45" spans="1:42" ht="16" hidden="1" customHeight="1">
      <c r="A45" s="564">
        <v>1</v>
      </c>
      <c r="B45" s="591" t="s">
        <v>644</v>
      </c>
      <c r="C45" s="591"/>
      <c r="D45" s="591"/>
      <c r="E45" s="591"/>
      <c r="F45" s="591"/>
      <c r="I45" s="564">
        <v>1</v>
      </c>
      <c r="J45" s="424" t="s">
        <v>635</v>
      </c>
      <c r="R45" s="457"/>
      <c r="S45" s="457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</row>
    <row r="46" spans="1:42" ht="16" hidden="1" customHeight="1">
      <c r="A46" s="564">
        <v>2</v>
      </c>
      <c r="B46" s="591" t="s">
        <v>645</v>
      </c>
      <c r="C46" s="591"/>
      <c r="D46" s="591"/>
      <c r="E46" s="591"/>
      <c r="F46" s="591"/>
      <c r="I46" s="564"/>
      <c r="K46" s="424" t="s">
        <v>636</v>
      </c>
      <c r="R46" s="457"/>
      <c r="S46" s="457"/>
      <c r="U46" s="316"/>
      <c r="V46" s="301"/>
      <c r="W46" s="298"/>
      <c r="X46" s="299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</row>
    <row r="47" spans="1:42" ht="16" hidden="1" customHeight="1">
      <c r="A47" s="564">
        <v>3</v>
      </c>
      <c r="B47" s="424" t="s">
        <v>672</v>
      </c>
      <c r="C47" s="590"/>
      <c r="D47" s="590"/>
      <c r="E47" s="590"/>
      <c r="F47" s="590"/>
      <c r="I47" s="564">
        <v>2</v>
      </c>
      <c r="J47" s="85" t="s">
        <v>633</v>
      </c>
      <c r="R47" s="457"/>
      <c r="S47" s="457"/>
      <c r="U47" s="316"/>
      <c r="V47" s="301"/>
      <c r="W47" s="298"/>
      <c r="X47" s="299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</row>
    <row r="48" spans="1:42" ht="16" hidden="1" customHeight="1">
      <c r="A48" s="564">
        <v>4</v>
      </c>
      <c r="B48" s="591" t="s">
        <v>646</v>
      </c>
      <c r="C48" s="590"/>
      <c r="D48" s="590"/>
      <c r="E48" s="590"/>
      <c r="F48" s="590"/>
      <c r="I48" s="592" t="s">
        <v>160</v>
      </c>
      <c r="R48" s="457"/>
      <c r="U48" s="316"/>
      <c r="V48" s="301"/>
      <c r="W48" s="29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</row>
    <row r="49" spans="1:42" ht="16" hidden="1" customHeight="1">
      <c r="A49" s="564">
        <v>5</v>
      </c>
      <c r="B49" s="591" t="s">
        <v>647</v>
      </c>
      <c r="C49" s="591"/>
      <c r="D49" s="591"/>
      <c r="E49" s="591"/>
      <c r="F49" s="591"/>
      <c r="I49" s="564">
        <v>1</v>
      </c>
      <c r="J49" s="429" t="s">
        <v>456</v>
      </c>
      <c r="R49" s="457"/>
      <c r="S49" s="458"/>
      <c r="U49" s="316"/>
      <c r="V49" s="301"/>
      <c r="W49" s="29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</row>
    <row r="50" spans="1:42" ht="16" hidden="1" customHeight="1">
      <c r="A50" s="564">
        <v>6</v>
      </c>
      <c r="B50" s="591" t="s">
        <v>648</v>
      </c>
      <c r="C50" s="591"/>
      <c r="D50" s="591"/>
      <c r="E50" s="591"/>
      <c r="F50" s="591"/>
      <c r="I50" s="564">
        <v>2</v>
      </c>
      <c r="J50" s="429" t="s">
        <v>397</v>
      </c>
      <c r="U50" s="316"/>
      <c r="V50" s="298"/>
      <c r="W50" s="298"/>
      <c r="X50" s="299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</row>
    <row r="51" spans="1:42" ht="16" hidden="1" customHeight="1">
      <c r="A51" s="564">
        <v>7</v>
      </c>
      <c r="B51" s="591" t="s">
        <v>649</v>
      </c>
      <c r="C51" s="591"/>
      <c r="D51" s="591"/>
      <c r="E51" s="591"/>
      <c r="F51" s="591"/>
      <c r="I51" s="564">
        <v>3</v>
      </c>
      <c r="J51" s="429" t="s">
        <v>398</v>
      </c>
      <c r="U51" s="316"/>
      <c r="V51" s="298"/>
      <c r="W51" s="298"/>
      <c r="X51" s="299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</row>
    <row r="52" spans="1:42" ht="16" hidden="1" customHeight="1">
      <c r="A52" s="564">
        <v>8</v>
      </c>
      <c r="B52" s="591" t="s">
        <v>650</v>
      </c>
      <c r="C52" s="590"/>
      <c r="D52" s="590"/>
      <c r="E52" s="590"/>
      <c r="F52" s="590"/>
      <c r="I52" s="564">
        <v>4</v>
      </c>
      <c r="J52" s="429" t="s">
        <v>161</v>
      </c>
      <c r="U52" s="316"/>
      <c r="V52" s="298"/>
      <c r="W52" s="298"/>
      <c r="X52" s="299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</row>
    <row r="53" spans="1:42" ht="16" hidden="1" customHeight="1">
      <c r="A53" s="564">
        <v>9</v>
      </c>
      <c r="B53" s="591" t="s">
        <v>651</v>
      </c>
      <c r="C53" s="292"/>
      <c r="D53" s="292"/>
      <c r="E53" s="292"/>
      <c r="F53" s="78"/>
      <c r="I53" s="564">
        <v>5</v>
      </c>
      <c r="J53" s="429" t="s">
        <v>162</v>
      </c>
      <c r="U53" s="316"/>
      <c r="V53" s="298"/>
      <c r="W53" s="298"/>
      <c r="X53" s="299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</row>
    <row r="54" spans="1:42" ht="16" hidden="1" customHeight="1">
      <c r="C54" s="425" t="s">
        <v>469</v>
      </c>
      <c r="G54" s="424" t="s">
        <v>478</v>
      </c>
      <c r="I54" s="564">
        <v>6</v>
      </c>
      <c r="J54" s="429" t="s">
        <v>169</v>
      </c>
      <c r="K54" s="96"/>
      <c r="L54" s="96"/>
      <c r="M54" s="96"/>
      <c r="U54" s="316"/>
      <c r="V54" s="298"/>
      <c r="W54" s="298"/>
      <c r="X54" s="299"/>
    </row>
    <row r="55" spans="1:42" ht="16" hidden="1" customHeight="1">
      <c r="C55" s="85"/>
      <c r="D55" s="308">
        <f>(dPm+dPb+dPw+dPv+dPhp)/6895</f>
        <v>1280.14771802888</v>
      </c>
      <c r="F55" s="430"/>
      <c r="G55" s="430">
        <f>MAX(G56:G236)</f>
        <v>1272.2080384867961</v>
      </c>
      <c r="I55" s="564">
        <v>7</v>
      </c>
      <c r="J55" s="431" t="s">
        <v>494</v>
      </c>
      <c r="K55" s="96"/>
      <c r="L55" s="96"/>
      <c r="M55" s="96"/>
      <c r="U55" s="316"/>
      <c r="V55" s="298"/>
      <c r="W55" s="298"/>
      <c r="X55" s="299"/>
    </row>
    <row r="56" spans="1:42" ht="16" hidden="1" customHeight="1">
      <c r="C56" s="432">
        <v>100</v>
      </c>
      <c r="D56" s="85">
        <f t="dataTable" ref="D56:D236" dt2D="0" dtr="0" r1="H31"/>
        <v>1581.8592760262939</v>
      </c>
      <c r="E56" s="85" t="b">
        <f>ISNUMBER(D56)</f>
        <v>1</v>
      </c>
      <c r="F56" s="430">
        <f t="shared" ref="F56:F87" si="0">IF(E56,(C56-D56)^2,1000000)</f>
        <v>2195906.913945172</v>
      </c>
      <c r="G56" s="85">
        <f t="shared" ref="G56:G93" si="1">IF(F56=MIN($F$56:$F$236),C56,0)</f>
        <v>0</v>
      </c>
      <c r="I56" s="564">
        <v>8</v>
      </c>
      <c r="J56" s="429" t="s">
        <v>413</v>
      </c>
      <c r="K56" s="96"/>
      <c r="L56" s="96"/>
      <c r="M56" s="96"/>
    </row>
    <row r="57" spans="1:42" ht="16" hidden="1" customHeight="1">
      <c r="C57" s="430">
        <f>1.025*C56</f>
        <v>102.49999999999999</v>
      </c>
      <c r="D57" s="85">
        <v>1581.808611267877</v>
      </c>
      <c r="E57" s="85" t="b">
        <f t="shared" ref="E57:E120" si="2">ISNUMBER(D57)</f>
        <v>1</v>
      </c>
      <c r="F57" s="430">
        <f t="shared" si="0"/>
        <v>2188353.9673712947</v>
      </c>
      <c r="G57" s="85">
        <f t="shared" si="1"/>
        <v>0</v>
      </c>
      <c r="I57" s="564">
        <v>9</v>
      </c>
      <c r="J57" s="85" t="s">
        <v>435</v>
      </c>
      <c r="K57" s="96"/>
      <c r="L57" s="96"/>
      <c r="M57" s="96"/>
    </row>
    <row r="58" spans="1:42" hidden="1">
      <c r="C58" s="430">
        <f t="shared" ref="C58:C121" si="3">1.025*C57</f>
        <v>105.06249999999997</v>
      </c>
      <c r="D58" s="85">
        <v>1581.7568234669641</v>
      </c>
      <c r="E58" s="85" t="b">
        <f t="shared" si="2"/>
        <v>1</v>
      </c>
      <c r="F58" s="430">
        <f t="shared" si="0"/>
        <v>2180626.1249595545</v>
      </c>
      <c r="G58" s="85">
        <f t="shared" si="1"/>
        <v>0</v>
      </c>
    </row>
    <row r="59" spans="1:42" hidden="1">
      <c r="C59" s="430">
        <f t="shared" si="3"/>
        <v>107.68906249999996</v>
      </c>
      <c r="D59" s="85">
        <v>1581.7038914822333</v>
      </c>
      <c r="E59" s="85" t="b">
        <f t="shared" si="2"/>
        <v>1</v>
      </c>
      <c r="F59" s="430">
        <f t="shared" si="0"/>
        <v>2172719.7160595227</v>
      </c>
      <c r="G59" s="85">
        <f t="shared" si="1"/>
        <v>0</v>
      </c>
    </row>
    <row r="60" spans="1:42" hidden="1">
      <c r="C60" s="430">
        <f t="shared" si="3"/>
        <v>110.38128906249996</v>
      </c>
      <c r="D60" s="85">
        <v>1581.6497939704045</v>
      </c>
      <c r="E60" s="85" t="b">
        <f t="shared" si="2"/>
        <v>1</v>
      </c>
      <c r="F60" s="430">
        <f t="shared" si="0"/>
        <v>2164631.013533941</v>
      </c>
      <c r="G60" s="85">
        <f t="shared" si="1"/>
        <v>0</v>
      </c>
    </row>
    <row r="61" spans="1:42" hidden="1">
      <c r="C61" s="430">
        <f t="shared" si="3"/>
        <v>113.14082128906244</v>
      </c>
      <c r="D61" s="85">
        <v>1581.5945093959483</v>
      </c>
      <c r="E61" s="85" t="b">
        <f t="shared" si="2"/>
        <v>1</v>
      </c>
      <c r="F61" s="430">
        <f t="shared" si="0"/>
        <v>2156356.2341147154</v>
      </c>
      <c r="G61" s="85">
        <f t="shared" si="1"/>
        <v>0</v>
      </c>
    </row>
    <row r="62" spans="1:42" hidden="1">
      <c r="C62" s="430">
        <f t="shared" si="3"/>
        <v>115.96934182128899</v>
      </c>
      <c r="D62" s="85">
        <v>1581.5380160416692</v>
      </c>
      <c r="E62" s="85" t="b">
        <f t="shared" si="2"/>
        <v>1</v>
      </c>
      <c r="F62" s="430">
        <f t="shared" si="0"/>
        <v>2147891.5388560831</v>
      </c>
      <c r="G62" s="85">
        <f t="shared" si="1"/>
        <v>0</v>
      </c>
    </row>
    <row r="63" spans="1:42" hidden="1">
      <c r="C63" s="430">
        <f t="shared" si="3"/>
        <v>118.8685753668212</v>
      </c>
      <c r="D63" s="85">
        <v>1581.4802920201978</v>
      </c>
      <c r="E63" s="85" t="b">
        <f t="shared" si="2"/>
        <v>1</v>
      </c>
      <c r="F63" s="430">
        <f t="shared" si="0"/>
        <v>2139233.0336917369</v>
      </c>
      <c r="G63" s="85">
        <f t="shared" si="1"/>
        <v>0</v>
      </c>
    </row>
    <row r="64" spans="1:42" ht="14" hidden="1">
      <c r="C64" s="430">
        <f t="shared" si="3"/>
        <v>121.84028975099173</v>
      </c>
      <c r="D64" s="85">
        <v>1581.4213152864388</v>
      </c>
      <c r="E64" s="85" t="b">
        <f t="shared" si="2"/>
        <v>1</v>
      </c>
      <c r="F64" s="430">
        <f t="shared" si="0"/>
        <v>2130376.7701031072</v>
      </c>
      <c r="G64" s="85">
        <f t="shared" si="1"/>
        <v>0</v>
      </c>
      <c r="L64" s="700"/>
    </row>
    <row r="65" spans="3:7" hidden="1">
      <c r="C65" s="430">
        <f t="shared" si="3"/>
        <v>124.88629699476651</v>
      </c>
      <c r="D65" s="85">
        <v>1581.3610636510241</v>
      </c>
      <c r="E65" s="85" t="b">
        <f t="shared" si="2"/>
        <v>1</v>
      </c>
      <c r="F65" s="430">
        <f t="shared" si="0"/>
        <v>2121318.7459064</v>
      </c>
      <c r="G65" s="85">
        <f t="shared" si="1"/>
        <v>0</v>
      </c>
    </row>
    <row r="66" spans="3:7" hidden="1">
      <c r="C66" s="430">
        <f t="shared" si="3"/>
        <v>128.00845441963565</v>
      </c>
      <c r="D66" s="85">
        <v>1581.2995147948209</v>
      </c>
      <c r="E66" s="85" t="b">
        <f t="shared" si="2"/>
        <v>1</v>
      </c>
      <c r="F66" s="430">
        <f t="shared" si="0"/>
        <v>2112054.9061664301</v>
      </c>
      <c r="G66" s="85">
        <f t="shared" si="1"/>
        <v>0</v>
      </c>
    </row>
    <row r="67" spans="3:7" hidden="1">
      <c r="C67" s="430">
        <f t="shared" si="3"/>
        <v>131.20866578012652</v>
      </c>
      <c r="D67" s="85">
        <v>1581.2366462845464</v>
      </c>
      <c r="E67" s="85" t="b">
        <f t="shared" si="2"/>
        <v>1</v>
      </c>
      <c r="F67" s="430">
        <f t="shared" si="0"/>
        <v>2102581.1442457265</v>
      </c>
      <c r="G67" s="85">
        <f t="shared" si="1"/>
        <v>0</v>
      </c>
    </row>
    <row r="68" spans="3:7" hidden="1">
      <c r="C68" s="430">
        <f t="shared" si="3"/>
        <v>134.48888242462968</v>
      </c>
      <c r="D68" s="85">
        <v>1581.1724355895465</v>
      </c>
      <c r="E68" s="85" t="b">
        <f t="shared" si="2"/>
        <v>1</v>
      </c>
      <c r="F68" s="430">
        <f t="shared" si="0"/>
        <v>2092893.3029978683</v>
      </c>
      <c r="G68" s="85">
        <f t="shared" si="1"/>
        <v>0</v>
      </c>
    </row>
    <row r="69" spans="3:7" hidden="1">
      <c r="C69" s="430">
        <f t="shared" si="3"/>
        <v>137.8511044852454</v>
      </c>
      <c r="D69" s="85">
        <v>1581.1068600997842</v>
      </c>
      <c r="E69" s="85" t="b">
        <f t="shared" si="2"/>
        <v>1</v>
      </c>
      <c r="F69" s="430">
        <f t="shared" si="0"/>
        <v>2082987.1761144935</v>
      </c>
      <c r="G69" s="85">
        <f t="shared" si="1"/>
        <v>0</v>
      </c>
    </row>
    <row r="70" spans="3:7" hidden="1">
      <c r="C70" s="430">
        <f t="shared" si="3"/>
        <v>141.29738209737653</v>
      </c>
      <c r="D70" s="85">
        <v>1581.0398971451075</v>
      </c>
      <c r="E70" s="85" t="b">
        <f t="shared" si="2"/>
        <v>1</v>
      </c>
      <c r="F70" s="430">
        <f t="shared" si="0"/>
        <v>2072858.5096359656</v>
      </c>
      <c r="G70" s="85">
        <f t="shared" si="1"/>
        <v>0</v>
      </c>
    </row>
    <row r="71" spans="3:7" hidden="1">
      <c r="C71" s="430">
        <f t="shared" si="3"/>
        <v>144.82981664981094</v>
      </c>
      <c r="D71" s="85">
        <v>1580.9715240158503</v>
      </c>
      <c r="E71" s="85" t="b">
        <f t="shared" si="2"/>
        <v>1</v>
      </c>
      <c r="F71" s="430">
        <f t="shared" si="0"/>
        <v>2062503.0036362426</v>
      </c>
      <c r="G71" s="85">
        <f t="shared" si="1"/>
        <v>0</v>
      </c>
    </row>
    <row r="72" spans="3:7" hidden="1">
      <c r="C72" s="430">
        <f t="shared" si="3"/>
        <v>148.45056206605619</v>
      </c>
      <c r="D72" s="85">
        <v>1580.9017179848261</v>
      </c>
      <c r="E72" s="85" t="b">
        <f t="shared" si="2"/>
        <v>1</v>
      </c>
      <c r="F72" s="430">
        <f t="shared" si="0"/>
        <v>2051916.31409302</v>
      </c>
      <c r="G72" s="85">
        <f t="shared" si="1"/>
        <v>0</v>
      </c>
    </row>
    <row r="73" spans="3:7" hidden="1">
      <c r="C73" s="430">
        <f t="shared" si="3"/>
        <v>152.16182611770759</v>
      </c>
      <c r="D73" s="85">
        <v>1580.8304563307822</v>
      </c>
      <c r="E73" s="85" t="b">
        <f t="shared" si="2"/>
        <v>1</v>
      </c>
      <c r="F73" s="430">
        <f t="shared" si="0"/>
        <v>2041094.0549549032</v>
      </c>
      <c r="G73" s="85">
        <f t="shared" si="1"/>
        <v>0</v>
      </c>
    </row>
    <row r="74" spans="3:7" hidden="1">
      <c r="C74" s="430">
        <f t="shared" si="3"/>
        <v>155.96587177065027</v>
      </c>
      <c r="D74" s="85">
        <v>1580.75771636338</v>
      </c>
      <c r="E74" s="85" t="b">
        <f t="shared" si="2"/>
        <v>1</v>
      </c>
      <c r="F74" s="430">
        <f t="shared" si="0"/>
        <v>2030031.8004179536</v>
      </c>
      <c r="G74" s="85">
        <f t="shared" si="1"/>
        <v>0</v>
      </c>
    </row>
    <row r="75" spans="3:7" hidden="1">
      <c r="C75" s="430">
        <f t="shared" si="3"/>
        <v>159.86501856491651</v>
      </c>
      <c r="D75" s="85">
        <v>1580.6834754497672</v>
      </c>
      <c r="E75" s="85" t="b">
        <f t="shared" si="2"/>
        <v>1</v>
      </c>
      <c r="F75" s="430">
        <f t="shared" si="0"/>
        <v>2018725.0874246485</v>
      </c>
      <c r="G75" s="85">
        <f t="shared" si="1"/>
        <v>0</v>
      </c>
    </row>
    <row r="76" spans="3:7" hidden="1">
      <c r="C76" s="430">
        <f t="shared" si="3"/>
        <v>163.86164402903941</v>
      </c>
      <c r="D76" s="85">
        <v>1580.6077110428125</v>
      </c>
      <c r="E76" s="85" t="b">
        <f t="shared" si="2"/>
        <v>1</v>
      </c>
      <c r="F76" s="430">
        <f t="shared" si="0"/>
        <v>2007169.4183989947</v>
      </c>
      <c r="G76" s="85">
        <f t="shared" si="1"/>
        <v>0</v>
      </c>
    </row>
    <row r="77" spans="3:7" hidden="1">
      <c r="C77" s="430">
        <f t="shared" si="3"/>
        <v>167.95818512976538</v>
      </c>
      <c r="D77" s="85">
        <v>1580.5304007110781</v>
      </c>
      <c r="E77" s="85" t="b">
        <f t="shared" si="2"/>
        <v>1</v>
      </c>
      <c r="F77" s="430">
        <f t="shared" si="0"/>
        <v>1995360.2642322988</v>
      </c>
      <c r="G77" s="85">
        <f t="shared" si="1"/>
        <v>0</v>
      </c>
    </row>
    <row r="78" spans="3:7" hidden="1">
      <c r="C78" s="430">
        <f t="shared" si="3"/>
        <v>172.15713975800949</v>
      </c>
      <c r="D78" s="85">
        <v>1580.4515221705967</v>
      </c>
      <c r="E78" s="85" t="b">
        <f t="shared" si="2"/>
        <v>1</v>
      </c>
      <c r="F78" s="430">
        <f t="shared" si="0"/>
        <v>1983293.0675348507</v>
      </c>
      <c r="G78" s="85">
        <f t="shared" si="1"/>
        <v>0</v>
      </c>
    </row>
    <row r="79" spans="3:7" hidden="1">
      <c r="C79" s="430">
        <f t="shared" si="3"/>
        <v>176.46106825195972</v>
      </c>
      <c r="D79" s="85">
        <v>1580.3710533185454</v>
      </c>
      <c r="E79" s="85" t="b">
        <f t="shared" si="2"/>
        <v>1</v>
      </c>
      <c r="F79" s="430">
        <f t="shared" si="0"/>
        <v>1970963.2461696609</v>
      </c>
      <c r="G79" s="85">
        <f t="shared" si="1"/>
        <v>0</v>
      </c>
    </row>
    <row r="80" spans="3:7" hidden="1">
      <c r="C80" s="430">
        <f t="shared" si="3"/>
        <v>180.8725949582587</v>
      </c>
      <c r="D80" s="85">
        <v>1580.2889722688703</v>
      </c>
      <c r="E80" s="85" t="b">
        <f t="shared" si="2"/>
        <v>1</v>
      </c>
      <c r="F80" s="430">
        <f t="shared" si="0"/>
        <v>1958366.1970851559</v>
      </c>
      <c r="G80" s="85">
        <f t="shared" si="1"/>
        <v>0</v>
      </c>
    </row>
    <row r="81" spans="3:7" hidden="1">
      <c r="C81" s="430">
        <f t="shared" si="3"/>
        <v>185.39440983221516</v>
      </c>
      <c r="D81" s="85">
        <v>1580.205257389973</v>
      </c>
      <c r="E81" s="85" t="b">
        <f t="shared" si="2"/>
        <v>1</v>
      </c>
      <c r="F81" s="430">
        <f t="shared" si="0"/>
        <v>1945497.3004647908</v>
      </c>
      <c r="G81" s="85">
        <f t="shared" si="1"/>
        <v>0</v>
      </c>
    </row>
    <row r="82" spans="3:7" hidden="1">
      <c r="C82" s="430">
        <f t="shared" si="3"/>
        <v>190.02927007802052</v>
      </c>
      <c r="D82" s="85">
        <v>1580.1198873445144</v>
      </c>
      <c r="E82" s="85" t="b">
        <f t="shared" si="2"/>
        <v>1</v>
      </c>
      <c r="F82" s="430">
        <f t="shared" si="0"/>
        <v>1932351.9242123419</v>
      </c>
      <c r="G82" s="85">
        <f t="shared" si="1"/>
        <v>0</v>
      </c>
    </row>
    <row r="83" spans="3:7" hidden="1">
      <c r="C83" s="430">
        <f t="shared" si="3"/>
        <v>194.78000182997101</v>
      </c>
      <c r="D83" s="85">
        <v>1580.0328411314397</v>
      </c>
      <c r="E83" s="85" t="b">
        <f t="shared" si="2"/>
        <v>1</v>
      </c>
      <c r="F83" s="430">
        <f t="shared" si="0"/>
        <v>1918925.4287927805</v>
      </c>
      <c r="G83" s="85">
        <f t="shared" si="1"/>
        <v>0</v>
      </c>
    </row>
    <row r="84" spans="3:7" hidden="1">
      <c r="C84" s="430">
        <f t="shared" si="3"/>
        <v>199.64950187572026</v>
      </c>
      <c r="D84" s="85">
        <v>1579.9440981303078</v>
      </c>
      <c r="E84" s="85" t="b">
        <f t="shared" si="2"/>
        <v>1</v>
      </c>
      <c r="F84" s="430">
        <f t="shared" si="0"/>
        <v>1905213.1724496149</v>
      </c>
      <c r="G84" s="85">
        <f t="shared" si="1"/>
        <v>0</v>
      </c>
    </row>
    <row r="85" spans="3:7" hidden="1">
      <c r="C85" s="430">
        <f t="shared" si="3"/>
        <v>204.64073942261325</v>
      </c>
      <c r="D85" s="85">
        <v>1579.8536381480069</v>
      </c>
      <c r="E85" s="85" t="b">
        <f t="shared" si="2"/>
        <v>1</v>
      </c>
      <c r="F85" s="430">
        <f t="shared" si="0"/>
        <v>1891210.5168206999</v>
      </c>
      <c r="G85" s="85">
        <f t="shared" si="1"/>
        <v>0</v>
      </c>
    </row>
    <row r="86" spans="3:7" hidden="1">
      <c r="C86" s="430">
        <f t="shared" si="3"/>
        <v>209.75675790817857</v>
      </c>
      <c r="D86" s="85">
        <v>1579.7614414679613</v>
      </c>
      <c r="E86" s="85" t="b">
        <f t="shared" si="2"/>
        <v>1</v>
      </c>
      <c r="F86" s="430">
        <f t="shared" si="0"/>
        <v>1876912.8329757403</v>
      </c>
      <c r="G86" s="85">
        <f t="shared" si="1"/>
        <v>0</v>
      </c>
    </row>
    <row r="87" spans="3:7" hidden="1">
      <c r="C87" s="430">
        <f t="shared" si="3"/>
        <v>215.00067685588303</v>
      </c>
      <c r="D87" s="85">
        <v>1579.6674889019107</v>
      </c>
      <c r="E87" s="85" t="b">
        <f t="shared" si="2"/>
        <v>1</v>
      </c>
      <c r="F87" s="430">
        <f t="shared" si="0"/>
        <v>1862315.5078998681</v>
      </c>
      <c r="G87" s="85">
        <f t="shared" si="1"/>
        <v>0</v>
      </c>
    </row>
    <row r="88" spans="3:7" hidden="1">
      <c r="C88" s="430">
        <f t="shared" si="3"/>
        <v>220.37569377728008</v>
      </c>
      <c r="D88" s="85">
        <v>1579.5717618443696</v>
      </c>
      <c r="E88" s="85" t="b">
        <f t="shared" si="2"/>
        <v>1</v>
      </c>
      <c r="F88" s="430">
        <f t="shared" ref="F88:F119" si="4">IF(E88,(C88-D88)^2,1000000)</f>
        <v>1847413.9514490364</v>
      </c>
      <c r="G88" s="85">
        <f t="shared" si="1"/>
        <v>0</v>
      </c>
    </row>
    <row r="89" spans="3:7" hidden="1">
      <c r="C89" s="430">
        <f t="shared" si="3"/>
        <v>225.88508612171205</v>
      </c>
      <c r="D89" s="85">
        <v>1579.4742423298558</v>
      </c>
      <c r="E89" s="85" t="b">
        <f t="shared" si="2"/>
        <v>1</v>
      </c>
      <c r="F89" s="430">
        <f t="shared" si="4"/>
        <v>1832203.6038042747</v>
      </c>
      <c r="G89" s="85">
        <f t="shared" si="1"/>
        <v>0</v>
      </c>
    </row>
    <row r="90" spans="3:7" hidden="1">
      <c r="C90" s="430">
        <f t="shared" si="3"/>
        <v>231.53221327475484</v>
      </c>
      <c r="D90" s="85">
        <v>1579.3749130929916</v>
      </c>
      <c r="E90" s="85" t="b">
        <f t="shared" si="2"/>
        <v>1</v>
      </c>
      <c r="F90" s="430">
        <f t="shared" si="4"/>
        <v>1816679.9434533133</v>
      </c>
      <c r="G90" s="85">
        <f t="shared" si="1"/>
        <v>0</v>
      </c>
    </row>
    <row r="91" spans="3:7" hidden="1">
      <c r="C91" s="430">
        <f t="shared" si="3"/>
        <v>237.32051860662369</v>
      </c>
      <c r="D91" s="85">
        <v>1579.2737576315826</v>
      </c>
      <c r="E91" s="85" t="b">
        <f t="shared" si="2"/>
        <v>1</v>
      </c>
      <c r="F91" s="430">
        <f t="shared" si="4"/>
        <v>1800838.4957295787</v>
      </c>
      <c r="G91" s="85">
        <f t="shared" si="1"/>
        <v>0</v>
      </c>
    </row>
    <row r="92" spans="3:7" hidden="1">
      <c r="C92" s="430">
        <f t="shared" si="3"/>
        <v>243.25353157178927</v>
      </c>
      <c r="D92" s="85">
        <v>1579.1707602727713</v>
      </c>
      <c r="E92" s="85" t="b">
        <f t="shared" si="2"/>
        <v>1</v>
      </c>
      <c r="F92" s="430">
        <f t="shared" si="4"/>
        <v>1784674.8419401117</v>
      </c>
      <c r="G92" s="85">
        <f t="shared" si="1"/>
        <v>0</v>
      </c>
    </row>
    <row r="93" spans="3:7" hidden="1">
      <c r="C93" s="430">
        <f t="shared" si="3"/>
        <v>249.33486986108397</v>
      </c>
      <c r="D93" s="85">
        <v>1579.0659062423779</v>
      </c>
      <c r="E93" s="85" t="b">
        <f t="shared" si="2"/>
        <v>1</v>
      </c>
      <c r="F93" s="430">
        <f t="shared" si="4"/>
        <v>1768184.6291156702</v>
      </c>
      <c r="G93" s="85">
        <f t="shared" si="1"/>
        <v>0</v>
      </c>
    </row>
    <row r="94" spans="3:7" hidden="1">
      <c r="C94" s="430">
        <f t="shared" si="3"/>
        <v>255.56824160761104</v>
      </c>
      <c r="D94" s="85">
        <v>1578.9591817375301</v>
      </c>
      <c r="E94" s="85" t="b">
        <f t="shared" si="2"/>
        <v>1</v>
      </c>
      <c r="F94" s="430">
        <f t="shared" si="4"/>
        <v>1751363.5804179509</v>
      </c>
      <c r="G94" s="85">
        <f>IF(F94=MIN($F$56:$F$236),C94,0)</f>
        <v>0</v>
      </c>
    </row>
    <row r="95" spans="3:7" hidden="1">
      <c r="C95" s="430">
        <f t="shared" si="3"/>
        <v>261.9574476478013</v>
      </c>
      <c r="D95" s="85">
        <v>1578.8505740026965</v>
      </c>
      <c r="E95" s="85" t="b">
        <f t="shared" si="2"/>
        <v>1</v>
      </c>
      <c r="F95" s="430">
        <f t="shared" si="4"/>
        <v>1734207.50624077</v>
      </c>
      <c r="G95" s="85">
        <f t="shared" ref="G95:G158" si="5">IF(F95=MIN($F$56:$F$236),C95,0)</f>
        <v>0</v>
      </c>
    </row>
    <row r="96" spans="3:7" hidden="1">
      <c r="C96" s="430">
        <f t="shared" si="3"/>
        <v>268.50638383899633</v>
      </c>
      <c r="D96" s="85">
        <v>1578.7400714092237</v>
      </c>
      <c r="E96" s="85" t="b">
        <f t="shared" si="2"/>
        <v>1</v>
      </c>
      <c r="F96" s="430">
        <f t="shared" si="4"/>
        <v>1716712.3160438763</v>
      </c>
      <c r="G96" s="85">
        <f t="shared" si="5"/>
        <v>0</v>
      </c>
    </row>
    <row r="97" spans="3:7" hidden="1">
      <c r="C97" s="430">
        <f t="shared" si="3"/>
        <v>275.21904343497124</v>
      </c>
      <c r="D97" s="85">
        <v>1578.6276635385022</v>
      </c>
      <c r="E97" s="85" t="b">
        <f t="shared" si="2"/>
        <v>1</v>
      </c>
      <c r="F97" s="430">
        <f t="shared" si="4"/>
        <v>1698874.030960191</v>
      </c>
      <c r="G97" s="85">
        <f t="shared" si="5"/>
        <v>0</v>
      </c>
    </row>
    <row r="98" spans="3:7" hidden="1">
      <c r="C98" s="430">
        <f t="shared" si="3"/>
        <v>282.09951952084549</v>
      </c>
      <c r="D98" s="85">
        <v>1578.5133412688658</v>
      </c>
      <c r="E98" s="85" t="b">
        <f t="shared" si="2"/>
        <v>1</v>
      </c>
      <c r="F98" s="430">
        <f t="shared" si="4"/>
        <v>1680688.7972193079</v>
      </c>
      <c r="G98" s="85">
        <f t="shared" si="5"/>
        <v>0</v>
      </c>
    </row>
    <row r="99" spans="3:7" hidden="1">
      <c r="C99" s="430">
        <f t="shared" si="3"/>
        <v>289.15200750886657</v>
      </c>
      <c r="D99" s="85">
        <v>1578.3970968663341</v>
      </c>
      <c r="E99" s="85" t="b">
        <f t="shared" si="2"/>
        <v>1</v>
      </c>
      <c r="F99" s="430">
        <f t="shared" si="4"/>
        <v>1662152.9004323445</v>
      </c>
      <c r="G99" s="85">
        <f t="shared" si="5"/>
        <v>0</v>
      </c>
    </row>
    <row r="100" spans="3:7" hidden="1">
      <c r="C100" s="430">
        <f t="shared" si="3"/>
        <v>296.38080769658819</v>
      </c>
      <c r="D100" s="85">
        <v>1578.2789240793275</v>
      </c>
      <c r="E100" s="85" t="b">
        <f t="shared" si="2"/>
        <v>1</v>
      </c>
      <c r="F100" s="430">
        <f t="shared" si="4"/>
        <v>1643262.7807856151</v>
      </c>
      <c r="G100" s="85">
        <f t="shared" si="5"/>
        <v>0</v>
      </c>
    </row>
    <row r="101" spans="3:7" hidden="1">
      <c r="C101" s="430">
        <f t="shared" si="3"/>
        <v>303.79032788900287</v>
      </c>
      <c r="D101" s="85">
        <v>1578.1588182374503</v>
      </c>
      <c r="E101" s="85" t="b">
        <f t="shared" si="2"/>
        <v>1</v>
      </c>
      <c r="F101" s="430">
        <f t="shared" si="4"/>
        <v>1624015.0491929811</v>
      </c>
      <c r="G101" s="85">
        <f t="shared" si="5"/>
        <v>0</v>
      </c>
    </row>
    <row r="102" spans="3:7" hidden="1">
      <c r="C102" s="430">
        <f t="shared" si="3"/>
        <v>311.38508608622789</v>
      </c>
      <c r="D102" s="85">
        <v>1578.0367763544821</v>
      </c>
      <c r="E102" s="85" t="b">
        <f t="shared" si="2"/>
        <v>1</v>
      </c>
      <c r="F102" s="430">
        <f t="shared" si="4"/>
        <v>1604406.5044594256</v>
      </c>
      <c r="G102" s="85">
        <f t="shared" si="5"/>
        <v>0</v>
      </c>
    </row>
    <row r="103" spans="3:7" hidden="1">
      <c r="C103" s="430">
        <f t="shared" si="3"/>
        <v>319.16971323838357</v>
      </c>
      <c r="D103" s="85">
        <v>1577.9127972356687</v>
      </c>
      <c r="E103" s="85" t="b">
        <f t="shared" si="2"/>
        <v>1</v>
      </c>
      <c r="F103" s="430">
        <f t="shared" si="4"/>
        <v>1584434.1515109963</v>
      </c>
      <c r="G103" s="85">
        <f t="shared" si="5"/>
        <v>0</v>
      </c>
    </row>
    <row r="104" spans="3:7" hidden="1">
      <c r="C104" s="430">
        <f t="shared" si="3"/>
        <v>327.14895606934311</v>
      </c>
      <c r="D104" s="85">
        <v>1577.7868815894492</v>
      </c>
      <c r="E104" s="85" t="b">
        <f t="shared" si="2"/>
        <v>1</v>
      </c>
      <c r="F104" s="430">
        <f t="shared" si="4"/>
        <v>1564095.2207492345</v>
      </c>
      <c r="G104" s="85">
        <f t="shared" si="5"/>
        <v>0</v>
      </c>
    </row>
    <row r="105" spans="3:7" hidden="1">
      <c r="C105" s="430">
        <f t="shared" si="3"/>
        <v>335.32767997107669</v>
      </c>
      <c r="D105" s="85">
        <v>1577.6590321437266</v>
      </c>
      <c r="E105" s="85" t="b">
        <f t="shared" si="2"/>
        <v>1</v>
      </c>
      <c r="F105" s="430">
        <f t="shared" si="4"/>
        <v>1543387.188591125</v>
      </c>
      <c r="G105" s="85">
        <f t="shared" si="5"/>
        <v>0</v>
      </c>
    </row>
    <row r="106" spans="3:7" hidden="1">
      <c r="C106" s="430">
        <f t="shared" si="3"/>
        <v>343.71087197035359</v>
      </c>
      <c r="D106" s="85">
        <v>1577.5292537667997</v>
      </c>
      <c r="E106" s="85" t="b">
        <f t="shared" si="2"/>
        <v>1</v>
      </c>
      <c r="F106" s="430">
        <f t="shared" si="4"/>
        <v>1522307.7992588009</v>
      </c>
      <c r="G106" s="85">
        <f t="shared" si="5"/>
        <v>0</v>
      </c>
    </row>
    <row r="107" spans="3:7" hidden="1">
      <c r="C107" s="430">
        <f t="shared" si="3"/>
        <v>352.30364376961239</v>
      </c>
      <c r="D107" s="85">
        <v>1577.3975535930754</v>
      </c>
      <c r="E107" s="85" t="b">
        <f t="shared" si="2"/>
        <v>1</v>
      </c>
      <c r="F107" s="430">
        <f t="shared" si="4"/>
        <v>1500855.0878865393</v>
      </c>
      <c r="G107" s="85">
        <f t="shared" si="5"/>
        <v>0</v>
      </c>
    </row>
    <row r="108" spans="3:7" hidden="1">
      <c r="C108" s="430">
        <f t="shared" si="3"/>
        <v>361.11123486385264</v>
      </c>
      <c r="D108" s="85">
        <v>1577.2639411536727</v>
      </c>
      <c r="E108" s="85" t="b">
        <f t="shared" si="2"/>
        <v>1</v>
      </c>
      <c r="F108" s="430">
        <f t="shared" si="4"/>
        <v>1479027.4050160535</v>
      </c>
      <c r="G108" s="85">
        <f t="shared" si="5"/>
        <v>0</v>
      </c>
    </row>
    <row r="109" spans="3:7" hidden="1">
      <c r="C109" s="430">
        <f t="shared" si="3"/>
        <v>370.13901573544894</v>
      </c>
      <c r="D109" s="85">
        <v>1577.128428512038</v>
      </c>
      <c r="E109" s="85" t="b">
        <f t="shared" si="2"/>
        <v>1</v>
      </c>
      <c r="F109" s="430">
        <f t="shared" si="4"/>
        <v>1456823.4425547752</v>
      </c>
      <c r="G109" s="85">
        <f t="shared" si="5"/>
        <v>0</v>
      </c>
    </row>
    <row r="110" spans="3:7" hidden="1">
      <c r="C110" s="430">
        <f t="shared" si="3"/>
        <v>379.3924911288351</v>
      </c>
      <c r="D110" s="85">
        <v>1576.9910304046805</v>
      </c>
      <c r="E110" s="85" t="b">
        <f t="shared" si="2"/>
        <v>1</v>
      </c>
      <c r="F110" s="430">
        <f t="shared" si="4"/>
        <v>1434242.2612756384</v>
      </c>
      <c r="G110" s="85">
        <f t="shared" si="5"/>
        <v>0</v>
      </c>
    </row>
    <row r="111" spans="3:7" hidden="1">
      <c r="C111" s="430">
        <f t="shared" si="3"/>
        <v>388.87730340705593</v>
      </c>
      <c r="D111" s="85">
        <v>1576.8517643871442</v>
      </c>
      <c r="E111" s="85" t="b">
        <f t="shared" si="2"/>
        <v>1</v>
      </c>
      <c r="F111" s="430">
        <f t="shared" si="4"/>
        <v>1411283.3199409312</v>
      </c>
      <c r="G111" s="85">
        <f t="shared" si="5"/>
        <v>0</v>
      </c>
    </row>
    <row r="112" spans="3:7" hidden="1">
      <c r="C112" s="430">
        <f t="shared" si="3"/>
        <v>398.59923599223231</v>
      </c>
      <c r="D112" s="85">
        <v>1559.7483155160694</v>
      </c>
      <c r="E112" s="85" t="b">
        <f t="shared" si="2"/>
        <v>1</v>
      </c>
      <c r="F112" s="430">
        <f t="shared" si="4"/>
        <v>1348267.1848790543</v>
      </c>
      <c r="G112" s="85">
        <f t="shared" si="5"/>
        <v>0</v>
      </c>
    </row>
    <row r="113" spans="3:7" hidden="1">
      <c r="C113" s="430">
        <f t="shared" si="3"/>
        <v>408.56421689203808</v>
      </c>
      <c r="D113" s="85">
        <v>1542.5940045502321</v>
      </c>
      <c r="E113" s="85" t="b">
        <f t="shared" si="2"/>
        <v>1</v>
      </c>
      <c r="F113" s="430">
        <f t="shared" si="4"/>
        <v>1286023.5592960885</v>
      </c>
      <c r="G113" s="85">
        <f t="shared" si="5"/>
        <v>0</v>
      </c>
    </row>
    <row r="114" spans="3:7" hidden="1">
      <c r="C114" s="430">
        <f t="shared" si="3"/>
        <v>418.77832231433899</v>
      </c>
      <c r="D114" s="85">
        <v>1531.1040440068534</v>
      </c>
      <c r="E114" s="85" t="b">
        <f t="shared" si="2"/>
        <v>1</v>
      </c>
      <c r="F114" s="430">
        <f t="shared" si="4"/>
        <v>1237268.5111387731</v>
      </c>
      <c r="G114" s="85">
        <f t="shared" si="5"/>
        <v>0</v>
      </c>
    </row>
    <row r="115" spans="3:7" hidden="1">
      <c r="C115" s="430">
        <f t="shared" si="3"/>
        <v>429.24778037219744</v>
      </c>
      <c r="D115" s="85">
        <v>1521.6867078870314</v>
      </c>
      <c r="E115" s="85" t="b">
        <f t="shared" si="2"/>
        <v>1</v>
      </c>
      <c r="F115" s="430">
        <f t="shared" si="4"/>
        <v>1193422.8103497606</v>
      </c>
      <c r="G115" s="85">
        <f t="shared" si="5"/>
        <v>0</v>
      </c>
    </row>
    <row r="116" spans="3:7" hidden="1">
      <c r="C116" s="430">
        <f t="shared" si="3"/>
        <v>439.97897488150232</v>
      </c>
      <c r="D116" s="85">
        <v>1513.4226941131515</v>
      </c>
      <c r="E116" s="85" t="b">
        <f t="shared" si="2"/>
        <v>1</v>
      </c>
      <c r="F116" s="430">
        <f t="shared" si="4"/>
        <v>1152281.4183578754</v>
      </c>
      <c r="G116" s="85">
        <f t="shared" si="5"/>
        <v>0</v>
      </c>
    </row>
    <row r="117" spans="3:7" hidden="1">
      <c r="C117" s="430">
        <f t="shared" si="3"/>
        <v>450.97844925353985</v>
      </c>
      <c r="D117" s="85">
        <v>1505.9090526110081</v>
      </c>
      <c r="E117" s="85" t="b">
        <f t="shared" si="2"/>
        <v>1</v>
      </c>
      <c r="F117" s="430">
        <f t="shared" si="4"/>
        <v>1112878.577900152</v>
      </c>
      <c r="G117" s="85">
        <f t="shared" si="5"/>
        <v>0</v>
      </c>
    </row>
    <row r="118" spans="3:7" hidden="1">
      <c r="C118" s="430">
        <f t="shared" si="3"/>
        <v>462.25291048487833</v>
      </c>
      <c r="D118" s="85">
        <v>1498.9267564132767</v>
      </c>
      <c r="E118" s="85" t="b">
        <f t="shared" si="2"/>
        <v>1</v>
      </c>
      <c r="F118" s="430">
        <f t="shared" si="4"/>
        <v>1074692.6628319765</v>
      </c>
      <c r="G118" s="85">
        <f t="shared" si="5"/>
        <v>0</v>
      </c>
    </row>
    <row r="119" spans="3:7" hidden="1">
      <c r="C119" s="430">
        <f t="shared" si="3"/>
        <v>473.80923324700024</v>
      </c>
      <c r="D119" s="85">
        <v>1492.3411867870509</v>
      </c>
      <c r="E119" s="85" t="b">
        <f t="shared" si="2"/>
        <v>1</v>
      </c>
      <c r="F119" s="430">
        <f t="shared" si="4"/>
        <v>1037407.3403821118</v>
      </c>
      <c r="G119" s="85">
        <f t="shared" si="5"/>
        <v>0</v>
      </c>
    </row>
    <row r="120" spans="3:7" hidden="1">
      <c r="C120" s="430">
        <f t="shared" si="3"/>
        <v>485.65446407817518</v>
      </c>
      <c r="D120" s="85">
        <v>1486.0626430923135</v>
      </c>
      <c r="E120" s="85" t="b">
        <f t="shared" si="2"/>
        <v>1</v>
      </c>
      <c r="F120" s="430">
        <f t="shared" ref="F120:F151" si="6">IF(E120,(C120-D120)^2,1000000)</f>
        <v>1000816.5246383842</v>
      </c>
      <c r="G120" s="85">
        <f t="shared" si="5"/>
        <v>0</v>
      </c>
    </row>
    <row r="121" spans="3:7" hidden="1">
      <c r="C121" s="430">
        <f t="shared" si="3"/>
        <v>497.7958256801295</v>
      </c>
      <c r="D121" s="85">
        <v>1480.027809997202</v>
      </c>
      <c r="E121" s="85" t="b">
        <f t="shared" ref="E121:E184" si="7">ISNUMBER(D121)</f>
        <v>1</v>
      </c>
      <c r="F121" s="430">
        <f t="shared" si="6"/>
        <v>964779.67101545376</v>
      </c>
      <c r="G121" s="85">
        <f t="shared" si="5"/>
        <v>0</v>
      </c>
    </row>
    <row r="122" spans="3:7" hidden="1">
      <c r="C122" s="430">
        <f t="shared" ref="C122:C185" si="8">1.025*C121</f>
        <v>510.24072132213269</v>
      </c>
      <c r="D122" s="85">
        <v>1474.1900137140317</v>
      </c>
      <c r="E122" s="85" t="b">
        <f t="shared" si="7"/>
        <v>1</v>
      </c>
      <c r="F122" s="430">
        <f t="shared" si="6"/>
        <v>929198.23830284283</v>
      </c>
      <c r="G122" s="85">
        <f t="shared" si="5"/>
        <v>0</v>
      </c>
    </row>
    <row r="123" spans="3:7" hidden="1">
      <c r="C123" s="430">
        <f t="shared" si="8"/>
        <v>522.99673935518592</v>
      </c>
      <c r="D123" s="85">
        <v>1468.5136570863792</v>
      </c>
      <c r="E123" s="85" t="b">
        <f t="shared" si="7"/>
        <v>1</v>
      </c>
      <c r="F123" s="430">
        <f t="shared" si="6"/>
        <v>894002.24171589618</v>
      </c>
      <c r="G123" s="85">
        <f t="shared" si="5"/>
        <v>0</v>
      </c>
    </row>
    <row r="124" spans="3:7" hidden="1">
      <c r="C124" s="430">
        <f t="shared" si="8"/>
        <v>536.07165783906555</v>
      </c>
      <c r="D124" s="85">
        <v>1462.9708336688518</v>
      </c>
      <c r="E124" s="85" t="b">
        <f t="shared" si="7"/>
        <v>1</v>
      </c>
      <c r="F124" s="430">
        <f t="shared" si="6"/>
        <v>859142.08215393708</v>
      </c>
      <c r="G124" s="85">
        <f t="shared" si="5"/>
        <v>0</v>
      </c>
    </row>
    <row r="125" spans="3:7" hidden="1">
      <c r="C125" s="430">
        <f t="shared" si="8"/>
        <v>549.47344928504219</v>
      </c>
      <c r="D125" s="85">
        <v>1457.5391617376424</v>
      </c>
      <c r="E125" s="85" t="b">
        <f t="shared" si="7"/>
        <v>1</v>
      </c>
      <c r="F125" s="430">
        <f t="shared" si="6"/>
        <v>824583.33813204837</v>
      </c>
      <c r="G125" s="85">
        <f t="shared" si="5"/>
        <v>0</v>
      </c>
    </row>
    <row r="126" spans="3:7" hidden="1">
      <c r="C126" s="430">
        <f t="shared" si="8"/>
        <v>563.21028551716824</v>
      </c>
      <c r="D126" s="85">
        <v>1452.2003410946145</v>
      </c>
      <c r="E126" s="85" t="b">
        <f t="shared" si="7"/>
        <v>1</v>
      </c>
      <c r="F126" s="430">
        <f t="shared" si="6"/>
        <v>790303.31891559099</v>
      </c>
      <c r="G126" s="85">
        <f t="shared" si="5"/>
        <v>0</v>
      </c>
    </row>
    <row r="127" spans="3:7" hidden="1">
      <c r="C127" s="430">
        <f t="shared" si="8"/>
        <v>577.2905426550974</v>
      </c>
      <c r="D127" s="85">
        <v>1446.9391584014604</v>
      </c>
      <c r="E127" s="85" t="b">
        <f t="shared" si="7"/>
        <v>1</v>
      </c>
      <c r="F127" s="430">
        <f t="shared" si="6"/>
        <v>756288.71486956533</v>
      </c>
      <c r="G127" s="85">
        <f t="shared" si="5"/>
        <v>0</v>
      </c>
    </row>
    <row r="128" spans="3:7" hidden="1">
      <c r="C128" s="430">
        <f t="shared" si="8"/>
        <v>591.7228062214748</v>
      </c>
      <c r="D128" s="85">
        <v>1441.7427817945368</v>
      </c>
      <c r="E128" s="85" t="b">
        <f t="shared" si="7"/>
        <v>1</v>
      </c>
      <c r="F128" s="430">
        <f t="shared" si="6"/>
        <v>722533.95887322887</v>
      </c>
      <c r="G128" s="85">
        <f t="shared" si="5"/>
        <v>0</v>
      </c>
    </row>
    <row r="129" spans="3:7" hidden="1">
      <c r="C129" s="430">
        <f t="shared" si="8"/>
        <v>606.51587637701164</v>
      </c>
      <c r="D129" s="85">
        <v>1436.6002482673405</v>
      </c>
      <c r="E129" s="85" t="b">
        <f t="shared" si="7"/>
        <v>1</v>
      </c>
      <c r="F129" s="430">
        <f t="shared" si="6"/>
        <v>689040.0644565617</v>
      </c>
      <c r="G129" s="85">
        <f t="shared" si="5"/>
        <v>0</v>
      </c>
    </row>
    <row r="130" spans="3:7" hidden="1">
      <c r="C130" s="430">
        <f t="shared" si="8"/>
        <v>621.67877328643692</v>
      </c>
      <c r="D130" s="85">
        <v>1431.5020831598545</v>
      </c>
      <c r="E130" s="85" t="b">
        <f t="shared" si="7"/>
        <v>1</v>
      </c>
      <c r="F130" s="430">
        <f t="shared" si="6"/>
        <v>655813.7932143372</v>
      </c>
      <c r="G130" s="85">
        <f t="shared" si="5"/>
        <v>0</v>
      </c>
    </row>
    <row r="131" spans="3:7" hidden="1">
      <c r="C131" s="430">
        <f t="shared" si="8"/>
        <v>637.2207426185978</v>
      </c>
      <c r="D131" s="85">
        <v>1426.4400124130029</v>
      </c>
      <c r="E131" s="85" t="b">
        <f t="shared" si="7"/>
        <v>1</v>
      </c>
      <c r="F131" s="430">
        <f t="shared" si="6"/>
        <v>622867.05581481406</v>
      </c>
      <c r="G131" s="85">
        <f t="shared" si="5"/>
        <v>0</v>
      </c>
    </row>
    <row r="132" spans="3:7" hidden="1">
      <c r="C132" s="430">
        <f t="shared" si="8"/>
        <v>653.15126118406272</v>
      </c>
      <c r="D132" s="85">
        <v>1421.4067413662847</v>
      </c>
      <c r="E132" s="85" t="b">
        <f t="shared" si="7"/>
        <v>1</v>
      </c>
      <c r="F132" s="430">
        <f t="shared" si="6"/>
        <v>590216.48283001641</v>
      </c>
      <c r="G132" s="85">
        <f t="shared" si="5"/>
        <v>0</v>
      </c>
    </row>
    <row r="133" spans="3:7" hidden="1">
      <c r="C133" s="430">
        <f t="shared" si="8"/>
        <v>669.48004271366426</v>
      </c>
      <c r="D133" s="85">
        <v>1416.3957821961715</v>
      </c>
      <c r="E133" s="85" t="b">
        <f t="shared" si="7"/>
        <v>1</v>
      </c>
      <c r="F133" s="430">
        <f t="shared" si="6"/>
        <v>557883.12188670062</v>
      </c>
      <c r="G133" s="85">
        <f t="shared" si="5"/>
        <v>0</v>
      </c>
    </row>
    <row r="134" spans="3:7" hidden="1">
      <c r="C134" s="430">
        <f t="shared" si="8"/>
        <v>686.21704378150582</v>
      </c>
      <c r="D134" s="85">
        <v>1411.4013175097375</v>
      </c>
      <c r="E134" s="85" t="b">
        <f t="shared" si="7"/>
        <v>1</v>
      </c>
      <c r="F134" s="430">
        <f t="shared" si="6"/>
        <v>525892.23086274287</v>
      </c>
      <c r="G134" s="85">
        <f t="shared" si="5"/>
        <v>0</v>
      </c>
    </row>
    <row r="135" spans="3:7" hidden="1">
      <c r="C135" s="430">
        <f t="shared" si="8"/>
        <v>703.3724698760434</v>
      </c>
      <c r="D135" s="85">
        <v>1406.41809121857</v>
      </c>
      <c r="E135" s="85" t="b">
        <f t="shared" si="7"/>
        <v>1</v>
      </c>
      <c r="F135" s="430">
        <f t="shared" si="6"/>
        <v>494273.14568889927</v>
      </c>
      <c r="G135" s="85">
        <f t="shared" si="5"/>
        <v>0</v>
      </c>
    </row>
    <row r="136" spans="3:7" hidden="1">
      <c r="C136" s="430">
        <f t="shared" si="8"/>
        <v>720.95678162294439</v>
      </c>
      <c r="D136" s="85">
        <v>1401.441320275673</v>
      </c>
      <c r="E136" s="85" t="b">
        <f t="shared" si="7"/>
        <v>1</v>
      </c>
      <c r="F136" s="430">
        <f t="shared" si="6"/>
        <v>463059.20734541689</v>
      </c>
      <c r="G136" s="85">
        <f t="shared" si="5"/>
        <v>0</v>
      </c>
    </row>
    <row r="137" spans="3:7" hidden="1">
      <c r="C137" s="430">
        <f t="shared" si="8"/>
        <v>738.98070116351789</v>
      </c>
      <c r="D137" s="85">
        <v>1396.466622562833</v>
      </c>
      <c r="E137" s="85" t="b">
        <f t="shared" si="7"/>
        <v>1</v>
      </c>
      <c r="F137" s="430">
        <f t="shared" si="6"/>
        <v>432287.73683830636</v>
      </c>
      <c r="G137" s="85">
        <f t="shared" si="5"/>
        <v>0</v>
      </c>
    </row>
    <row r="138" spans="3:7" hidden="1">
      <c r="C138" s="430">
        <f t="shared" si="8"/>
        <v>757.45521869260574</v>
      </c>
      <c r="D138" s="85">
        <v>1391.4899574188173</v>
      </c>
      <c r="E138" s="85" t="b">
        <f t="shared" si="7"/>
        <v>1</v>
      </c>
      <c r="F138" s="430">
        <f t="shared" si="6"/>
        <v>402000.04991161538</v>
      </c>
      <c r="G138" s="85">
        <f t="shared" si="5"/>
        <v>0</v>
      </c>
    </row>
    <row r="139" spans="3:7" hidden="1">
      <c r="C139" s="430">
        <f t="shared" si="8"/>
        <v>776.39159915992082</v>
      </c>
      <c r="D139" s="85">
        <v>1386.5075761607918</v>
      </c>
      <c r="E139" s="85" t="b">
        <f t="shared" si="7"/>
        <v>1</v>
      </c>
      <c r="F139" s="430">
        <f t="shared" si="6"/>
        <v>372241.50539172738</v>
      </c>
      <c r="G139" s="85">
        <f t="shared" si="5"/>
        <v>0</v>
      </c>
    </row>
    <row r="140" spans="3:7" hidden="1">
      <c r="C140" s="430">
        <f t="shared" si="8"/>
        <v>795.80138913891881</v>
      </c>
      <c r="D140" s="85">
        <v>1381.5159805780049</v>
      </c>
      <c r="E140" s="85" t="b">
        <f t="shared" si="7"/>
        <v>1</v>
      </c>
      <c r="F140" s="430">
        <f t="shared" si="6"/>
        <v>343061.58262465557</v>
      </c>
      <c r="G140" s="85">
        <f t="shared" si="5"/>
        <v>0</v>
      </c>
    </row>
    <row r="141" spans="3:7" hidden="1">
      <c r="C141" s="430">
        <f t="shared" si="8"/>
        <v>815.69642386739167</v>
      </c>
      <c r="D141" s="85">
        <v>1376.5118878381215</v>
      </c>
      <c r="E141" s="85" t="b">
        <f t="shared" si="7"/>
        <v>1</v>
      </c>
      <c r="F141" s="430">
        <f t="shared" si="6"/>
        <v>314513.98462870502</v>
      </c>
      <c r="G141" s="85">
        <f t="shared" si="5"/>
        <v>0</v>
      </c>
    </row>
    <row r="142" spans="3:7" hidden="1">
      <c r="C142" s="430">
        <f t="shared" si="8"/>
        <v>836.0888344640764</v>
      </c>
      <c r="D142" s="85">
        <v>1371.4922005905385</v>
      </c>
      <c r="E142" s="85" t="b">
        <f t="shared" si="7"/>
        <v>1</v>
      </c>
      <c r="F142" s="430">
        <f t="shared" si="6"/>
        <v>286656.76445954636</v>
      </c>
      <c r="G142" s="85">
        <f t="shared" si="5"/>
        <v>0</v>
      </c>
    </row>
    <row r="143" spans="3:7" hidden="1">
      <c r="C143" s="430">
        <f t="shared" si="8"/>
        <v>856.99105532567819</v>
      </c>
      <c r="D143" s="85">
        <v>1366.4539813100914</v>
      </c>
      <c r="E143" s="85" t="b">
        <f t="shared" si="7"/>
        <v>1</v>
      </c>
      <c r="F143" s="430">
        <f t="shared" si="6"/>
        <v>259552.47295259972</v>
      </c>
      <c r="G143" s="85">
        <f t="shared" si="5"/>
        <v>0</v>
      </c>
    </row>
    <row r="144" spans="3:7" hidden="1">
      <c r="C144" s="430">
        <f t="shared" si="8"/>
        <v>878.41583170882006</v>
      </c>
      <c r="D144" s="85">
        <v>1361.3944301217518</v>
      </c>
      <c r="E144" s="85" t="b">
        <f t="shared" si="7"/>
        <v>1</v>
      </c>
      <c r="F144" s="430">
        <f t="shared" si="6"/>
        <v>233268.32652492003</v>
      </c>
      <c r="G144" s="85">
        <f t="shared" si="5"/>
        <v>0</v>
      </c>
    </row>
    <row r="145" spans="3:7" hidden="1">
      <c r="C145" s="430">
        <f t="shared" si="8"/>
        <v>900.37622750154048</v>
      </c>
      <c r="D145" s="85">
        <v>1356.3108654986222</v>
      </c>
      <c r="E145" s="85" t="b">
        <f t="shared" si="7"/>
        <v>1</v>
      </c>
      <c r="F145" s="430">
        <f t="shared" si="6"/>
        <v>207876.39412552994</v>
      </c>
      <c r="G145" s="85">
        <f t="shared" si="5"/>
        <v>0</v>
      </c>
    </row>
    <row r="146" spans="3:7" hidden="1">
      <c r="C146" s="430">
        <f t="shared" si="8"/>
        <v>922.88563318907893</v>
      </c>
      <c r="D146" s="85">
        <v>1351.2007073428617</v>
      </c>
      <c r="E146" s="85" t="b">
        <f t="shared" si="7"/>
        <v>1</v>
      </c>
      <c r="F146" s="430">
        <f t="shared" si="6"/>
        <v>183453.80274736046</v>
      </c>
      <c r="G146" s="85">
        <f t="shared" si="5"/>
        <v>0</v>
      </c>
    </row>
    <row r="147" spans="3:7" hidden="1">
      <c r="C147" s="430">
        <f t="shared" si="8"/>
        <v>945.95777401880582</v>
      </c>
      <c r="D147" s="85">
        <v>1346.0614620511803</v>
      </c>
      <c r="E147" s="85" t="b">
        <f t="shared" si="7"/>
        <v>1</v>
      </c>
      <c r="F147" s="430">
        <f t="shared" si="6"/>
        <v>160082.96117710767</v>
      </c>
      <c r="G147" s="85">
        <f t="shared" si="5"/>
        <v>0</v>
      </c>
    </row>
    <row r="148" spans="3:7" hidden="1">
      <c r="C148" s="430">
        <f t="shared" si="8"/>
        <v>969.60671836927588</v>
      </c>
      <c r="D148" s="85">
        <v>1340.8907092387735</v>
      </c>
      <c r="E148" s="85" t="b">
        <f t="shared" si="7"/>
        <v>1</v>
      </c>
      <c r="F148" s="430">
        <f t="shared" si="6"/>
        <v>137851.80187598121</v>
      </c>
      <c r="G148" s="85">
        <f t="shared" si="5"/>
        <v>0</v>
      </c>
    </row>
    <row r="149" spans="3:7" hidden="1">
      <c r="C149" s="430">
        <f t="shared" si="8"/>
        <v>993.84688632850771</v>
      </c>
      <c r="D149" s="85">
        <v>1335.6860898529687</v>
      </c>
      <c r="E149" s="85" t="b">
        <f t="shared" si="7"/>
        <v>1</v>
      </c>
      <c r="F149" s="430">
        <f t="shared" si="6"/>
        <v>116854.04106623789</v>
      </c>
      <c r="G149" s="85">
        <f t="shared" si="5"/>
        <v>0</v>
      </c>
    </row>
    <row r="150" spans="3:7" hidden="1">
      <c r="C150" s="430">
        <f t="shared" si="8"/>
        <v>1018.6930584867204</v>
      </c>
      <c r="D150" s="85">
        <v>1330.4452954537087</v>
      </c>
      <c r="E150" s="85" t="b">
        <f t="shared" si="7"/>
        <v>1</v>
      </c>
      <c r="F150" s="430">
        <f t="shared" si="6"/>
        <v>97189.457253921253</v>
      </c>
      <c r="G150" s="85">
        <f t="shared" si="5"/>
        <v>0</v>
      </c>
    </row>
    <row r="151" spans="3:7" hidden="1">
      <c r="C151" s="430">
        <f t="shared" si="8"/>
        <v>1044.1603849488883</v>
      </c>
      <c r="D151" s="85">
        <v>1325.1660584747142</v>
      </c>
      <c r="E151" s="85" t="b">
        <f t="shared" si="7"/>
        <v>1</v>
      </c>
      <c r="F151" s="430">
        <f t="shared" si="6"/>
        <v>78964.188553703018</v>
      </c>
      <c r="G151" s="85">
        <f t="shared" si="5"/>
        <v>0</v>
      </c>
    </row>
    <row r="152" spans="3:7" hidden="1">
      <c r="C152" s="430">
        <f t="shared" si="8"/>
        <v>1070.2643945726104</v>
      </c>
      <c r="D152" s="85">
        <v>1319.8461433089776</v>
      </c>
      <c r="E152" s="85" t="b">
        <f t="shared" si="7"/>
        <v>1</v>
      </c>
      <c r="F152" s="430">
        <f t="shared" ref="F152:F183" si="9">IF(E152,(C152-D152)^2,1000000)</f>
        <v>62291.049302303138</v>
      </c>
      <c r="G152" s="85">
        <f t="shared" si="5"/>
        <v>0</v>
      </c>
    </row>
    <row r="153" spans="3:7" hidden="1">
      <c r="C153" s="430">
        <f t="shared" si="8"/>
        <v>1097.0210044369255</v>
      </c>
      <c r="D153" s="85">
        <v>1314.4833380863795</v>
      </c>
      <c r="E153" s="85" t="b">
        <f t="shared" si="7"/>
        <v>1</v>
      </c>
      <c r="F153" s="430">
        <f t="shared" si="9"/>
        <v>47289.866556266439</v>
      </c>
      <c r="G153" s="85">
        <f t="shared" si="5"/>
        <v>0</v>
      </c>
    </row>
    <row r="154" spans="3:7" hidden="1">
      <c r="C154" s="430">
        <f t="shared" si="8"/>
        <v>1124.4465295478485</v>
      </c>
      <c r="D154" s="85">
        <v>1309.0754470309028</v>
      </c>
      <c r="E154" s="85" t="b">
        <f t="shared" si="7"/>
        <v>1</v>
      </c>
      <c r="F154" s="430">
        <f t="shared" si="9"/>
        <v>34087.837170964449</v>
      </c>
      <c r="G154" s="85">
        <f t="shared" si="5"/>
        <v>0</v>
      </c>
    </row>
    <row r="155" spans="3:7" hidden="1">
      <c r="C155" s="430">
        <f t="shared" si="8"/>
        <v>1152.5576927865445</v>
      </c>
      <c r="D155" s="85">
        <v>1303.6202833011243</v>
      </c>
      <c r="E155" s="85" t="b">
        <f t="shared" si="7"/>
        <v>1</v>
      </c>
      <c r="F155" s="430">
        <f t="shared" si="9"/>
        <v>22819.906252975623</v>
      </c>
      <c r="G155" s="85">
        <f t="shared" si="5"/>
        <v>0</v>
      </c>
    </row>
    <row r="156" spans="3:7" hidden="1">
      <c r="C156" s="430">
        <f t="shared" si="8"/>
        <v>1181.371635106208</v>
      </c>
      <c r="D156" s="85">
        <v>1298.1156622309447</v>
      </c>
      <c r="E156" s="85" t="b">
        <f t="shared" si="7"/>
        <v>1</v>
      </c>
      <c r="F156" s="430">
        <f t="shared" si="9"/>
        <v>13629.16786930126</v>
      </c>
      <c r="G156" s="85">
        <f t="shared" si="5"/>
        <v>0</v>
      </c>
    </row>
    <row r="157" spans="3:7" hidden="1">
      <c r="C157" s="430">
        <f t="shared" si="8"/>
        <v>1210.9059259838632</v>
      </c>
      <c r="D157" s="85">
        <v>1292.5593948985777</v>
      </c>
      <c r="E157" s="85" t="b">
        <f t="shared" si="7"/>
        <v>1</v>
      </c>
      <c r="F157" s="430">
        <f t="shared" si="9"/>
        <v>6667.2889858062463</v>
      </c>
      <c r="G157" s="85">
        <f t="shared" si="5"/>
        <v>0</v>
      </c>
    </row>
    <row r="158" spans="3:7" hidden="1">
      <c r="C158" s="430">
        <f t="shared" si="8"/>
        <v>1241.1785741334597</v>
      </c>
      <c r="D158" s="85">
        <v>1286.9492819608304</v>
      </c>
      <c r="E158" s="85" t="b">
        <f t="shared" si="7"/>
        <v>1</v>
      </c>
      <c r="F158" s="430">
        <f t="shared" si="9"/>
        <v>2094.9576950185283</v>
      </c>
      <c r="G158" s="85">
        <f t="shared" si="5"/>
        <v>0</v>
      </c>
    </row>
    <row r="159" spans="3:7" hidden="1">
      <c r="C159" s="430">
        <f t="shared" si="8"/>
        <v>1272.2080384867961</v>
      </c>
      <c r="D159" s="85">
        <v>1282.0132833262735</v>
      </c>
      <c r="E159" s="85" t="b">
        <f t="shared" si="7"/>
        <v>1</v>
      </c>
      <c r="F159" s="430">
        <f t="shared" si="9"/>
        <v>96.142826362097836</v>
      </c>
      <c r="G159" s="85">
        <f t="shared" ref="G159:G222" si="10">IF(F159=MIN($F$56:$F$236),C159,0)</f>
        <v>1272.2080384867961</v>
      </c>
    </row>
    <row r="160" spans="3:7" hidden="1">
      <c r="C160" s="430">
        <f t="shared" si="8"/>
        <v>1304.0132394489658</v>
      </c>
      <c r="D160" s="85">
        <v>1279.8804834944794</v>
      </c>
      <c r="E160" s="85" t="b">
        <f t="shared" si="7"/>
        <v>1</v>
      </c>
      <c r="F160" s="430">
        <f t="shared" si="9"/>
        <v>582.38990995879669</v>
      </c>
      <c r="G160" s="85">
        <f t="shared" si="10"/>
        <v>0</v>
      </c>
    </row>
    <row r="161" spans="3:7" hidden="1">
      <c r="C161" s="430">
        <f t="shared" si="8"/>
        <v>1336.6135704351898</v>
      </c>
      <c r="D161" s="85">
        <v>1277.7292272787492</v>
      </c>
      <c r="E161" s="85" t="b">
        <f t="shared" si="7"/>
        <v>1</v>
      </c>
      <c r="F161" s="430">
        <f t="shared" si="9"/>
        <v>3467.3658689654453</v>
      </c>
      <c r="G161" s="85">
        <f t="shared" si="10"/>
        <v>0</v>
      </c>
    </row>
    <row r="162" spans="3:7" hidden="1">
      <c r="C162" s="430">
        <f t="shared" si="8"/>
        <v>1370.0289096960694</v>
      </c>
      <c r="D162" s="85">
        <v>1275.5590931201491</v>
      </c>
      <c r="E162" s="85" t="b">
        <f t="shared" si="7"/>
        <v>1</v>
      </c>
      <c r="F162" s="430">
        <f t="shared" si="9"/>
        <v>8924.5462438880222</v>
      </c>
      <c r="G162" s="85">
        <f t="shared" si="10"/>
        <v>0</v>
      </c>
    </row>
    <row r="163" spans="3:7" hidden="1">
      <c r="C163" s="430">
        <f t="shared" si="8"/>
        <v>1404.279632438471</v>
      </c>
      <c r="D163" s="85">
        <v>1273.3696644343254</v>
      </c>
      <c r="E163" s="85" t="b">
        <f t="shared" si="7"/>
        <v>1</v>
      </c>
      <c r="F163" s="430">
        <f t="shared" si="9"/>
        <v>17137.419722846436</v>
      </c>
      <c r="G163" s="85">
        <f t="shared" si="10"/>
        <v>0</v>
      </c>
    </row>
    <row r="164" spans="3:7" hidden="1">
      <c r="C164" s="430">
        <f t="shared" si="8"/>
        <v>1439.3866232494327</v>
      </c>
      <c r="D164" s="85">
        <v>1271.1605286119916</v>
      </c>
      <c r="E164" s="85" t="b">
        <f t="shared" si="7"/>
        <v>1</v>
      </c>
      <c r="F164" s="430">
        <f t="shared" si="9"/>
        <v>28300.018916965277</v>
      </c>
      <c r="G164" s="85">
        <f t="shared" si="10"/>
        <v>0</v>
      </c>
    </row>
    <row r="165" spans="3:7" hidden="1">
      <c r="C165" s="430">
        <f t="shared" si="8"/>
        <v>1475.3712888306684</v>
      </c>
      <c r="D165" s="85">
        <v>1268.9312760496948</v>
      </c>
      <c r="E165" s="85" t="b">
        <f t="shared" si="7"/>
        <v>1</v>
      </c>
      <c r="F165" s="430">
        <f t="shared" si="9"/>
        <v>42617.478877008536</v>
      </c>
      <c r="G165" s="85">
        <f t="shared" si="10"/>
        <v>0</v>
      </c>
    </row>
    <row r="166" spans="3:7" hidden="1">
      <c r="C166" s="430">
        <f t="shared" si="8"/>
        <v>1512.255571051435</v>
      </c>
      <c r="D166" s="85">
        <v>1266.6814992040252</v>
      </c>
      <c r="E166" s="85" t="b">
        <f t="shared" si="7"/>
        <v>1</v>
      </c>
      <c r="F166" s="430">
        <f t="shared" si="9"/>
        <v>60306.624763716827</v>
      </c>
      <c r="G166" s="85">
        <f t="shared" si="10"/>
        <v>0</v>
      </c>
    </row>
    <row r="167" spans="3:7" hidden="1">
      <c r="C167" s="430">
        <f t="shared" si="8"/>
        <v>1550.0619603277207</v>
      </c>
      <c r="D167" s="85">
        <v>1264.4107916631413</v>
      </c>
      <c r="E167" s="85" t="b">
        <f t="shared" si="7"/>
        <v>1</v>
      </c>
      <c r="F167" s="430">
        <f t="shared" si="9"/>
        <v>81596.590159440035</v>
      </c>
      <c r="G167" s="85">
        <f t="shared" si="10"/>
        <v>0</v>
      </c>
    </row>
    <row r="168" spans="3:7" hidden="1">
      <c r="C168" s="430">
        <f t="shared" si="8"/>
        <v>1588.8135093359135</v>
      </c>
      <c r="D168" s="85">
        <v>1262.1187472300653</v>
      </c>
      <c r="E168" s="85" t="b">
        <f t="shared" si="7"/>
        <v>1</v>
      </c>
      <c r="F168" s="430">
        <f t="shared" si="9"/>
        <v>106729.46758739676</v>
      </c>
      <c r="G168" s="85">
        <f t="shared" si="10"/>
        <v>0</v>
      </c>
    </row>
    <row r="169" spans="3:7" hidden="1">
      <c r="C169" s="430">
        <f t="shared" si="8"/>
        <v>1628.5338470693112</v>
      </c>
      <c r="D169" s="85">
        <v>1259.8049590127166</v>
      </c>
      <c r="E169" s="85" t="b">
        <f t="shared" si="7"/>
        <v>1</v>
      </c>
      <c r="F169" s="430">
        <f t="shared" si="9"/>
        <v>135960.99288745262</v>
      </c>
      <c r="G169" s="85">
        <f t="shared" si="10"/>
        <v>0</v>
      </c>
    </row>
    <row r="170" spans="3:7" hidden="1">
      <c r="C170" s="430">
        <f t="shared" si="8"/>
        <v>1669.2471932460437</v>
      </c>
      <c r="D170" s="85">
        <v>1257.4690185160864</v>
      </c>
      <c r="E170" s="85" t="b">
        <f t="shared" si="7"/>
        <v>1</v>
      </c>
      <c r="F170" s="430">
        <f t="shared" si="9"/>
        <v>169561.26518393523</v>
      </c>
      <c r="G170" s="85">
        <f t="shared" si="10"/>
        <v>0</v>
      </c>
    </row>
    <row r="171" spans="3:7" hidden="1">
      <c r="C171" s="430">
        <f t="shared" si="8"/>
        <v>1710.9783730771946</v>
      </c>
      <c r="D171" s="85">
        <v>1255.1105147323594</v>
      </c>
      <c r="E171" s="85" t="b">
        <f t="shared" si="7"/>
        <v>1</v>
      </c>
      <c r="F171" s="430">
        <f t="shared" si="9"/>
        <v>207815.50427190674</v>
      </c>
      <c r="G171" s="85">
        <f t="shared" si="10"/>
        <v>0</v>
      </c>
    </row>
    <row r="172" spans="3:7" hidden="1">
      <c r="C172" s="430">
        <f t="shared" si="8"/>
        <v>1753.7528324041243</v>
      </c>
      <c r="D172" s="85">
        <v>1252.7290332251</v>
      </c>
      <c r="E172" s="85" t="b">
        <f t="shared" si="7"/>
        <v>1</v>
      </c>
      <c r="F172" s="430">
        <f t="shared" si="9"/>
        <v>251024.84734378327</v>
      </c>
      <c r="G172" s="85">
        <f t="shared" si="10"/>
        <v>0</v>
      </c>
    </row>
    <row r="173" spans="3:7" hidden="1">
      <c r="C173" s="430">
        <f t="shared" si="8"/>
        <v>1797.5966532142272</v>
      </c>
      <c r="D173" s="85">
        <v>1250.3241552039381</v>
      </c>
      <c r="E173" s="85" t="b">
        <f t="shared" si="7"/>
        <v>1</v>
      </c>
      <c r="F173" s="430">
        <f t="shared" si="9"/>
        <v>299507.18707842194</v>
      </c>
      <c r="G173" s="85">
        <f t="shared" si="10"/>
        <v>0</v>
      </c>
    </row>
    <row r="174" spans="3:7" hidden="1">
      <c r="C174" s="430">
        <f t="shared" si="8"/>
        <v>1842.5365695445828</v>
      </c>
      <c r="D174" s="85">
        <v>1247.8954565864219</v>
      </c>
      <c r="E174" s="85" t="b">
        <f t="shared" si="7"/>
        <v>1</v>
      </c>
      <c r="F174" s="430">
        <f t="shared" si="9"/>
        <v>353598.05322012026</v>
      </c>
      <c r="G174" s="85">
        <f t="shared" si="10"/>
        <v>0</v>
      </c>
    </row>
    <row r="175" spans="3:7" hidden="1">
      <c r="C175" s="430">
        <f t="shared" si="8"/>
        <v>1888.5999837831971</v>
      </c>
      <c r="D175" s="85">
        <v>1245.4425070439422</v>
      </c>
      <c r="E175" s="85" t="b">
        <f t="shared" si="7"/>
        <v>1</v>
      </c>
      <c r="F175" s="430">
        <f t="shared" si="9"/>
        <v>413651.53988560522</v>
      </c>
      <c r="G175" s="85">
        <f t="shared" si="10"/>
        <v>0</v>
      </c>
    </row>
    <row r="176" spans="3:7" hidden="1">
      <c r="C176" s="430">
        <f t="shared" si="8"/>
        <v>1935.8149833777768</v>
      </c>
      <c r="D176" s="85">
        <v>1242.9648690288275</v>
      </c>
      <c r="E176" s="85" t="b">
        <f t="shared" si="7"/>
        <v>1</v>
      </c>
      <c r="F176" s="430">
        <f t="shared" si="9"/>
        <v>480041.28095335216</v>
      </c>
      <c r="G176" s="85">
        <f t="shared" si="10"/>
        <v>0</v>
      </c>
    </row>
    <row r="177" spans="3:7" hidden="1">
      <c r="C177" s="430">
        <f t="shared" si="8"/>
        <v>1984.210357962221</v>
      </c>
      <c r="D177" s="85">
        <v>1240.4620967798762</v>
      </c>
      <c r="E177" s="85" t="b">
        <f t="shared" si="7"/>
        <v>1</v>
      </c>
      <c r="F177" s="430">
        <f t="shared" si="9"/>
        <v>553161.47601176135</v>
      </c>
      <c r="G177" s="85">
        <f t="shared" si="10"/>
        <v>0</v>
      </c>
    </row>
    <row r="178" spans="3:7" hidden="1">
      <c r="C178" s="430">
        <f t="shared" si="8"/>
        <v>2033.8156169112763</v>
      </c>
      <c r="D178" s="85">
        <v>1237.9337353037558</v>
      </c>
      <c r="E178" s="85" t="b">
        <f t="shared" si="7"/>
        <v>1</v>
      </c>
      <c r="F178" s="430">
        <f t="shared" si="9"/>
        <v>633427.96947112714</v>
      </c>
      <c r="G178" s="85">
        <f t="shared" si="10"/>
        <v>0</v>
      </c>
    </row>
    <row r="179" spans="3:7" hidden="1">
      <c r="C179" s="430">
        <f t="shared" si="8"/>
        <v>2084.661007334058</v>
      </c>
      <c r="D179" s="85">
        <v>1235.3793193298111</v>
      </c>
      <c r="E179" s="85" t="b">
        <f t="shared" si="7"/>
        <v>1</v>
      </c>
      <c r="F179" s="430">
        <f t="shared" si="9"/>
        <v>721279.38557934295</v>
      </c>
      <c r="G179" s="85">
        <f t="shared" si="10"/>
        <v>0</v>
      </c>
    </row>
    <row r="180" spans="3:7" hidden="1">
      <c r="C180" s="430">
        <f t="shared" si="8"/>
        <v>2136.7775325174093</v>
      </c>
      <c r="D180" s="85">
        <v>1232.7983722359716</v>
      </c>
      <c r="E180" s="85" t="b">
        <f t="shared" si="7"/>
        <v>1</v>
      </c>
      <c r="F180" s="430">
        <f t="shared" si="9"/>
        <v>817178.32222313341</v>
      </c>
      <c r="G180" s="85">
        <f t="shared" si="10"/>
        <v>0</v>
      </c>
    </row>
    <row r="181" spans="3:7" hidden="1">
      <c r="C181" s="430">
        <f t="shared" si="8"/>
        <v>2190.1969708303445</v>
      </c>
      <c r="D181" s="85">
        <v>1230.19040494354</v>
      </c>
      <c r="E181" s="85" t="b">
        <f t="shared" si="7"/>
        <v>1</v>
      </c>
      <c r="F181" s="430">
        <f t="shared" si="9"/>
        <v>921612.60654577555</v>
      </c>
      <c r="G181" s="85">
        <f t="shared" si="10"/>
        <v>0</v>
      </c>
    </row>
    <row r="182" spans="3:7" hidden="1">
      <c r="C182" s="430">
        <f t="shared" si="8"/>
        <v>2244.9518951011028</v>
      </c>
      <c r="D182" s="85">
        <v>1227.554914778726</v>
      </c>
      <c r="E182" s="85" t="b">
        <f t="shared" si="7"/>
        <v>1</v>
      </c>
      <c r="F182" s="430">
        <f t="shared" si="9"/>
        <v>1035096.6155690907</v>
      </c>
      <c r="G182" s="85">
        <f t="shared" si="10"/>
        <v>0</v>
      </c>
    </row>
    <row r="183" spans="3:7" hidden="1">
      <c r="C183" s="430">
        <f t="shared" si="8"/>
        <v>2301.0756924786301</v>
      </c>
      <c r="D183" s="85">
        <v>1224.8913842988995</v>
      </c>
      <c r="E183" s="85" t="b">
        <f t="shared" si="7"/>
        <v>1</v>
      </c>
      <c r="F183" s="430">
        <f t="shared" si="9"/>
        <v>1158172.6651722854</v>
      </c>
      <c r="G183" s="85">
        <f t="shared" si="10"/>
        <v>0</v>
      </c>
    </row>
    <row r="184" spans="3:7" hidden="1">
      <c r="C184" s="430">
        <f t="shared" si="8"/>
        <v>2358.6025847905958</v>
      </c>
      <c r="D184" s="85">
        <v>1222.1992800816111</v>
      </c>
      <c r="E184" s="85" t="b">
        <f t="shared" si="7"/>
        <v>1</v>
      </c>
      <c r="F184" s="430">
        <f t="shared" ref="F184:F215" si="11">IF(E184,(C184-D184)^2,1000000)</f>
        <v>1291412.4709535015</v>
      </c>
      <c r="G184" s="85">
        <f t="shared" si="10"/>
        <v>0</v>
      </c>
    </row>
    <row r="185" spans="3:7" hidden="1">
      <c r="C185" s="430">
        <f t="shared" si="8"/>
        <v>2417.5676494103604</v>
      </c>
      <c r="D185" s="85">
        <v>1219.4780514744698</v>
      </c>
      <c r="E185" s="85" t="b">
        <f t="shared" ref="E185:E236" si="12">ISNUMBER(D185)</f>
        <v>1</v>
      </c>
      <c r="F185" s="430">
        <f t="shared" si="11"/>
        <v>1435418.6846821841</v>
      </c>
      <c r="G185" s="85">
        <f t="shared" si="10"/>
        <v>0</v>
      </c>
    </row>
    <row r="186" spans="3:7" hidden="1">
      <c r="C186" s="430">
        <f t="shared" ref="C186:C236" si="13">1.025*C185</f>
        <v>2478.0068406456194</v>
      </c>
      <c r="D186" s="85">
        <v>1216.7271293040924</v>
      </c>
      <c r="E186" s="85" t="b">
        <f t="shared" si="12"/>
        <v>1</v>
      </c>
      <c r="F186" s="430">
        <f t="shared" si="11"/>
        <v>1590826.5102417658</v>
      </c>
      <c r="G186" s="85">
        <f t="shared" si="10"/>
        <v>0</v>
      </c>
    </row>
    <row r="187" spans="3:7" hidden="1">
      <c r="C187" s="430">
        <f t="shared" si="13"/>
        <v>2539.9570116617597</v>
      </c>
      <c r="D187" s="85">
        <v>1213.9459245423393</v>
      </c>
      <c r="E187" s="85" t="b">
        <f t="shared" si="12"/>
        <v>1</v>
      </c>
      <c r="F187" s="430">
        <f t="shared" si="11"/>
        <v>1758305.403163627</v>
      </c>
      <c r="G187" s="85">
        <f t="shared" si="10"/>
        <v>0</v>
      </c>
    </row>
    <row r="188" spans="3:7" hidden="1">
      <c r="C188" s="430">
        <f t="shared" si="13"/>
        <v>2603.4559369533035</v>
      </c>
      <c r="D188" s="85">
        <v>1211.1338269281628</v>
      </c>
      <c r="E188" s="85" t="b">
        <f t="shared" si="12"/>
        <v>1</v>
      </c>
      <c r="F188" s="430">
        <f t="shared" si="11"/>
        <v>1938560.8580648601</v>
      </c>
      <c r="G188" s="85">
        <f t="shared" si="10"/>
        <v>0</v>
      </c>
    </row>
    <row r="189" spans="3:7" hidden="1">
      <c r="C189" s="430">
        <f t="shared" si="13"/>
        <v>2668.5423353771357</v>
      </c>
      <c r="D189" s="85">
        <v>1208.2902035434352</v>
      </c>
      <c r="E189" s="85" t="b">
        <f t="shared" si="12"/>
        <v>1</v>
      </c>
      <c r="F189" s="430">
        <f t="shared" si="11"/>
        <v>2132336.288524867</v>
      </c>
      <c r="G189" s="85">
        <f t="shared" si="10"/>
        <v>0</v>
      </c>
    </row>
    <row r="190" spans="3:7" hidden="1">
      <c r="C190" s="430">
        <f t="shared" si="13"/>
        <v>2735.255893761564</v>
      </c>
      <c r="D190" s="85">
        <v>1205.4143973412001</v>
      </c>
      <c r="E190" s="85" t="b">
        <f t="shared" si="12"/>
        <v>1</v>
      </c>
      <c r="F190" s="430">
        <f t="shared" si="11"/>
        <v>2340415.0041696983</v>
      </c>
      <c r="G190" s="85">
        <f t="shared" si="10"/>
        <v>0</v>
      </c>
    </row>
    <row r="191" spans="3:7" hidden="1">
      <c r="C191" s="430">
        <f t="shared" si="13"/>
        <v>2803.6372911056028</v>
      </c>
      <c r="D191" s="85">
        <v>1202.5057256248285</v>
      </c>
      <c r="E191" s="85" t="b">
        <f t="shared" si="12"/>
        <v>1</v>
      </c>
      <c r="F191" s="430">
        <f t="shared" si="11"/>
        <v>2563622.2899789149</v>
      </c>
      <c r="G191" s="85">
        <f t="shared" si="10"/>
        <v>0</v>
      </c>
    </row>
    <row r="192" spans="3:7" hidden="1">
      <c r="C192" s="430">
        <f t="shared" si="13"/>
        <v>2873.7282233832425</v>
      </c>
      <c r="D192" s="85">
        <v>1199.5634784766769</v>
      </c>
      <c r="E192" s="85" t="b">
        <f t="shared" si="12"/>
        <v>1</v>
      </c>
      <c r="F192" s="430">
        <f t="shared" si="11"/>
        <v>2802827.5930880657</v>
      </c>
      <c r="G192" s="85">
        <f t="shared" si="10"/>
        <v>0</v>
      </c>
    </row>
    <row r="193" spans="3:7" hidden="1">
      <c r="C193" s="430">
        <f t="shared" si="13"/>
        <v>2945.5714289678235</v>
      </c>
      <c r="D193" s="85">
        <v>1196.586917134897</v>
      </c>
      <c r="E193" s="85" t="b">
        <f t="shared" si="12"/>
        <v>1</v>
      </c>
      <c r="F193" s="430">
        <f t="shared" si="11"/>
        <v>3058946.8226314601</v>
      </c>
      <c r="G193" s="85">
        <f t="shared" si="10"/>
        <v>0</v>
      </c>
    </row>
    <row r="194" spans="3:7" hidden="1">
      <c r="C194" s="430">
        <f t="shared" si="13"/>
        <v>3019.2107146920189</v>
      </c>
      <c r="D194" s="85">
        <v>1193.5752723171374</v>
      </c>
      <c r="E194" s="85" t="b">
        <f t="shared" si="12"/>
        <v>1</v>
      </c>
      <c r="F194" s="430">
        <f t="shared" si="11"/>
        <v>3332944.7684553289</v>
      </c>
      <c r="G194" s="85">
        <f t="shared" si="10"/>
        <v>0</v>
      </c>
    </row>
    <row r="195" spans="3:7" hidden="1">
      <c r="C195" s="430">
        <f t="shared" si="13"/>
        <v>3094.6909825593193</v>
      </c>
      <c r="D195" s="85">
        <v>1190.5277424899791</v>
      </c>
      <c r="E195" s="85" t="b">
        <f t="shared" si="12"/>
        <v>1</v>
      </c>
      <c r="F195" s="430">
        <f t="shared" si="11"/>
        <v>3625837.6448313678</v>
      </c>
      <c r="G195" s="85">
        <f t="shared" si="10"/>
        <v>0</v>
      </c>
    </row>
    <row r="196" spans="3:7" hidden="1">
      <c r="C196" s="430">
        <f t="shared" si="13"/>
        <v>3172.0582571233022</v>
      </c>
      <c r="D196" s="85">
        <v>1187.4434920830724</v>
      </c>
      <c r="E196" s="85" t="b">
        <f t="shared" si="12"/>
        <v>1</v>
      </c>
      <c r="F196" s="430">
        <f t="shared" si="11"/>
        <v>3938695.7656156863</v>
      </c>
      <c r="G196" s="85">
        <f t="shared" si="10"/>
        <v>0</v>
      </c>
    </row>
    <row r="197" spans="3:7" hidden="1">
      <c r="C197" s="430">
        <f t="shared" si="13"/>
        <v>3251.3597135513846</v>
      </c>
      <c r="D197" s="85">
        <v>1184.3216496470529</v>
      </c>
      <c r="E197" s="85" t="b">
        <f t="shared" si="12"/>
        <v>1</v>
      </c>
      <c r="F197" s="430">
        <f t="shared" si="11"/>
        <v>4272646.3576293672</v>
      </c>
      <c r="G197" s="85">
        <f t="shared" si="10"/>
        <v>0</v>
      </c>
    </row>
    <row r="198" spans="3:7" hidden="1">
      <c r="C198" s="430">
        <f t="shared" si="13"/>
        <v>3332.643706390169</v>
      </c>
      <c r="D198" s="85">
        <v>1181.1613059544954</v>
      </c>
      <c r="E198" s="85" t="b">
        <f t="shared" si="12"/>
        <v>1</v>
      </c>
      <c r="F198" s="430">
        <f t="shared" si="11"/>
        <v>4628876.5193844466</v>
      </c>
      <c r="G198" s="85">
        <f t="shared" si="10"/>
        <v>0</v>
      </c>
    </row>
    <row r="199" spans="3:7" hidden="1">
      <c r="C199" s="430">
        <f t="shared" si="13"/>
        <v>3415.9597990499228</v>
      </c>
      <c r="D199" s="85">
        <v>1177.9615120432977</v>
      </c>
      <c r="E199" s="85" t="b">
        <f t="shared" si="12"/>
        <v>1</v>
      </c>
      <c r="F199" s="430">
        <f t="shared" si="11"/>
        <v>5008636.3326445883</v>
      </c>
      <c r="G199" s="85">
        <f t="shared" si="10"/>
        <v>0</v>
      </c>
    </row>
    <row r="200" spans="3:7" hidden="1">
      <c r="C200" s="430">
        <f t="shared" si="13"/>
        <v>3501.3587940261705</v>
      </c>
      <c r="D200" s="85">
        <v>1174.7212772021423</v>
      </c>
      <c r="E200" s="85" t="b">
        <f t="shared" si="12"/>
        <v>1</v>
      </c>
      <c r="F200" s="430">
        <f t="shared" si="11"/>
        <v>5413242.1346930806</v>
      </c>
      <c r="G200" s="85">
        <f t="shared" si="10"/>
        <v>0</v>
      </c>
    </row>
    <row r="201" spans="3:7" hidden="1">
      <c r="C201" s="430">
        <f t="shared" si="13"/>
        <v>3588.8927638768246</v>
      </c>
      <c r="D201" s="85">
        <v>1171.4395668978755</v>
      </c>
      <c r="E201" s="85" t="b">
        <f t="shared" si="12"/>
        <v>1</v>
      </c>
      <c r="F201" s="430">
        <f t="shared" si="11"/>
        <v>5844079.9595837416</v>
      </c>
      <c r="G201" s="85">
        <f t="shared" si="10"/>
        <v>0</v>
      </c>
    </row>
    <row r="202" spans="3:7" hidden="1">
      <c r="C202" s="430">
        <f t="shared" si="13"/>
        <v>3678.6150829737448</v>
      </c>
      <c r="D202" s="85">
        <v>1168.1153006449322</v>
      </c>
      <c r="E202" s="85" t="b">
        <f t="shared" si="12"/>
        <v>1</v>
      </c>
      <c r="F202" s="430">
        <f t="shared" si="11"/>
        <v>6302609.1570730153</v>
      </c>
      <c r="G202" s="85">
        <f t="shared" si="10"/>
        <v>0</v>
      </c>
    </row>
    <row r="203" spans="3:7" hidden="1">
      <c r="C203" s="430">
        <f t="shared" si="13"/>
        <v>3770.5804600480883</v>
      </c>
      <c r="D203" s="85">
        <v>1164.7473498172797</v>
      </c>
      <c r="E203" s="85" t="b">
        <f t="shared" si="12"/>
        <v>1</v>
      </c>
      <c r="F203" s="430">
        <f t="shared" si="11"/>
        <v>6790366.1983751683</v>
      </c>
      <c r="G203" s="85">
        <f t="shared" si="10"/>
        <v>0</v>
      </c>
    </row>
    <row r="204" spans="3:7" hidden="1">
      <c r="C204" s="430">
        <f t="shared" si="13"/>
        <v>3864.8449715492902</v>
      </c>
      <c r="D204" s="85">
        <v>1161.3345354036537</v>
      </c>
      <c r="E204" s="85" t="b">
        <f t="shared" si="12"/>
        <v>1</v>
      </c>
      <c r="F204" s="430">
        <f t="shared" si="11"/>
        <v>7308968.6783483699</v>
      </c>
      <c r="G204" s="85">
        <f t="shared" si="10"/>
        <v>0</v>
      </c>
    </row>
    <row r="205" spans="3:7" hidden="1">
      <c r="C205" s="430">
        <f t="shared" si="13"/>
        <v>3961.4660958380223</v>
      </c>
      <c r="D205" s="85">
        <v>1157.8756257073753</v>
      </c>
      <c r="E205" s="85" t="b">
        <f t="shared" si="12"/>
        <v>1</v>
      </c>
      <c r="F205" s="430">
        <f t="shared" si="11"/>
        <v>7860119.5242073834</v>
      </c>
      <c r="G205" s="85">
        <f t="shared" si="10"/>
        <v>0</v>
      </c>
    </row>
    <row r="206" spans="3:7" hidden="1">
      <c r="C206" s="430">
        <f t="shared" si="13"/>
        <v>4060.5027482339724</v>
      </c>
      <c r="D206" s="85">
        <v>1154.3693339924232</v>
      </c>
      <c r="E206" s="85" t="b">
        <f t="shared" si="12"/>
        <v>1</v>
      </c>
      <c r="F206" s="430">
        <f t="shared" si="11"/>
        <v>8445611.421371242</v>
      </c>
      <c r="G206" s="85">
        <f t="shared" si="10"/>
        <v>0</v>
      </c>
    </row>
    <row r="207" spans="3:7" hidden="1">
      <c r="C207" s="430">
        <f t="shared" si="13"/>
        <v>4162.0153169398218</v>
      </c>
      <c r="D207" s="85">
        <v>1150.8143160780908</v>
      </c>
      <c r="E207" s="85" t="b">
        <f t="shared" si="12"/>
        <v>1</v>
      </c>
      <c r="F207" s="430">
        <f t="shared" si="11"/>
        <v>9067331.4675906897</v>
      </c>
      <c r="G207" s="85">
        <f t="shared" si="10"/>
        <v>0</v>
      </c>
    </row>
    <row r="208" spans="3:7" hidden="1">
      <c r="C208" s="430">
        <f t="shared" si="13"/>
        <v>4266.0656998633167</v>
      </c>
      <c r="D208" s="85">
        <v>1148.2964926852426</v>
      </c>
      <c r="E208" s="85" t="b">
        <f t="shared" si="12"/>
        <v>1</v>
      </c>
      <c r="F208" s="430">
        <f t="shared" si="11"/>
        <v>9720484.8292277958</v>
      </c>
      <c r="G208" s="85">
        <f t="shared" si="10"/>
        <v>0</v>
      </c>
    </row>
    <row r="209" spans="3:7" hidden="1">
      <c r="C209" s="430">
        <f t="shared" si="13"/>
        <v>4372.7173423598988</v>
      </c>
      <c r="D209" s="85">
        <v>1144.657694815068</v>
      </c>
      <c r="E209" s="85" t="b">
        <f t="shared" si="12"/>
        <v>1</v>
      </c>
      <c r="F209" s="430">
        <f t="shared" si="11"/>
        <v>10420369.088107258</v>
      </c>
      <c r="G209" s="85">
        <f t="shared" si="10"/>
        <v>0</v>
      </c>
    </row>
    <row r="210" spans="3:7" hidden="1">
      <c r="C210" s="430">
        <f t="shared" si="13"/>
        <v>4482.0352759188954</v>
      </c>
      <c r="D210" s="85">
        <v>1140.9246169048429</v>
      </c>
      <c r="E210" s="85" t="b">
        <f t="shared" si="12"/>
        <v>1</v>
      </c>
      <c r="F210" s="430">
        <f t="shared" si="11"/>
        <v>11163020.435777316</v>
      </c>
      <c r="G210" s="85">
        <f t="shared" si="10"/>
        <v>0</v>
      </c>
    </row>
    <row r="211" spans="3:7" hidden="1">
      <c r="C211" s="430">
        <f t="shared" si="13"/>
        <v>4594.0861578168679</v>
      </c>
      <c r="D211" s="85">
        <v>1137.1097347977873</v>
      </c>
      <c r="E211" s="85" t="b">
        <f t="shared" si="12"/>
        <v>1</v>
      </c>
      <c r="F211" s="430">
        <f t="shared" si="11"/>
        <v>11950685.989309795</v>
      </c>
      <c r="G211" s="85">
        <f t="shared" si="10"/>
        <v>0</v>
      </c>
    </row>
    <row r="212" spans="3:7" hidden="1">
      <c r="C212" s="430">
        <f t="shared" si="13"/>
        <v>4708.9383117622892</v>
      </c>
      <c r="D212" s="85">
        <v>1133.2112879271951</v>
      </c>
      <c r="E212" s="85" t="b">
        <f t="shared" si="12"/>
        <v>1</v>
      </c>
      <c r="F212" s="430">
        <f t="shared" si="11"/>
        <v>12785823.748984577</v>
      </c>
      <c r="G212" s="85">
        <f t="shared" si="10"/>
        <v>0</v>
      </c>
    </row>
    <row r="213" spans="3:7" hidden="1">
      <c r="C213" s="430">
        <f t="shared" si="13"/>
        <v>4826.6617695563464</v>
      </c>
      <c r="D213" s="85">
        <v>1129.2276250638556</v>
      </c>
      <c r="E213" s="85" t="b">
        <f t="shared" si="12"/>
        <v>1</v>
      </c>
      <c r="F213" s="430">
        <f t="shared" si="11"/>
        <v>13671019.252858916</v>
      </c>
      <c r="G213" s="85">
        <f t="shared" si="10"/>
        <v>0</v>
      </c>
    </row>
    <row r="214" spans="3:7" hidden="1">
      <c r="C214" s="430">
        <f t="shared" si="13"/>
        <v>4947.3283137952549</v>
      </c>
      <c r="D214" s="85">
        <v>1125.1760466419269</v>
      </c>
      <c r="E214" s="85" t="b">
        <f t="shared" si="12"/>
        <v>1</v>
      </c>
      <c r="F214" s="430">
        <f t="shared" si="11"/>
        <v>14608847.953305325</v>
      </c>
      <c r="G214" s="85">
        <f t="shared" si="10"/>
        <v>0</v>
      </c>
    </row>
    <row r="215" spans="3:7" hidden="1">
      <c r="C215" s="430">
        <f t="shared" si="13"/>
        <v>5071.0115216401355</v>
      </c>
      <c r="D215" s="85">
        <v>1121.0073879076224</v>
      </c>
      <c r="E215" s="85" t="b">
        <f t="shared" si="12"/>
        <v>1</v>
      </c>
      <c r="F215" s="430">
        <f t="shared" si="11"/>
        <v>15602532.65650394</v>
      </c>
      <c r="G215" s="85">
        <f t="shared" si="10"/>
        <v>0</v>
      </c>
    </row>
    <row r="216" spans="3:7" hidden="1">
      <c r="C216" s="430">
        <f t="shared" si="13"/>
        <v>5197.786809681138</v>
      </c>
      <c r="D216" s="85">
        <v>1116.7473004118094</v>
      </c>
      <c r="E216" s="85" t="b">
        <f t="shared" si="12"/>
        <v>1</v>
      </c>
      <c r="F216" s="430">
        <f t="shared" ref="F216:F236" si="14">IF(E216,(C216-D216)^2,1000000)</f>
        <v>16654883.476217244</v>
      </c>
      <c r="G216" s="85">
        <f t="shared" si="10"/>
        <v>0</v>
      </c>
    </row>
    <row r="217" spans="3:7" hidden="1">
      <c r="C217" s="430">
        <f t="shared" si="13"/>
        <v>5327.7314799231663</v>
      </c>
      <c r="D217" s="85">
        <v>1112.3945920046003</v>
      </c>
      <c r="E217" s="85" t="b">
        <f t="shared" si="12"/>
        <v>1</v>
      </c>
      <c r="F217" s="430">
        <f t="shared" si="14"/>
        <v>17769065.078646977</v>
      </c>
      <c r="G217" s="85">
        <f t="shared" si="10"/>
        <v>0</v>
      </c>
    </row>
    <row r="218" spans="3:7" hidden="1">
      <c r="C218" s="430">
        <f t="shared" si="13"/>
        <v>5460.9247669212446</v>
      </c>
      <c r="D218" s="85">
        <v>1107.9577954459085</v>
      </c>
      <c r="E218" s="85" t="b">
        <f t="shared" si="12"/>
        <v>1</v>
      </c>
      <c r="F218" s="430">
        <f t="shared" si="14"/>
        <v>18948321.454755161</v>
      </c>
      <c r="G218" s="85">
        <f t="shared" si="10"/>
        <v>0</v>
      </c>
    </row>
    <row r="219" spans="3:7" hidden="1">
      <c r="C219" s="430">
        <f t="shared" si="13"/>
        <v>5597.4478860942754</v>
      </c>
      <c r="D219" s="85">
        <v>1103.3992699395885</v>
      </c>
      <c r="E219" s="85" t="b">
        <f t="shared" si="12"/>
        <v>1</v>
      </c>
      <c r="F219" s="430">
        <f t="shared" si="14"/>
        <v>20196472.964361858</v>
      </c>
      <c r="G219" s="85">
        <f t="shared" si="10"/>
        <v>0</v>
      </c>
    </row>
    <row r="220" spans="3:7" hidden="1">
      <c r="C220" s="430">
        <f t="shared" si="13"/>
        <v>5737.3840832466321</v>
      </c>
      <c r="D220" s="85">
        <v>1098.7626663692479</v>
      </c>
      <c r="E220" s="85" t="b">
        <f t="shared" si="12"/>
        <v>1</v>
      </c>
      <c r="F220" s="430">
        <f t="shared" si="14"/>
        <v>21516808.649113551</v>
      </c>
      <c r="G220" s="85">
        <f t="shared" si="10"/>
        <v>0</v>
      </c>
    </row>
    <row r="221" spans="3:7" hidden="1">
      <c r="C221" s="430">
        <f t="shared" si="13"/>
        <v>5880.8186853277975</v>
      </c>
      <c r="D221" s="85">
        <v>1093.9866993733556</v>
      </c>
      <c r="E221" s="85" t="b">
        <f t="shared" si="12"/>
        <v>1</v>
      </c>
      <c r="F221" s="430">
        <f t="shared" si="14"/>
        <v>22913760.461756546</v>
      </c>
      <c r="G221" s="85">
        <f t="shared" si="10"/>
        <v>0</v>
      </c>
    </row>
    <row r="222" spans="3:7" hidden="1">
      <c r="C222" s="430">
        <f t="shared" si="13"/>
        <v>6027.8391524609924</v>
      </c>
      <c r="D222" s="85">
        <v>1089.1351513002851</v>
      </c>
      <c r="E222" s="85" t="b">
        <f t="shared" si="12"/>
        <v>1</v>
      </c>
      <c r="F222" s="430">
        <f t="shared" si="14"/>
        <v>24390797.211080786</v>
      </c>
      <c r="G222" s="85">
        <f t="shared" si="10"/>
        <v>0</v>
      </c>
    </row>
    <row r="223" spans="3:7" hidden="1">
      <c r="C223" s="430">
        <f t="shared" si="13"/>
        <v>6178.535131272517</v>
      </c>
      <c r="D223" s="85">
        <v>1084.1303127076767</v>
      </c>
      <c r="E223" s="85" t="b">
        <f t="shared" si="12"/>
        <v>1</v>
      </c>
      <c r="F223" s="430">
        <f t="shared" si="14"/>
        <v>25952960.455416668</v>
      </c>
      <c r="G223" s="85">
        <f t="shared" ref="G223:G236" si="15">IF(F223=MIN($F$56:$F$236),C223,0)</f>
        <v>0</v>
      </c>
    </row>
    <row r="224" spans="3:7" hidden="1">
      <c r="C224" s="430">
        <f t="shared" si="13"/>
        <v>6332.9985095543298</v>
      </c>
      <c r="D224" s="85">
        <v>1079.0480359446228</v>
      </c>
      <c r="E224" s="85" t="b">
        <f t="shared" si="12"/>
        <v>1</v>
      </c>
      <c r="F224" s="430">
        <f t="shared" si="14"/>
        <v>27603995.579143662</v>
      </c>
      <c r="G224" s="85">
        <f t="shared" si="15"/>
        <v>0</v>
      </c>
    </row>
    <row r="225" spans="3:7" hidden="1">
      <c r="C225" s="430">
        <f t="shared" si="13"/>
        <v>6491.3234722931875</v>
      </c>
      <c r="D225" s="85">
        <v>1073.8033158384005</v>
      </c>
      <c r="E225" s="85" t="b">
        <f t="shared" si="12"/>
        <v>1</v>
      </c>
      <c r="F225" s="430">
        <f t="shared" si="14"/>
        <v>29349524.6455939</v>
      </c>
      <c r="G225" s="85">
        <f t="shared" si="15"/>
        <v>0</v>
      </c>
    </row>
    <row r="226" spans="3:7" hidden="1">
      <c r="C226" s="430">
        <f t="shared" si="13"/>
        <v>6653.6065591005163</v>
      </c>
      <c r="D226" s="85">
        <v>1068.4740011935653</v>
      </c>
      <c r="E226" s="85" t="b">
        <f t="shared" si="12"/>
        <v>1</v>
      </c>
      <c r="F226" s="430">
        <f t="shared" si="14"/>
        <v>31193705.689392239</v>
      </c>
      <c r="G226" s="85">
        <f t="shared" si="15"/>
        <v>0</v>
      </c>
    </row>
    <row r="227" spans="3:7" hidden="1">
      <c r="C227" s="430">
        <f t="shared" si="13"/>
        <v>6819.9467230780283</v>
      </c>
      <c r="D227" s="85">
        <v>1062.9790834983128</v>
      </c>
      <c r="E227" s="85" t="b">
        <f t="shared" si="12"/>
        <v>1</v>
      </c>
      <c r="F227" s="430">
        <f t="shared" si="14"/>
        <v>33142676.403168045</v>
      </c>
      <c r="G227" s="85">
        <f t="shared" si="15"/>
        <v>0</v>
      </c>
    </row>
    <row r="228" spans="3:7" hidden="1">
      <c r="C228" s="430">
        <f t="shared" si="13"/>
        <v>6990.4453911549781</v>
      </c>
      <c r="D228" s="85">
        <v>1057.3860617822477</v>
      </c>
      <c r="E228" s="85" t="b">
        <f t="shared" si="12"/>
        <v>1</v>
      </c>
      <c r="F228" s="430">
        <f t="shared" si="14"/>
        <v>35201193.005856797</v>
      </c>
      <c r="G228" s="85">
        <f t="shared" si="15"/>
        <v>0</v>
      </c>
    </row>
    <row r="229" spans="3:7" hidden="1">
      <c r="C229" s="430">
        <f t="shared" si="13"/>
        <v>7165.2065259338515</v>
      </c>
      <c r="D229" s="85">
        <v>1051.6685027581084</v>
      </c>
      <c r="E229" s="85" t="b">
        <f t="shared" si="12"/>
        <v>1</v>
      </c>
      <c r="F229" s="430">
        <f t="shared" si="14"/>
        <v>37375347.160815567</v>
      </c>
      <c r="G229" s="85">
        <f t="shared" si="15"/>
        <v>0</v>
      </c>
    </row>
    <row r="230" spans="3:7" hidden="1">
      <c r="C230" s="430">
        <f t="shared" si="13"/>
        <v>7344.3366890821972</v>
      </c>
      <c r="D230" s="85">
        <v>1045.7581100163634</v>
      </c>
      <c r="E230" s="85" t="b">
        <f t="shared" si="12"/>
        <v>1</v>
      </c>
      <c r="F230" s="430">
        <f t="shared" si="14"/>
        <v>39672092.11666698</v>
      </c>
      <c r="G230" s="85">
        <f t="shared" si="15"/>
        <v>0</v>
      </c>
    </row>
    <row r="231" spans="3:7" hidden="1">
      <c r="C231" s="430">
        <f t="shared" si="13"/>
        <v>7527.9451063092511</v>
      </c>
      <c r="D231" s="85">
        <v>1039.7506753028185</v>
      </c>
      <c r="E231" s="85" t="b">
        <f t="shared" si="12"/>
        <v>1</v>
      </c>
      <c r="F231" s="430">
        <f t="shared" si="14"/>
        <v>42096666.974542886</v>
      </c>
      <c r="G231" s="85">
        <f t="shared" si="15"/>
        <v>0</v>
      </c>
    </row>
    <row r="232" spans="3:7" hidden="1">
      <c r="C232" s="430">
        <f t="shared" si="13"/>
        <v>7716.1437339669819</v>
      </c>
      <c r="D232" s="85">
        <v>1033.604945272371</v>
      </c>
      <c r="E232" s="85" t="b">
        <f t="shared" si="12"/>
        <v>1</v>
      </c>
      <c r="F232" s="430">
        <f t="shared" si="14"/>
        <v>44656324.662408039</v>
      </c>
      <c r="G232" s="85">
        <f t="shared" si="15"/>
        <v>0</v>
      </c>
    </row>
    <row r="233" spans="3:7" hidden="1">
      <c r="C233" s="430">
        <f t="shared" si="13"/>
        <v>7909.047327316156</v>
      </c>
      <c r="D233" s="85">
        <v>1027.251436944438</v>
      </c>
      <c r="E233" s="85" t="b">
        <f t="shared" si="12"/>
        <v>1</v>
      </c>
      <c r="F233" s="430">
        <f t="shared" si="14"/>
        <v>47359114.67673707</v>
      </c>
      <c r="G233" s="85">
        <f t="shared" si="15"/>
        <v>0</v>
      </c>
    </row>
    <row r="234" spans="3:7" hidden="1">
      <c r="C234" s="430">
        <f t="shared" si="13"/>
        <v>8106.7735104990588</v>
      </c>
      <c r="D234" s="85">
        <v>1020.78934618774</v>
      </c>
      <c r="E234" s="85" t="b">
        <f t="shared" si="12"/>
        <v>1</v>
      </c>
      <c r="F234" s="430">
        <f t="shared" si="14"/>
        <v>50211171.576870777</v>
      </c>
      <c r="G234" s="85">
        <f t="shared" si="15"/>
        <v>0</v>
      </c>
    </row>
    <row r="235" spans="3:7" hidden="1">
      <c r="C235" s="430">
        <f t="shared" si="13"/>
        <v>8309.4428482615349</v>
      </c>
      <c r="D235" s="85">
        <v>1014.1746902524021</v>
      </c>
      <c r="E235" s="85" t="b">
        <f t="shared" si="12"/>
        <v>1</v>
      </c>
      <c r="F235" s="430">
        <f t="shared" si="14"/>
        <v>53220937.497261971</v>
      </c>
      <c r="G235" s="85">
        <f t="shared" si="15"/>
        <v>0</v>
      </c>
    </row>
    <row r="236" spans="3:7" hidden="1">
      <c r="C236" s="430">
        <f t="shared" si="13"/>
        <v>8517.1789194680732</v>
      </c>
      <c r="D236" s="85">
        <v>1007.4027966789072</v>
      </c>
      <c r="E236" s="85" t="b">
        <f t="shared" si="12"/>
        <v>1</v>
      </c>
      <c r="F236" s="430">
        <f t="shared" si="14"/>
        <v>56396737.414414279</v>
      </c>
      <c r="G236" s="85">
        <f t="shared" si="15"/>
        <v>0</v>
      </c>
    </row>
    <row r="237" spans="3:7" hidden="1">
      <c r="C237" s="85"/>
    </row>
    <row r="238" spans="3:7" hidden="1">
      <c r="C238" s="85"/>
    </row>
    <row r="239" spans="3:7" hidden="1">
      <c r="C239" s="85"/>
    </row>
    <row r="240" spans="3:7" hidden="1">
      <c r="C240" s="85"/>
    </row>
    <row r="241" spans="3:3" hidden="1">
      <c r="C241" s="85"/>
    </row>
    <row r="242" spans="3:3" hidden="1">
      <c r="C242" s="85"/>
    </row>
    <row r="243" spans="3:3" hidden="1">
      <c r="C243" s="85"/>
    </row>
    <row r="244" spans="3:3" hidden="1">
      <c r="C244" s="85"/>
    </row>
    <row r="245" spans="3:3" hidden="1">
      <c r="C245" s="85"/>
    </row>
    <row r="246" spans="3:3" hidden="1">
      <c r="C246" s="85"/>
    </row>
    <row r="247" spans="3:3" hidden="1">
      <c r="C247" s="85"/>
    </row>
    <row r="248" spans="3:3" hidden="1">
      <c r="C248" s="85"/>
    </row>
    <row r="249" spans="3:3" hidden="1">
      <c r="C249" s="85"/>
    </row>
    <row r="250" spans="3:3" hidden="1">
      <c r="C250" s="85"/>
    </row>
    <row r="251" spans="3:3" hidden="1">
      <c r="C251" s="85"/>
    </row>
    <row r="252" spans="3:3" hidden="1">
      <c r="C252" s="85"/>
    </row>
    <row r="253" spans="3:3" hidden="1">
      <c r="C253" s="85"/>
    </row>
    <row r="254" spans="3:3" hidden="1">
      <c r="C254" s="85"/>
    </row>
    <row r="255" spans="3:3" hidden="1">
      <c r="C255" s="85"/>
    </row>
    <row r="256" spans="3:3" hidden="1">
      <c r="C256" s="85"/>
    </row>
    <row r="257" spans="3:3" hidden="1">
      <c r="C257" s="85"/>
    </row>
    <row r="258" spans="3:3" hidden="1">
      <c r="C258" s="85"/>
    </row>
    <row r="259" spans="3:3" hidden="1">
      <c r="C259" s="85"/>
    </row>
    <row r="260" spans="3:3" hidden="1">
      <c r="C260" s="85"/>
    </row>
    <row r="261" spans="3:3" hidden="1">
      <c r="C261" s="85"/>
    </row>
    <row r="262" spans="3:3" hidden="1">
      <c r="C262" s="85"/>
    </row>
    <row r="263" spans="3:3" hidden="1">
      <c r="C263" s="85"/>
    </row>
    <row r="264" spans="3:3" hidden="1">
      <c r="C264" s="85"/>
    </row>
    <row r="265" spans="3:3" hidden="1">
      <c r="C265" s="85"/>
    </row>
    <row r="266" spans="3:3" hidden="1">
      <c r="C266" s="85"/>
    </row>
    <row r="267" spans="3:3" hidden="1">
      <c r="C267" s="85"/>
    </row>
    <row r="268" spans="3:3" hidden="1">
      <c r="C268" s="85"/>
    </row>
    <row r="269" spans="3:3" hidden="1">
      <c r="C269" s="85"/>
    </row>
    <row r="270" spans="3:3" hidden="1">
      <c r="C270" s="85"/>
    </row>
    <row r="271" spans="3:3" hidden="1">
      <c r="C271" s="85"/>
    </row>
  </sheetData>
  <sheetProtection password="DC85" sheet="1" objects="1" scenarios="1" selectLockedCells="1"/>
  <mergeCells count="21">
    <mergeCell ref="A25:A30"/>
    <mergeCell ref="A31:A42"/>
    <mergeCell ref="J15:M15"/>
    <mergeCell ref="L29:M29"/>
    <mergeCell ref="A1:B1"/>
    <mergeCell ref="I1:M1"/>
    <mergeCell ref="H2:L2"/>
    <mergeCell ref="I25:M25"/>
    <mergeCell ref="A11:A16"/>
    <mergeCell ref="A3:A7"/>
    <mergeCell ref="A8:A10"/>
    <mergeCell ref="A17:A24"/>
    <mergeCell ref="L36:M36"/>
    <mergeCell ref="L37:M37"/>
    <mergeCell ref="L34:M34"/>
    <mergeCell ref="Q1:T1"/>
    <mergeCell ref="N29:T29"/>
    <mergeCell ref="I13:M13"/>
    <mergeCell ref="L17:M17"/>
    <mergeCell ref="L33:M33"/>
    <mergeCell ref="J14:M14"/>
  </mergeCells>
  <phoneticPr fontId="0" type="noConversion"/>
  <conditionalFormatting sqref="D15:G16 I15:I16">
    <cfRule type="expression" dxfId="32" priority="46" stopIfTrue="1">
      <formula>IF(#REF!="JetRotor™",TRUE,)</formula>
    </cfRule>
  </conditionalFormatting>
  <conditionalFormatting sqref="L17:M17">
    <cfRule type="expression" dxfId="31" priority="115" stopIfTrue="1">
      <formula>IF($H$3&gt;$H$4,TRUE,FALSE)</formula>
    </cfRule>
  </conditionalFormatting>
  <conditionalFormatting sqref="K30:M30">
    <cfRule type="expression" dxfId="30" priority="1">
      <formula>IF($D$13=1,FALSE,TRUE)</formula>
    </cfRule>
    <cfRule type="expression" dxfId="29" priority="44" stopIfTrue="1">
      <formula>AND($H$25="ON BOTTOM")</formula>
    </cfRule>
  </conditionalFormatting>
  <conditionalFormatting sqref="B15:C16 H15:H16">
    <cfRule type="expression" dxfId="28" priority="142">
      <formula>IF(#REF!="JetRotor",TRUE,)</formula>
    </cfRule>
  </conditionalFormatting>
  <conditionalFormatting sqref="H30">
    <cfRule type="expression" dxfId="27" priority="43" stopIfTrue="1">
      <formula>IF($D$13=0,TRUE,FALSE)</formula>
    </cfRule>
  </conditionalFormatting>
  <conditionalFormatting sqref="B31:M31">
    <cfRule type="expression" dxfId="26" priority="41">
      <formula>IF($H$31&gt;3000,TRUE,)</formula>
    </cfRule>
  </conditionalFormatting>
  <conditionalFormatting sqref="B32:M32">
    <cfRule type="expression" dxfId="25" priority="40">
      <formula>IF($H$32&gt;5000,TRUE,)</formula>
    </cfRule>
  </conditionalFormatting>
  <conditionalFormatting sqref="B33:L33">
    <cfRule type="expression" dxfId="24" priority="39">
      <formula>IF($H$33&gt;$D$33,TRUE,)</formula>
    </cfRule>
  </conditionalFormatting>
  <conditionalFormatting sqref="B37:M37">
    <cfRule type="expression" dxfId="23" priority="37">
      <formula>IF($F$37&lt;1,TRUE,)</formula>
    </cfRule>
  </conditionalFormatting>
  <conditionalFormatting sqref="B38:M38">
    <cfRule type="expression" dxfId="22" priority="36">
      <formula>IF($F$38&lt;1,TRUE,)</formula>
    </cfRule>
  </conditionalFormatting>
  <conditionalFormatting sqref="B36:H36 J36:L36">
    <cfRule type="expression" dxfId="21" priority="35">
      <formula>IF($H$36&lt;0.5,TRUE,)</formula>
    </cfRule>
  </conditionalFormatting>
  <conditionalFormatting sqref="I36">
    <cfRule type="expression" dxfId="20" priority="34">
      <formula>IF($H$36&lt;0.5,TRUE,)</formula>
    </cfRule>
  </conditionalFormatting>
  <conditionalFormatting sqref="B34:M34">
    <cfRule type="expression" dxfId="19" priority="143">
      <formula>IF($J$34&gt;#REF!,TRUE,)</formula>
    </cfRule>
  </conditionalFormatting>
  <conditionalFormatting sqref="H17">
    <cfRule type="expression" dxfId="18" priority="32">
      <formula>IF(H17&gt;0,IF(D13=2,TRUE,),)</formula>
    </cfRule>
  </conditionalFormatting>
  <conditionalFormatting sqref="B29:L29">
    <cfRule type="expression" dxfId="17" priority="30" stopIfTrue="1">
      <formula>IF($D$13=0,TRUE,FALSE)</formula>
    </cfRule>
  </conditionalFormatting>
  <conditionalFormatting sqref="B13:F13 H13:M13">
    <cfRule type="expression" dxfId="16" priority="148" stopIfTrue="1">
      <formula>IF($D$13&gt;1,IF($H$17&gt;0,TRUE,),)</formula>
    </cfRule>
  </conditionalFormatting>
  <conditionalFormatting sqref="H4">
    <cfRule type="expression" dxfId="15" priority="28" stopIfTrue="1">
      <formula>IF($H$4&gt;$H$8,TRUE,FALSE)</formula>
    </cfRule>
  </conditionalFormatting>
  <conditionalFormatting sqref="H3">
    <cfRule type="expression" dxfId="14" priority="29" stopIfTrue="1">
      <formula>IF($H$3&gt;$H$4,TRUE,FALSE)</formula>
    </cfRule>
  </conditionalFormatting>
  <conditionalFormatting sqref="H29">
    <cfRule type="expression" dxfId="13" priority="19">
      <formula>IF(AND(H12=2.38,H13="MGS™"),TRUE)</formula>
    </cfRule>
    <cfRule type="expression" dxfId="12" priority="22">
      <formula>IF(H29&gt;$L$26,TRUE,FALSE)</formula>
    </cfRule>
  </conditionalFormatting>
  <conditionalFormatting sqref="J14:M14">
    <cfRule type="expression" dxfId="11" priority="21">
      <formula>IF(AND(H12=2.38,H13="MGS™"),TRUE)</formula>
    </cfRule>
  </conditionalFormatting>
  <conditionalFormatting sqref="L29:M29">
    <cfRule type="expression" dxfId="10" priority="15">
      <formula>ISERROR($F$29)</formula>
    </cfRule>
  </conditionalFormatting>
  <conditionalFormatting sqref="I25">
    <cfRule type="expression" dxfId="9" priority="14">
      <formula>ISERROR($F$29)</formula>
    </cfRule>
  </conditionalFormatting>
  <conditionalFormatting sqref="B26:H26 B28:H28">
    <cfRule type="expression" dxfId="8" priority="13">
      <formula>IF(OR($H$13="None",$H$13="MGS™"),TRUE,)</formula>
    </cfRule>
  </conditionalFormatting>
  <conditionalFormatting sqref="I26:M26">
    <cfRule type="expression" dxfId="7" priority="9">
      <formula>"if($H$26=""Standard Carbide"")"</formula>
    </cfRule>
  </conditionalFormatting>
  <conditionalFormatting sqref="K30:M30">
    <cfRule type="expression" dxfId="6" priority="150">
      <formula>IF($I$25="Balanced",FALSE,TRUE)</formula>
    </cfRule>
  </conditionalFormatting>
  <conditionalFormatting sqref="L26:M26">
    <cfRule type="expression" dxfId="5" priority="7">
      <formula>"($L$26=""""Custom Drilled Not Available"""")"</formula>
    </cfRule>
  </conditionalFormatting>
  <conditionalFormatting sqref="J28:M28">
    <cfRule type="expression" dxfId="4" priority="3">
      <formula>IF(AND(Nb=1,$H$13="WBS"),TRUE,FALSE)</formula>
    </cfRule>
    <cfRule type="expression" dxfId="3" priority="4">
      <formula>IF(AND(Nb&gt;1,$H$13="MGS™"),TRUE,FALSE)</formula>
    </cfRule>
    <cfRule type="expression" priority="6">
      <formula>"If(and($H$27&gt;1,$H$13=""MGSTM"")"</formula>
    </cfRule>
  </conditionalFormatting>
  <conditionalFormatting sqref="I25:M25">
    <cfRule type="expression" dxfId="2" priority="5">
      <formula>IF(H29&gt;$L$26,TRUE,FALSE)</formula>
    </cfRule>
  </conditionalFormatting>
  <conditionalFormatting sqref="B27:H27">
    <cfRule type="expression" dxfId="1" priority="2">
      <formula>IF(OR($H$13="None",$H$13="WBS"),TRUE,)</formula>
    </cfRule>
  </conditionalFormatting>
  <dataValidations xWindow="754" yWindow="509" count="7">
    <dataValidation type="list" allowBlank="1" showInputMessage="1" showErrorMessage="1" prompt="Click on arrow" sqref="H13">
      <formula1>toollist</formula1>
    </dataValidation>
    <dataValidation type="list" allowBlank="1" showInputMessage="1" showErrorMessage="1" prompt="Click on arrow" sqref="H25">
      <formula1>ONOFFlist</formula1>
    </dataValidation>
    <dataValidation type="list" allowBlank="1" showInputMessage="1" showErrorMessage="1" prompt="Click on arrow" sqref="H14">
      <formula1>HPList</formula1>
    </dataValidation>
    <dataValidation type="list" allowBlank="1" showInputMessage="1" showErrorMessage="1" sqref="H12">
      <formula1>GSList</formula1>
    </dataValidation>
    <dataValidation type="list" allowBlank="1" showInputMessage="1" showErrorMessage="1" sqref="H28">
      <formula1>INDIRECT(SUBSTITUTE($H$26," ",""))</formula1>
    </dataValidation>
    <dataValidation type="list" allowBlank="1" showInputMessage="1" showErrorMessage="1" prompt="Click on arrow" sqref="H26">
      <formula1>InsertType</formula1>
    </dataValidation>
    <dataValidation allowBlank="1" showInputMessage="1" showErrorMessage="1" prompt="Click on arrow" sqref="H27"/>
  </dataValidations>
  <pageMargins left="0.25" right="0.25" top="0.5" bottom="0.55000000000000004" header="0.25" footer="0.35"/>
  <pageSetup scale="75" orientation="landscape"/>
  <headerFooter alignWithMargins="0">
    <oddFooter>&amp;LPrinted &amp;D&amp;C&amp;F&amp;R&amp;A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/>
  <dimension ref="A1:A68"/>
  <sheetViews>
    <sheetView showGridLines="0" showRowColHeaders="0" workbookViewId="0">
      <selection activeCell="A69" sqref="A69:XFD1048576"/>
    </sheetView>
  </sheetViews>
  <sheetFormatPr baseColWidth="10" defaultColWidth="0" defaultRowHeight="12" zeroHeight="1" x14ac:dyDescent="0"/>
  <cols>
    <col min="1" max="1" width="96.1640625" style="898" customWidth="1"/>
    <col min="2" max="21" width="9.1640625" style="897" hidden="1" customWidth="1"/>
    <col min="22" max="16384" width="9.1640625" style="897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 ht="11.25" customHeight="1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</sheetData>
  <sheetProtection password="DC85" sheet="1" objects="1" scenarios="1"/>
  <pageMargins left="0.5" right="0.5" top="0.75" bottom="0.65" header="0.3" footer="0.5"/>
  <pageSetup orientation="portrait"/>
  <headerFooter>
    <oddFooter>&amp;LPrinted &amp;D&amp;C&amp;F&amp;R&amp;A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pageSetUpPr fitToPage="1"/>
  </sheetPr>
  <dimension ref="A1:XFD103"/>
  <sheetViews>
    <sheetView showGridLines="0" showRowColHeaders="0" workbookViewId="0">
      <selection activeCell="B52" sqref="B52"/>
    </sheetView>
  </sheetViews>
  <sheetFormatPr baseColWidth="10" defaultColWidth="0" defaultRowHeight="12" zeroHeight="1" x14ac:dyDescent="0"/>
  <cols>
    <col min="1" max="1" width="24.6640625" style="668" customWidth="1"/>
    <col min="2" max="10" width="13.6640625" style="668" customWidth="1"/>
    <col min="11" max="11" width="6.6640625" style="667" customWidth="1"/>
    <col min="12" max="20" width="9.1640625" style="77" hidden="1" customWidth="1"/>
    <col min="21" max="58" width="0" style="77" hidden="1" customWidth="1"/>
    <col min="59" max="16384" width="9.1640625" style="77" hidden="1"/>
  </cols>
  <sheetData>
    <row r="1" spans="1:18" ht="20" customHeight="1">
      <c r="A1" s="908" t="s">
        <v>523</v>
      </c>
      <c r="B1" s="909"/>
      <c r="C1" s="909"/>
      <c r="D1" s="909"/>
      <c r="E1" s="910"/>
      <c r="F1" s="910" t="s">
        <v>524</v>
      </c>
      <c r="G1" s="909"/>
      <c r="H1" s="909"/>
      <c r="I1" s="909"/>
      <c r="J1" s="909"/>
      <c r="K1" s="911"/>
    </row>
    <row r="2" spans="1:18" ht="16" customHeight="1">
      <c r="A2" s="912" t="s">
        <v>525</v>
      </c>
      <c r="B2" s="913">
        <v>1.69</v>
      </c>
      <c r="C2" s="913">
        <v>2.13</v>
      </c>
      <c r="D2" s="913">
        <v>2.38</v>
      </c>
      <c r="E2" s="913">
        <v>2.88</v>
      </c>
      <c r="F2" s="913">
        <v>3.13</v>
      </c>
      <c r="G2" s="913">
        <v>3.5</v>
      </c>
      <c r="H2" s="913">
        <v>3.75</v>
      </c>
      <c r="I2" s="913">
        <v>4.75</v>
      </c>
      <c r="J2" s="913">
        <v>6.5</v>
      </c>
      <c r="K2" s="914"/>
    </row>
    <row r="3" spans="1:18" ht="13.5" customHeight="1">
      <c r="A3" s="692" t="s">
        <v>526</v>
      </c>
      <c r="B3" s="676" t="s">
        <v>408</v>
      </c>
      <c r="C3" s="676" t="s">
        <v>408</v>
      </c>
      <c r="D3" s="676"/>
      <c r="E3" s="676" t="s">
        <v>408</v>
      </c>
      <c r="F3" s="676"/>
      <c r="G3" s="676"/>
      <c r="H3" s="676"/>
      <c r="I3" s="676"/>
      <c r="J3" s="677"/>
      <c r="K3" s="677"/>
    </row>
    <row r="4" spans="1:18" ht="13">
      <c r="A4" s="670" t="s">
        <v>527</v>
      </c>
      <c r="B4" s="679">
        <v>1.1904761904761905</v>
      </c>
      <c r="C4" s="679">
        <v>1.7619047619047619</v>
      </c>
      <c r="D4" s="679"/>
      <c r="E4" s="679">
        <v>2.8571428571428572</v>
      </c>
      <c r="F4" s="679"/>
      <c r="G4" s="680"/>
      <c r="H4" s="680"/>
      <c r="I4" s="680"/>
      <c r="J4" s="680"/>
      <c r="K4" s="680" t="s">
        <v>105</v>
      </c>
      <c r="L4" s="502"/>
      <c r="N4" s="671"/>
      <c r="R4" s="671"/>
    </row>
    <row r="5" spans="1:18" ht="13">
      <c r="A5" s="672" t="s">
        <v>528</v>
      </c>
      <c r="B5" s="682">
        <v>105</v>
      </c>
      <c r="C5" s="682">
        <v>100</v>
      </c>
      <c r="D5" s="682"/>
      <c r="E5" s="682">
        <v>245</v>
      </c>
      <c r="F5" s="682"/>
      <c r="G5" s="682"/>
      <c r="H5" s="682"/>
      <c r="I5" s="682"/>
      <c r="J5" s="682"/>
      <c r="K5" s="682" t="s">
        <v>529</v>
      </c>
      <c r="L5" s="502"/>
      <c r="N5" s="673"/>
    </row>
    <row r="6" spans="1:18" ht="13">
      <c r="A6" s="674" t="s">
        <v>530</v>
      </c>
      <c r="B6" s="683">
        <v>295</v>
      </c>
      <c r="C6" s="683">
        <v>540</v>
      </c>
      <c r="D6" s="683"/>
      <c r="E6" s="683">
        <v>555</v>
      </c>
      <c r="F6" s="683"/>
      <c r="G6" s="683"/>
      <c r="H6" s="683"/>
      <c r="I6" s="683"/>
      <c r="J6" s="683"/>
      <c r="K6" s="683" t="s">
        <v>529</v>
      </c>
      <c r="L6" s="502"/>
      <c r="N6" s="518"/>
      <c r="Q6" s="518"/>
      <c r="R6" s="518"/>
    </row>
    <row r="7" spans="1:18" ht="13">
      <c r="A7" s="692" t="s">
        <v>526</v>
      </c>
      <c r="B7" s="676" t="s">
        <v>409</v>
      </c>
      <c r="C7" s="676" t="s">
        <v>409</v>
      </c>
      <c r="D7" s="676" t="s">
        <v>409</v>
      </c>
      <c r="E7" s="676" t="s">
        <v>409</v>
      </c>
      <c r="F7" s="676"/>
      <c r="G7" s="676" t="s">
        <v>409</v>
      </c>
      <c r="H7" s="676"/>
      <c r="I7" s="676" t="s">
        <v>409</v>
      </c>
      <c r="J7" s="676" t="s">
        <v>409</v>
      </c>
      <c r="K7" s="676"/>
      <c r="L7" s="502"/>
    </row>
    <row r="8" spans="1:18" ht="13">
      <c r="A8" s="670" t="s">
        <v>527</v>
      </c>
      <c r="B8" s="679">
        <v>1.1904761904761905</v>
      </c>
      <c r="C8" s="679">
        <v>1.5476190476190477</v>
      </c>
      <c r="D8" s="679">
        <v>1.9047619047619047</v>
      </c>
      <c r="E8" s="679">
        <v>2.8571428571428572</v>
      </c>
      <c r="F8" s="679"/>
      <c r="G8" s="679">
        <v>4.2857142857142856</v>
      </c>
      <c r="H8" s="679"/>
      <c r="I8" s="679">
        <v>7.5</v>
      </c>
      <c r="J8" s="679">
        <v>15.714285714285714</v>
      </c>
      <c r="K8" s="680" t="s">
        <v>105</v>
      </c>
      <c r="L8" s="502"/>
    </row>
    <row r="9" spans="1:18" ht="13">
      <c r="A9" s="672" t="s">
        <v>528</v>
      </c>
      <c r="B9" s="682">
        <v>105</v>
      </c>
      <c r="C9" s="682">
        <v>100</v>
      </c>
      <c r="D9" s="682">
        <v>85</v>
      </c>
      <c r="E9" s="682">
        <v>116</v>
      </c>
      <c r="F9" s="682"/>
      <c r="G9" s="682">
        <v>305</v>
      </c>
      <c r="H9" s="682"/>
      <c r="I9" s="682">
        <v>305</v>
      </c>
      <c r="J9" s="682">
        <v>348</v>
      </c>
      <c r="K9" s="682" t="s">
        <v>529</v>
      </c>
      <c r="L9" s="502"/>
    </row>
    <row r="10" spans="1:18" ht="13">
      <c r="A10" s="674" t="s">
        <v>530</v>
      </c>
      <c r="B10" s="683">
        <v>765</v>
      </c>
      <c r="C10" s="683">
        <v>915</v>
      </c>
      <c r="D10" s="683">
        <v>640</v>
      </c>
      <c r="E10" s="683">
        <v>1044</v>
      </c>
      <c r="F10" s="683"/>
      <c r="G10" s="683">
        <v>1220</v>
      </c>
      <c r="H10" s="683"/>
      <c r="I10" s="683">
        <v>1760</v>
      </c>
      <c r="J10" s="683">
        <v>957</v>
      </c>
      <c r="K10" s="683" t="s">
        <v>529</v>
      </c>
      <c r="L10" s="502"/>
    </row>
    <row r="11" spans="1:18" s="518" customFormat="1" ht="13">
      <c r="A11" s="692" t="s">
        <v>526</v>
      </c>
      <c r="B11" s="676"/>
      <c r="C11" s="676"/>
      <c r="D11" s="676"/>
      <c r="E11" s="684" t="s">
        <v>151</v>
      </c>
      <c r="F11" s="684"/>
      <c r="G11" s="676" t="s">
        <v>549</v>
      </c>
      <c r="H11" s="676" t="s">
        <v>532</v>
      </c>
      <c r="I11" s="676" t="s">
        <v>533</v>
      </c>
      <c r="J11" s="676" t="s">
        <v>533</v>
      </c>
      <c r="K11" s="676"/>
    </row>
    <row r="12" spans="1:18" ht="13">
      <c r="A12" s="670" t="s">
        <v>527</v>
      </c>
      <c r="B12" s="680"/>
      <c r="C12" s="680"/>
      <c r="D12" s="680"/>
      <c r="E12" s="679">
        <v>2.0238095238095237</v>
      </c>
      <c r="F12" s="679"/>
      <c r="G12" s="679">
        <v>4.0476190476190474</v>
      </c>
      <c r="H12" s="679">
        <v>2.8571428571428572</v>
      </c>
      <c r="I12" s="679">
        <v>7.5</v>
      </c>
      <c r="J12" s="679">
        <v>15.714285714285714</v>
      </c>
      <c r="K12" s="680" t="s">
        <v>105</v>
      </c>
      <c r="L12" s="502"/>
    </row>
    <row r="13" spans="1:18" ht="13">
      <c r="A13" s="672" t="s">
        <v>528</v>
      </c>
      <c r="B13" s="682"/>
      <c r="C13" s="682"/>
      <c r="D13" s="682"/>
      <c r="E13" s="682">
        <v>160</v>
      </c>
      <c r="F13" s="682"/>
      <c r="G13" s="682">
        <v>50</v>
      </c>
      <c r="H13" s="682">
        <v>318</v>
      </c>
      <c r="I13" s="682">
        <v>175</v>
      </c>
      <c r="J13" s="682">
        <v>220</v>
      </c>
      <c r="K13" s="682" t="s">
        <v>529</v>
      </c>
      <c r="L13" s="502"/>
    </row>
    <row r="14" spans="1:18" ht="13">
      <c r="A14" s="674" t="s">
        <v>530</v>
      </c>
      <c r="B14" s="683"/>
      <c r="C14" s="683"/>
      <c r="D14" s="683"/>
      <c r="E14" s="683">
        <v>300</v>
      </c>
      <c r="F14" s="683"/>
      <c r="G14" s="683">
        <v>1000</v>
      </c>
      <c r="H14" s="683">
        <v>1282</v>
      </c>
      <c r="I14" s="683">
        <v>550</v>
      </c>
      <c r="J14" s="683">
        <v>240</v>
      </c>
      <c r="K14" s="683" t="s">
        <v>529</v>
      </c>
      <c r="L14" s="502"/>
    </row>
    <row r="15" spans="1:18" ht="13">
      <c r="A15" s="692" t="s">
        <v>547</v>
      </c>
      <c r="B15" s="676"/>
      <c r="C15" s="676"/>
      <c r="D15" s="676"/>
      <c r="E15" s="676" t="s">
        <v>534</v>
      </c>
      <c r="F15" s="676" t="s">
        <v>534</v>
      </c>
      <c r="G15" s="677"/>
      <c r="H15" s="677"/>
      <c r="I15" s="677"/>
      <c r="J15" s="677"/>
      <c r="K15" s="677"/>
      <c r="L15" s="502"/>
    </row>
    <row r="16" spans="1:18" ht="13">
      <c r="A16" s="670" t="s">
        <v>527</v>
      </c>
      <c r="B16" s="680"/>
      <c r="C16" s="680"/>
      <c r="D16" s="680"/>
      <c r="E16" s="679">
        <v>2.8571428571428572</v>
      </c>
      <c r="F16" s="679">
        <v>2.8571428571428572</v>
      </c>
      <c r="G16" s="680"/>
      <c r="H16" s="680"/>
      <c r="I16" s="680"/>
      <c r="J16" s="680"/>
      <c r="K16" s="680" t="s">
        <v>105</v>
      </c>
      <c r="L16" s="502"/>
    </row>
    <row r="17" spans="1:16384" ht="13">
      <c r="A17" s="672" t="s">
        <v>528</v>
      </c>
      <c r="B17" s="682"/>
      <c r="C17" s="682"/>
      <c r="D17" s="682"/>
      <c r="E17" s="682">
        <v>86</v>
      </c>
      <c r="F17" s="682">
        <v>86</v>
      </c>
      <c r="G17" s="682"/>
      <c r="H17" s="682"/>
      <c r="I17" s="682"/>
      <c r="J17" s="682"/>
      <c r="K17" s="682" t="s">
        <v>529</v>
      </c>
      <c r="L17" s="502"/>
    </row>
    <row r="18" spans="1:16384" ht="13">
      <c r="A18" s="674" t="s">
        <v>530</v>
      </c>
      <c r="B18" s="683"/>
      <c r="C18" s="683"/>
      <c r="D18" s="683"/>
      <c r="E18" s="683">
        <v>789</v>
      </c>
      <c r="F18" s="683">
        <v>789</v>
      </c>
      <c r="G18" s="683"/>
      <c r="H18" s="683"/>
      <c r="I18" s="683"/>
      <c r="J18" s="683"/>
      <c r="K18" s="683" t="s">
        <v>529</v>
      </c>
      <c r="L18" s="502"/>
    </row>
    <row r="19" spans="1:16384" ht="13">
      <c r="A19" s="692" t="s">
        <v>546</v>
      </c>
      <c r="B19" s="676"/>
      <c r="C19" s="676"/>
      <c r="D19" s="676"/>
      <c r="E19" s="676" t="s">
        <v>548</v>
      </c>
      <c r="F19" s="676" t="s">
        <v>548</v>
      </c>
      <c r="G19" s="676"/>
      <c r="H19" s="676"/>
      <c r="I19" s="676"/>
      <c r="J19" s="676"/>
      <c r="K19" s="676"/>
      <c r="L19" s="502"/>
    </row>
    <row r="20" spans="1:16384" ht="13">
      <c r="A20" s="670" t="s">
        <v>527</v>
      </c>
      <c r="B20" s="680"/>
      <c r="C20" s="680"/>
      <c r="D20" s="680"/>
      <c r="E20" s="679">
        <v>5</v>
      </c>
      <c r="F20" s="679">
        <v>5</v>
      </c>
      <c r="G20" s="679"/>
      <c r="H20" s="679"/>
      <c r="I20" s="679"/>
      <c r="J20" s="679"/>
      <c r="K20" s="680" t="s">
        <v>105</v>
      </c>
      <c r="L20" s="502"/>
    </row>
    <row r="21" spans="1:16384" ht="13">
      <c r="A21" s="672" t="s">
        <v>528</v>
      </c>
      <c r="B21" s="682"/>
      <c r="C21" s="682"/>
      <c r="D21" s="682"/>
      <c r="E21" s="682">
        <v>90</v>
      </c>
      <c r="F21" s="682">
        <v>90</v>
      </c>
      <c r="G21" s="682"/>
      <c r="H21" s="682"/>
      <c r="I21" s="682"/>
      <c r="J21" s="682"/>
      <c r="K21" s="682" t="s">
        <v>529</v>
      </c>
      <c r="L21" s="502"/>
    </row>
    <row r="22" spans="1:16384" ht="13">
      <c r="A22" s="674" t="s">
        <v>530</v>
      </c>
      <c r="B22" s="683"/>
      <c r="C22" s="683"/>
      <c r="D22" s="683"/>
      <c r="E22" s="683">
        <v>750</v>
      </c>
      <c r="F22" s="683">
        <v>750</v>
      </c>
      <c r="G22" s="683"/>
      <c r="H22" s="683"/>
      <c r="I22" s="683"/>
      <c r="J22" s="683"/>
      <c r="K22" s="683" t="s">
        <v>529</v>
      </c>
      <c r="L22" s="502"/>
    </row>
    <row r="23" spans="1:16384" ht="13">
      <c r="A23" s="691" t="s">
        <v>535</v>
      </c>
      <c r="B23" s="689" t="s">
        <v>536</v>
      </c>
      <c r="C23" s="689" t="s">
        <v>536</v>
      </c>
      <c r="D23" s="689"/>
      <c r="E23" s="689" t="s">
        <v>536</v>
      </c>
      <c r="F23" s="689"/>
      <c r="G23" s="690"/>
      <c r="H23" s="690"/>
      <c r="I23" s="690"/>
      <c r="J23" s="690"/>
      <c r="K23" s="690"/>
      <c r="L23" s="502"/>
    </row>
    <row r="24" spans="1:16384" ht="13">
      <c r="A24" s="670" t="s">
        <v>527</v>
      </c>
      <c r="B24" s="679">
        <v>0.95238095238095233</v>
      </c>
      <c r="C24" s="679">
        <v>1.1904761904761905</v>
      </c>
      <c r="D24" s="679"/>
      <c r="E24" s="679">
        <v>2.8571428571428572</v>
      </c>
      <c r="F24" s="679"/>
      <c r="G24" s="680"/>
      <c r="H24" s="680"/>
      <c r="I24" s="680"/>
      <c r="J24" s="680"/>
      <c r="K24" s="680" t="s">
        <v>105</v>
      </c>
      <c r="L24" s="502"/>
    </row>
    <row r="25" spans="1:16384" ht="13">
      <c r="A25" s="672" t="s">
        <v>528</v>
      </c>
      <c r="B25" s="682">
        <v>120</v>
      </c>
      <c r="C25" s="682">
        <v>100</v>
      </c>
      <c r="D25" s="682"/>
      <c r="E25" s="682">
        <v>90</v>
      </c>
      <c r="F25" s="682"/>
      <c r="G25" s="682"/>
      <c r="H25" s="682"/>
      <c r="I25" s="682"/>
      <c r="J25" s="682"/>
      <c r="K25" s="682" t="s">
        <v>529</v>
      </c>
      <c r="L25" s="502"/>
    </row>
    <row r="26" spans="1:16384" ht="13">
      <c r="A26" s="674" t="s">
        <v>530</v>
      </c>
      <c r="B26" s="683">
        <v>455</v>
      </c>
      <c r="C26" s="683">
        <v>1400</v>
      </c>
      <c r="D26" s="683"/>
      <c r="E26" s="683">
        <v>785</v>
      </c>
      <c r="F26" s="683"/>
      <c r="G26" s="683"/>
      <c r="H26" s="683"/>
      <c r="I26" s="683"/>
      <c r="J26" s="683"/>
      <c r="K26" s="683" t="s">
        <v>529</v>
      </c>
      <c r="L26" s="502"/>
    </row>
    <row r="27" spans="1:16384" s="675" customFormat="1" ht="20" customHeight="1">
      <c r="A27" s="915" t="s">
        <v>652</v>
      </c>
      <c r="B27" s="914"/>
      <c r="C27" s="914"/>
      <c r="D27" s="914"/>
      <c r="E27" s="914"/>
      <c r="F27" s="914"/>
      <c r="G27" s="914"/>
      <c r="H27" s="914"/>
      <c r="I27" s="911"/>
      <c r="J27" s="911"/>
      <c r="K27" s="911"/>
      <c r="L27" s="915"/>
      <c r="M27" s="914"/>
      <c r="N27" s="914"/>
      <c r="O27" s="914"/>
      <c r="P27" s="914"/>
      <c r="Q27" s="914"/>
      <c r="R27" s="914"/>
      <c r="S27" s="914"/>
      <c r="T27" s="911"/>
      <c r="U27" s="911"/>
      <c r="V27" s="911"/>
      <c r="W27" s="915"/>
      <c r="X27" s="914"/>
      <c r="Y27" s="914"/>
      <c r="Z27" s="914"/>
      <c r="AA27" s="914"/>
      <c r="AB27" s="914"/>
      <c r="AC27" s="914"/>
      <c r="AD27" s="914"/>
      <c r="AE27" s="911"/>
      <c r="AF27" s="911"/>
      <c r="AG27" s="911"/>
      <c r="AH27" s="915"/>
      <c r="AI27" s="914"/>
      <c r="AJ27" s="914"/>
      <c r="AK27" s="914"/>
      <c r="AL27" s="914"/>
      <c r="AM27" s="914"/>
      <c r="AN27" s="914"/>
      <c r="AO27" s="914"/>
      <c r="AP27" s="911"/>
      <c r="AQ27" s="911"/>
      <c r="AR27" s="911"/>
      <c r="AS27" s="915"/>
      <c r="AT27" s="914"/>
      <c r="AU27" s="914"/>
      <c r="AV27" s="914"/>
      <c r="AW27" s="914"/>
      <c r="AX27" s="914"/>
      <c r="AY27" s="914"/>
      <c r="AZ27" s="914"/>
      <c r="BA27" s="911"/>
      <c r="BB27" s="911"/>
      <c r="BC27" s="911"/>
      <c r="BD27" s="915"/>
      <c r="BE27" s="914"/>
      <c r="BF27" s="914"/>
      <c r="BG27" s="914"/>
      <c r="BH27" s="914"/>
      <c r="BI27" s="914"/>
      <c r="BJ27" s="914"/>
      <c r="BK27" s="914"/>
      <c r="BL27" s="911"/>
      <c r="BM27" s="911"/>
      <c r="BN27" s="911"/>
      <c r="BO27" s="915"/>
      <c r="BP27" s="914"/>
      <c r="BQ27" s="914"/>
      <c r="BR27" s="914"/>
      <c r="BS27" s="914"/>
      <c r="BT27" s="914"/>
      <c r="BU27" s="914"/>
      <c r="BV27" s="914"/>
      <c r="BW27" s="911"/>
      <c r="BX27" s="911"/>
      <c r="BY27" s="911"/>
      <c r="BZ27" s="915"/>
      <c r="CA27" s="914"/>
      <c r="CB27" s="914"/>
      <c r="CC27" s="914"/>
      <c r="CD27" s="914"/>
      <c r="CE27" s="914"/>
      <c r="CF27" s="914"/>
      <c r="CG27" s="914"/>
      <c r="CH27" s="911"/>
      <c r="CI27" s="911"/>
      <c r="CJ27" s="911"/>
      <c r="CK27" s="915"/>
      <c r="CL27" s="914"/>
      <c r="CM27" s="914"/>
      <c r="CN27" s="914"/>
      <c r="CO27" s="914"/>
      <c r="CP27" s="914"/>
      <c r="CQ27" s="914"/>
      <c r="CR27" s="914"/>
      <c r="CS27" s="911"/>
      <c r="CT27" s="911"/>
      <c r="CU27" s="911"/>
      <c r="CV27" s="915"/>
      <c r="CW27" s="914"/>
      <c r="CX27" s="914"/>
      <c r="CY27" s="914"/>
      <c r="CZ27" s="914"/>
      <c r="DA27" s="914"/>
      <c r="DB27" s="914"/>
      <c r="DC27" s="914"/>
      <c r="DD27" s="911"/>
      <c r="DE27" s="911"/>
      <c r="DF27" s="911"/>
      <c r="DG27" s="915"/>
      <c r="DH27" s="914"/>
      <c r="DI27" s="914"/>
      <c r="DJ27" s="914"/>
      <c r="DK27" s="914"/>
      <c r="DL27" s="914"/>
      <c r="DM27" s="914"/>
      <c r="DN27" s="914"/>
      <c r="DO27" s="911"/>
      <c r="DP27" s="911"/>
      <c r="DQ27" s="911"/>
      <c r="DR27" s="915"/>
      <c r="DS27" s="914"/>
      <c r="DT27" s="914"/>
      <c r="DU27" s="914"/>
      <c r="DV27" s="914"/>
      <c r="DW27" s="914"/>
      <c r="DX27" s="914"/>
      <c r="DY27" s="914"/>
      <c r="DZ27" s="911"/>
      <c r="EA27" s="911"/>
      <c r="EB27" s="911"/>
      <c r="EC27" s="915"/>
      <c r="ED27" s="914"/>
      <c r="EE27" s="914"/>
      <c r="EF27" s="914"/>
      <c r="EG27" s="914"/>
      <c r="EH27" s="914"/>
      <c r="EI27" s="914"/>
      <c r="EJ27" s="914"/>
      <c r="EK27" s="911"/>
      <c r="EL27" s="911"/>
      <c r="EM27" s="911"/>
      <c r="EN27" s="915"/>
      <c r="EO27" s="914"/>
      <c r="EP27" s="914"/>
      <c r="EQ27" s="914"/>
      <c r="ER27" s="914"/>
      <c r="ES27" s="914"/>
      <c r="ET27" s="914"/>
      <c r="EU27" s="914"/>
      <c r="EV27" s="911"/>
      <c r="EW27" s="911"/>
      <c r="EX27" s="911"/>
      <c r="EY27" s="915"/>
      <c r="EZ27" s="914"/>
      <c r="FA27" s="914"/>
      <c r="FB27" s="914"/>
      <c r="FC27" s="914"/>
      <c r="FD27" s="914"/>
      <c r="FE27" s="914"/>
      <c r="FF27" s="914"/>
      <c r="FG27" s="911"/>
      <c r="FH27" s="911"/>
      <c r="FI27" s="911"/>
      <c r="FJ27" s="915"/>
      <c r="FK27" s="914"/>
      <c r="FL27" s="914"/>
      <c r="FM27" s="914"/>
      <c r="FN27" s="914"/>
      <c r="FO27" s="914"/>
      <c r="FP27" s="914"/>
      <c r="FQ27" s="914"/>
      <c r="FR27" s="911"/>
      <c r="FS27" s="911"/>
      <c r="FT27" s="911"/>
      <c r="FU27" s="915"/>
      <c r="FV27" s="914"/>
      <c r="FW27" s="914"/>
      <c r="FX27" s="914"/>
      <c r="FY27" s="914"/>
      <c r="FZ27" s="914"/>
      <c r="GA27" s="914"/>
      <c r="GB27" s="914"/>
      <c r="GC27" s="911"/>
      <c r="GD27" s="911"/>
      <c r="GE27" s="911"/>
      <c r="GF27" s="915"/>
      <c r="GG27" s="914"/>
      <c r="GH27" s="914"/>
      <c r="GI27" s="914"/>
      <c r="GJ27" s="914"/>
      <c r="GK27" s="914"/>
      <c r="GL27" s="914"/>
      <c r="GM27" s="914"/>
      <c r="GN27" s="911"/>
      <c r="GO27" s="911"/>
      <c r="GP27" s="911"/>
      <c r="GQ27" s="915"/>
      <c r="GR27" s="914"/>
      <c r="GS27" s="914"/>
      <c r="GT27" s="914"/>
      <c r="GU27" s="914"/>
      <c r="GV27" s="914"/>
      <c r="GW27" s="914"/>
      <c r="GX27" s="914"/>
      <c r="GY27" s="911"/>
      <c r="GZ27" s="911"/>
      <c r="HA27" s="911"/>
      <c r="HB27" s="915"/>
      <c r="HC27" s="914"/>
      <c r="HD27" s="914"/>
      <c r="HE27" s="914"/>
      <c r="HF27" s="914"/>
      <c r="HG27" s="914"/>
      <c r="HH27" s="914"/>
      <c r="HI27" s="914"/>
      <c r="HJ27" s="911"/>
      <c r="HK27" s="911"/>
      <c r="HL27" s="911"/>
      <c r="HM27" s="915"/>
      <c r="HN27" s="914"/>
      <c r="HO27" s="914"/>
      <c r="HP27" s="914"/>
      <c r="HQ27" s="914"/>
      <c r="HR27" s="914"/>
      <c r="HS27" s="914"/>
      <c r="HT27" s="914"/>
      <c r="HU27" s="911"/>
      <c r="HV27" s="911"/>
      <c r="HW27" s="911"/>
      <c r="HX27" s="915"/>
      <c r="HY27" s="914"/>
      <c r="HZ27" s="914"/>
      <c r="IA27" s="914"/>
      <c r="IB27" s="914"/>
      <c r="IC27" s="914"/>
      <c r="ID27" s="914"/>
      <c r="IE27" s="914"/>
      <c r="IF27" s="911"/>
      <c r="IG27" s="911"/>
      <c r="IH27" s="911"/>
      <c r="II27" s="915"/>
      <c r="IJ27" s="914"/>
      <c r="IK27" s="914"/>
      <c r="IL27" s="914"/>
      <c r="IM27" s="914"/>
      <c r="IN27" s="914"/>
      <c r="IO27" s="914"/>
      <c r="IP27" s="914"/>
      <c r="IQ27" s="911"/>
      <c r="IR27" s="911"/>
      <c r="IS27" s="911"/>
      <c r="IT27" s="915"/>
      <c r="IU27" s="914"/>
      <c r="IV27" s="914"/>
      <c r="IW27" s="914"/>
      <c r="IX27" s="914"/>
      <c r="IY27" s="914"/>
      <c r="IZ27" s="914"/>
      <c r="JA27" s="914"/>
      <c r="JB27" s="911"/>
      <c r="JC27" s="911"/>
      <c r="JD27" s="911"/>
      <c r="JE27" s="915"/>
      <c r="JF27" s="914"/>
      <c r="JG27" s="914"/>
      <c r="JH27" s="914"/>
      <c r="JI27" s="914"/>
      <c r="JJ27" s="914"/>
      <c r="JK27" s="914"/>
      <c r="JL27" s="914"/>
      <c r="JM27" s="911"/>
      <c r="JN27" s="911"/>
      <c r="JO27" s="911"/>
      <c r="JP27" s="915"/>
      <c r="JQ27" s="914"/>
      <c r="JR27" s="914"/>
      <c r="JS27" s="914"/>
      <c r="JT27" s="914"/>
      <c r="JU27" s="914"/>
      <c r="JV27" s="914"/>
      <c r="JW27" s="914"/>
      <c r="JX27" s="911"/>
      <c r="JY27" s="911"/>
      <c r="JZ27" s="911"/>
      <c r="KA27" s="915"/>
      <c r="KB27" s="914"/>
      <c r="KC27" s="914"/>
      <c r="KD27" s="914"/>
      <c r="KE27" s="914"/>
      <c r="KF27" s="914"/>
      <c r="KG27" s="914"/>
      <c r="KH27" s="914"/>
      <c r="KI27" s="911"/>
      <c r="KJ27" s="911"/>
      <c r="KK27" s="911"/>
      <c r="KL27" s="915"/>
      <c r="KM27" s="914"/>
      <c r="KN27" s="914"/>
      <c r="KO27" s="914"/>
      <c r="KP27" s="914"/>
      <c r="KQ27" s="914"/>
      <c r="KR27" s="914"/>
      <c r="KS27" s="914"/>
      <c r="KT27" s="911"/>
      <c r="KU27" s="911"/>
      <c r="KV27" s="911"/>
      <c r="KW27" s="915"/>
      <c r="KX27" s="914"/>
      <c r="KY27" s="914"/>
      <c r="KZ27" s="914"/>
      <c r="LA27" s="914"/>
      <c r="LB27" s="914"/>
      <c r="LC27" s="914"/>
      <c r="LD27" s="914"/>
      <c r="LE27" s="911"/>
      <c r="LF27" s="911"/>
      <c r="LG27" s="911"/>
      <c r="LH27" s="915"/>
      <c r="LI27" s="914"/>
      <c r="LJ27" s="914"/>
      <c r="LK27" s="914"/>
      <c r="LL27" s="914"/>
      <c r="LM27" s="914"/>
      <c r="LN27" s="914"/>
      <c r="LO27" s="914"/>
      <c r="LP27" s="911"/>
      <c r="LQ27" s="911"/>
      <c r="LR27" s="911"/>
      <c r="LS27" s="915"/>
      <c r="LT27" s="914"/>
      <c r="LU27" s="914"/>
      <c r="LV27" s="914"/>
      <c r="LW27" s="914"/>
      <c r="LX27" s="914"/>
      <c r="LY27" s="914"/>
      <c r="LZ27" s="914"/>
      <c r="MA27" s="911"/>
      <c r="MB27" s="911"/>
      <c r="MC27" s="911"/>
      <c r="MD27" s="915"/>
      <c r="ME27" s="914"/>
      <c r="MF27" s="914"/>
      <c r="MG27" s="914"/>
      <c r="MH27" s="914"/>
      <c r="MI27" s="914"/>
      <c r="MJ27" s="914"/>
      <c r="MK27" s="914"/>
      <c r="ML27" s="911"/>
      <c r="MM27" s="911"/>
      <c r="MN27" s="911"/>
      <c r="MO27" s="915"/>
      <c r="MP27" s="914"/>
      <c r="MQ27" s="914"/>
      <c r="MR27" s="914"/>
      <c r="MS27" s="914"/>
      <c r="MT27" s="914"/>
      <c r="MU27" s="914"/>
      <c r="MV27" s="914"/>
      <c r="MW27" s="911"/>
      <c r="MX27" s="911"/>
      <c r="MY27" s="911"/>
      <c r="MZ27" s="915"/>
      <c r="NA27" s="914"/>
      <c r="NB27" s="914"/>
      <c r="NC27" s="914"/>
      <c r="ND27" s="914"/>
      <c r="NE27" s="914"/>
      <c r="NF27" s="914"/>
      <c r="NG27" s="914"/>
      <c r="NH27" s="911"/>
      <c r="NI27" s="911"/>
      <c r="NJ27" s="911"/>
      <c r="NK27" s="915"/>
      <c r="NL27" s="914"/>
      <c r="NM27" s="914"/>
      <c r="NN27" s="914"/>
      <c r="NO27" s="914"/>
      <c r="NP27" s="914"/>
      <c r="NQ27" s="914"/>
      <c r="NR27" s="914"/>
      <c r="NS27" s="911"/>
      <c r="NT27" s="911"/>
      <c r="NU27" s="911"/>
      <c r="NV27" s="915"/>
      <c r="NW27" s="914"/>
      <c r="NX27" s="914"/>
      <c r="NY27" s="914"/>
      <c r="NZ27" s="914"/>
      <c r="OA27" s="914"/>
      <c r="OB27" s="914"/>
      <c r="OC27" s="914"/>
      <c r="OD27" s="911"/>
      <c r="OE27" s="911"/>
      <c r="OF27" s="911"/>
      <c r="OG27" s="915"/>
      <c r="OH27" s="914"/>
      <c r="OI27" s="914"/>
      <c r="OJ27" s="914"/>
      <c r="OK27" s="914"/>
      <c r="OL27" s="914"/>
      <c r="OM27" s="914"/>
      <c r="ON27" s="914"/>
      <c r="OO27" s="911"/>
      <c r="OP27" s="911"/>
      <c r="OQ27" s="911"/>
      <c r="OR27" s="915"/>
      <c r="OS27" s="914"/>
      <c r="OT27" s="914"/>
      <c r="OU27" s="914"/>
      <c r="OV27" s="914"/>
      <c r="OW27" s="914"/>
      <c r="OX27" s="914"/>
      <c r="OY27" s="914"/>
      <c r="OZ27" s="911"/>
      <c r="PA27" s="911"/>
      <c r="PB27" s="911"/>
      <c r="PC27" s="915"/>
      <c r="PD27" s="914"/>
      <c r="PE27" s="914"/>
      <c r="PF27" s="914"/>
      <c r="PG27" s="914"/>
      <c r="PH27" s="914"/>
      <c r="PI27" s="914"/>
      <c r="PJ27" s="914"/>
      <c r="PK27" s="911"/>
      <c r="PL27" s="911"/>
      <c r="PM27" s="911"/>
      <c r="PN27" s="915"/>
      <c r="PO27" s="914"/>
      <c r="PP27" s="914"/>
      <c r="PQ27" s="914"/>
      <c r="PR27" s="914"/>
      <c r="PS27" s="914"/>
      <c r="PT27" s="914"/>
      <c r="PU27" s="914"/>
      <c r="PV27" s="911"/>
      <c r="PW27" s="911"/>
      <c r="PX27" s="911"/>
      <c r="PY27" s="915"/>
      <c r="PZ27" s="914"/>
      <c r="QA27" s="914"/>
      <c r="QB27" s="914"/>
      <c r="QC27" s="914"/>
      <c r="QD27" s="914"/>
      <c r="QE27" s="914"/>
      <c r="QF27" s="914"/>
      <c r="QG27" s="911"/>
      <c r="QH27" s="911"/>
      <c r="QI27" s="911"/>
      <c r="QJ27" s="915"/>
      <c r="QK27" s="914"/>
      <c r="QL27" s="914"/>
      <c r="QM27" s="914"/>
      <c r="QN27" s="914"/>
      <c r="QO27" s="914"/>
      <c r="QP27" s="914"/>
      <c r="QQ27" s="914"/>
      <c r="QR27" s="911"/>
      <c r="QS27" s="911"/>
      <c r="QT27" s="911"/>
      <c r="QU27" s="915"/>
      <c r="QV27" s="914"/>
      <c r="QW27" s="914"/>
      <c r="QX27" s="914"/>
      <c r="QY27" s="914"/>
      <c r="QZ27" s="914"/>
      <c r="RA27" s="914"/>
      <c r="RB27" s="914"/>
      <c r="RC27" s="911"/>
      <c r="RD27" s="911"/>
      <c r="RE27" s="911"/>
      <c r="RF27" s="915"/>
      <c r="RG27" s="914"/>
      <c r="RH27" s="914"/>
      <c r="RI27" s="914"/>
      <c r="RJ27" s="914"/>
      <c r="RK27" s="914"/>
      <c r="RL27" s="914"/>
      <c r="RM27" s="914"/>
      <c r="RN27" s="911"/>
      <c r="RO27" s="911"/>
      <c r="RP27" s="911"/>
      <c r="RQ27" s="915"/>
      <c r="RR27" s="914"/>
      <c r="RS27" s="914"/>
      <c r="RT27" s="914"/>
      <c r="RU27" s="914"/>
      <c r="RV27" s="914"/>
      <c r="RW27" s="914"/>
      <c r="RX27" s="914"/>
      <c r="RY27" s="911"/>
      <c r="RZ27" s="911"/>
      <c r="SA27" s="911"/>
      <c r="SB27" s="915"/>
      <c r="SC27" s="914"/>
      <c r="SD27" s="914"/>
      <c r="SE27" s="914"/>
      <c r="SF27" s="914"/>
      <c r="SG27" s="914"/>
      <c r="SH27" s="914"/>
      <c r="SI27" s="914"/>
      <c r="SJ27" s="911"/>
      <c r="SK27" s="911"/>
      <c r="SL27" s="911"/>
      <c r="SM27" s="915"/>
      <c r="SN27" s="914"/>
      <c r="SO27" s="914"/>
      <c r="SP27" s="914"/>
      <c r="SQ27" s="914"/>
      <c r="SR27" s="914"/>
      <c r="SS27" s="914"/>
      <c r="ST27" s="914"/>
      <c r="SU27" s="911"/>
      <c r="SV27" s="911"/>
      <c r="SW27" s="911"/>
      <c r="SX27" s="915"/>
      <c r="SY27" s="914"/>
      <c r="SZ27" s="914"/>
      <c r="TA27" s="914"/>
      <c r="TB27" s="914"/>
      <c r="TC27" s="914"/>
      <c r="TD27" s="914"/>
      <c r="TE27" s="914"/>
      <c r="TF27" s="911"/>
      <c r="TG27" s="911"/>
      <c r="TH27" s="911"/>
      <c r="TI27" s="915"/>
      <c r="TJ27" s="914"/>
      <c r="TK27" s="914"/>
      <c r="TL27" s="914"/>
      <c r="TM27" s="914"/>
      <c r="TN27" s="914"/>
      <c r="TO27" s="914"/>
      <c r="TP27" s="914"/>
      <c r="TQ27" s="911"/>
      <c r="TR27" s="911"/>
      <c r="TS27" s="911"/>
      <c r="TT27" s="915"/>
      <c r="TU27" s="914"/>
      <c r="TV27" s="914"/>
      <c r="TW27" s="914"/>
      <c r="TX27" s="914"/>
      <c r="TY27" s="914"/>
      <c r="TZ27" s="914"/>
      <c r="UA27" s="914"/>
      <c r="UB27" s="911"/>
      <c r="UC27" s="911"/>
      <c r="UD27" s="911"/>
      <c r="UE27" s="915"/>
      <c r="UF27" s="914"/>
      <c r="UG27" s="914"/>
      <c r="UH27" s="914"/>
      <c r="UI27" s="914"/>
      <c r="UJ27" s="914"/>
      <c r="UK27" s="914"/>
      <c r="UL27" s="914"/>
      <c r="UM27" s="911"/>
      <c r="UN27" s="911"/>
      <c r="UO27" s="911"/>
      <c r="UP27" s="915"/>
      <c r="UQ27" s="914"/>
      <c r="UR27" s="914"/>
      <c r="US27" s="914"/>
      <c r="UT27" s="914"/>
      <c r="UU27" s="914"/>
      <c r="UV27" s="914"/>
      <c r="UW27" s="914"/>
      <c r="UX27" s="911"/>
      <c r="UY27" s="911"/>
      <c r="UZ27" s="911"/>
      <c r="VA27" s="915"/>
      <c r="VB27" s="914"/>
      <c r="VC27" s="914"/>
      <c r="VD27" s="914"/>
      <c r="VE27" s="914"/>
      <c r="VF27" s="914"/>
      <c r="VG27" s="914"/>
      <c r="VH27" s="914"/>
      <c r="VI27" s="911"/>
      <c r="VJ27" s="911"/>
      <c r="VK27" s="911"/>
      <c r="VL27" s="915"/>
      <c r="VM27" s="914"/>
      <c r="VN27" s="914"/>
      <c r="VO27" s="914"/>
      <c r="VP27" s="914"/>
      <c r="VQ27" s="914"/>
      <c r="VR27" s="914"/>
      <c r="VS27" s="914"/>
      <c r="VT27" s="911"/>
      <c r="VU27" s="911"/>
      <c r="VV27" s="911"/>
      <c r="VW27" s="915"/>
      <c r="VX27" s="914"/>
      <c r="VY27" s="914"/>
      <c r="VZ27" s="914"/>
      <c r="WA27" s="914"/>
      <c r="WB27" s="914"/>
      <c r="WC27" s="914"/>
      <c r="WD27" s="914"/>
      <c r="WE27" s="911"/>
      <c r="WF27" s="911"/>
      <c r="WG27" s="911"/>
      <c r="WH27" s="915"/>
      <c r="WI27" s="914"/>
      <c r="WJ27" s="914"/>
      <c r="WK27" s="914"/>
      <c r="WL27" s="914"/>
      <c r="WM27" s="914"/>
      <c r="WN27" s="914"/>
      <c r="WO27" s="914"/>
      <c r="WP27" s="911"/>
      <c r="WQ27" s="911"/>
      <c r="WR27" s="911"/>
      <c r="WS27" s="915"/>
      <c r="WT27" s="914"/>
      <c r="WU27" s="914"/>
      <c r="WV27" s="914"/>
      <c r="WW27" s="914"/>
      <c r="WX27" s="914"/>
      <c r="WY27" s="914"/>
      <c r="WZ27" s="914"/>
      <c r="XA27" s="911"/>
      <c r="XB27" s="911"/>
      <c r="XC27" s="911"/>
      <c r="XD27" s="915"/>
      <c r="XE27" s="914"/>
      <c r="XF27" s="914"/>
      <c r="XG27" s="914"/>
      <c r="XH27" s="914"/>
      <c r="XI27" s="914"/>
      <c r="XJ27" s="914"/>
      <c r="XK27" s="914"/>
      <c r="XL27" s="911"/>
      <c r="XM27" s="911"/>
      <c r="XN27" s="911"/>
      <c r="XO27" s="915"/>
      <c r="XP27" s="914"/>
      <c r="XQ27" s="914"/>
      <c r="XR27" s="914"/>
      <c r="XS27" s="914"/>
      <c r="XT27" s="914"/>
      <c r="XU27" s="914"/>
      <c r="XV27" s="914"/>
      <c r="XW27" s="911"/>
      <c r="XX27" s="911"/>
      <c r="XY27" s="911"/>
      <c r="XZ27" s="915"/>
      <c r="YA27" s="914"/>
      <c r="YB27" s="914"/>
      <c r="YC27" s="914"/>
      <c r="YD27" s="914"/>
      <c r="YE27" s="914"/>
      <c r="YF27" s="914"/>
      <c r="YG27" s="914"/>
      <c r="YH27" s="911"/>
      <c r="YI27" s="911"/>
      <c r="YJ27" s="911"/>
      <c r="YK27" s="915"/>
      <c r="YL27" s="914"/>
      <c r="YM27" s="914"/>
      <c r="YN27" s="914"/>
      <c r="YO27" s="914"/>
      <c r="YP27" s="914"/>
      <c r="YQ27" s="914"/>
      <c r="YR27" s="914"/>
      <c r="YS27" s="911"/>
      <c r="YT27" s="911"/>
      <c r="YU27" s="911"/>
      <c r="YV27" s="915"/>
      <c r="YW27" s="914"/>
      <c r="YX27" s="914"/>
      <c r="YY27" s="914"/>
      <c r="YZ27" s="914"/>
      <c r="ZA27" s="914"/>
      <c r="ZB27" s="914"/>
      <c r="ZC27" s="914"/>
      <c r="ZD27" s="911"/>
      <c r="ZE27" s="911"/>
      <c r="ZF27" s="911"/>
      <c r="ZG27" s="915"/>
      <c r="ZH27" s="914"/>
      <c r="ZI27" s="914"/>
      <c r="ZJ27" s="914"/>
      <c r="ZK27" s="914"/>
      <c r="ZL27" s="914"/>
      <c r="ZM27" s="914"/>
      <c r="ZN27" s="914"/>
      <c r="ZO27" s="911"/>
      <c r="ZP27" s="911"/>
      <c r="ZQ27" s="911"/>
      <c r="ZR27" s="915"/>
      <c r="ZS27" s="914"/>
      <c r="ZT27" s="914"/>
      <c r="ZU27" s="914"/>
      <c r="ZV27" s="914"/>
      <c r="ZW27" s="914"/>
      <c r="ZX27" s="914"/>
      <c r="ZY27" s="914"/>
      <c r="ZZ27" s="911"/>
      <c r="AAA27" s="911"/>
      <c r="AAB27" s="911"/>
      <c r="AAC27" s="915"/>
      <c r="AAD27" s="914"/>
      <c r="AAE27" s="914"/>
      <c r="AAF27" s="914"/>
      <c r="AAG27" s="914"/>
      <c r="AAH27" s="914"/>
      <c r="AAI27" s="914"/>
      <c r="AAJ27" s="914"/>
      <c r="AAK27" s="911"/>
      <c r="AAL27" s="911"/>
      <c r="AAM27" s="911"/>
      <c r="AAN27" s="915"/>
      <c r="AAO27" s="914"/>
      <c r="AAP27" s="914"/>
      <c r="AAQ27" s="914"/>
      <c r="AAR27" s="914"/>
      <c r="AAS27" s="914"/>
      <c r="AAT27" s="914"/>
      <c r="AAU27" s="914"/>
      <c r="AAV27" s="911"/>
      <c r="AAW27" s="911"/>
      <c r="AAX27" s="911"/>
      <c r="AAY27" s="915"/>
      <c r="AAZ27" s="914"/>
      <c r="ABA27" s="914"/>
      <c r="ABB27" s="914"/>
      <c r="ABC27" s="914"/>
      <c r="ABD27" s="914"/>
      <c r="ABE27" s="914"/>
      <c r="ABF27" s="914"/>
      <c r="ABG27" s="911"/>
      <c r="ABH27" s="911"/>
      <c r="ABI27" s="911"/>
      <c r="ABJ27" s="915"/>
      <c r="ABK27" s="914"/>
      <c r="ABL27" s="914"/>
      <c r="ABM27" s="914"/>
      <c r="ABN27" s="914"/>
      <c r="ABO27" s="914"/>
      <c r="ABP27" s="914"/>
      <c r="ABQ27" s="914"/>
      <c r="ABR27" s="911"/>
      <c r="ABS27" s="911"/>
      <c r="ABT27" s="911"/>
      <c r="ABU27" s="915"/>
      <c r="ABV27" s="914"/>
      <c r="ABW27" s="914"/>
      <c r="ABX27" s="914"/>
      <c r="ABY27" s="914"/>
      <c r="ABZ27" s="914"/>
      <c r="ACA27" s="914"/>
      <c r="ACB27" s="914"/>
      <c r="ACC27" s="911"/>
      <c r="ACD27" s="911"/>
      <c r="ACE27" s="911"/>
      <c r="ACF27" s="915"/>
      <c r="ACG27" s="914"/>
      <c r="ACH27" s="914"/>
      <c r="ACI27" s="914"/>
      <c r="ACJ27" s="914"/>
      <c r="ACK27" s="914"/>
      <c r="ACL27" s="914"/>
      <c r="ACM27" s="914"/>
      <c r="ACN27" s="911"/>
      <c r="ACO27" s="911"/>
      <c r="ACP27" s="911"/>
      <c r="ACQ27" s="915"/>
      <c r="ACR27" s="914"/>
      <c r="ACS27" s="914"/>
      <c r="ACT27" s="914"/>
      <c r="ACU27" s="914"/>
      <c r="ACV27" s="914"/>
      <c r="ACW27" s="914"/>
      <c r="ACX27" s="914"/>
      <c r="ACY27" s="911"/>
      <c r="ACZ27" s="911"/>
      <c r="ADA27" s="911"/>
      <c r="ADB27" s="915"/>
      <c r="ADC27" s="914"/>
      <c r="ADD27" s="914"/>
      <c r="ADE27" s="914"/>
      <c r="ADF27" s="914"/>
      <c r="ADG27" s="914"/>
      <c r="ADH27" s="914"/>
      <c r="ADI27" s="914"/>
      <c r="ADJ27" s="911"/>
      <c r="ADK27" s="911"/>
      <c r="ADL27" s="911"/>
      <c r="ADM27" s="915"/>
      <c r="ADN27" s="914"/>
      <c r="ADO27" s="914"/>
      <c r="ADP27" s="914"/>
      <c r="ADQ27" s="914"/>
      <c r="ADR27" s="914"/>
      <c r="ADS27" s="914"/>
      <c r="ADT27" s="914"/>
      <c r="ADU27" s="911"/>
      <c r="ADV27" s="911"/>
      <c r="ADW27" s="911"/>
      <c r="ADX27" s="915"/>
      <c r="ADY27" s="914"/>
      <c r="ADZ27" s="914"/>
      <c r="AEA27" s="914"/>
      <c r="AEB27" s="914"/>
      <c r="AEC27" s="914"/>
      <c r="AED27" s="914"/>
      <c r="AEE27" s="914"/>
      <c r="AEF27" s="911"/>
      <c r="AEG27" s="911"/>
      <c r="AEH27" s="911"/>
      <c r="AEI27" s="915"/>
      <c r="AEJ27" s="914"/>
      <c r="AEK27" s="914"/>
      <c r="AEL27" s="914"/>
      <c r="AEM27" s="914"/>
      <c r="AEN27" s="914"/>
      <c r="AEO27" s="914"/>
      <c r="AEP27" s="914"/>
      <c r="AEQ27" s="911"/>
      <c r="AER27" s="911"/>
      <c r="AES27" s="911"/>
      <c r="AET27" s="915"/>
      <c r="AEU27" s="914"/>
      <c r="AEV27" s="914"/>
      <c r="AEW27" s="914"/>
      <c r="AEX27" s="914"/>
      <c r="AEY27" s="914"/>
      <c r="AEZ27" s="914"/>
      <c r="AFA27" s="914"/>
      <c r="AFB27" s="911"/>
      <c r="AFC27" s="911"/>
      <c r="AFD27" s="911"/>
      <c r="AFE27" s="915"/>
      <c r="AFF27" s="914"/>
      <c r="AFG27" s="914"/>
      <c r="AFH27" s="914"/>
      <c r="AFI27" s="914"/>
      <c r="AFJ27" s="914"/>
      <c r="AFK27" s="914"/>
      <c r="AFL27" s="914"/>
      <c r="AFM27" s="911"/>
      <c r="AFN27" s="911"/>
      <c r="AFO27" s="911"/>
      <c r="AFP27" s="915"/>
      <c r="AFQ27" s="914"/>
      <c r="AFR27" s="914"/>
      <c r="AFS27" s="914"/>
      <c r="AFT27" s="914"/>
      <c r="AFU27" s="914"/>
      <c r="AFV27" s="914"/>
      <c r="AFW27" s="914"/>
      <c r="AFX27" s="911"/>
      <c r="AFY27" s="911"/>
      <c r="AFZ27" s="911"/>
      <c r="AGA27" s="915"/>
      <c r="AGB27" s="914"/>
      <c r="AGC27" s="914"/>
      <c r="AGD27" s="914"/>
      <c r="AGE27" s="914"/>
      <c r="AGF27" s="914"/>
      <c r="AGG27" s="914"/>
      <c r="AGH27" s="914"/>
      <c r="AGI27" s="911"/>
      <c r="AGJ27" s="911"/>
      <c r="AGK27" s="911"/>
      <c r="AGL27" s="915"/>
      <c r="AGM27" s="914"/>
      <c r="AGN27" s="914"/>
      <c r="AGO27" s="914"/>
      <c r="AGP27" s="914"/>
      <c r="AGQ27" s="914"/>
      <c r="AGR27" s="914"/>
      <c r="AGS27" s="914"/>
      <c r="AGT27" s="911"/>
      <c r="AGU27" s="911"/>
      <c r="AGV27" s="911"/>
      <c r="AGW27" s="915"/>
      <c r="AGX27" s="914"/>
      <c r="AGY27" s="914"/>
      <c r="AGZ27" s="914"/>
      <c r="AHA27" s="914"/>
      <c r="AHB27" s="914"/>
      <c r="AHC27" s="914"/>
      <c r="AHD27" s="914"/>
      <c r="AHE27" s="911"/>
      <c r="AHF27" s="911"/>
      <c r="AHG27" s="911"/>
      <c r="AHH27" s="915"/>
      <c r="AHI27" s="914"/>
      <c r="AHJ27" s="914"/>
      <c r="AHK27" s="914"/>
      <c r="AHL27" s="914"/>
      <c r="AHM27" s="914"/>
      <c r="AHN27" s="914"/>
      <c r="AHO27" s="914"/>
      <c r="AHP27" s="911"/>
      <c r="AHQ27" s="911"/>
      <c r="AHR27" s="911"/>
      <c r="AHS27" s="915"/>
      <c r="AHT27" s="914"/>
      <c r="AHU27" s="914"/>
      <c r="AHV27" s="914"/>
      <c r="AHW27" s="914"/>
      <c r="AHX27" s="914"/>
      <c r="AHY27" s="914"/>
      <c r="AHZ27" s="914"/>
      <c r="AIA27" s="911"/>
      <c r="AIB27" s="911"/>
      <c r="AIC27" s="911"/>
      <c r="AID27" s="915"/>
      <c r="AIE27" s="914"/>
      <c r="AIF27" s="914"/>
      <c r="AIG27" s="914"/>
      <c r="AIH27" s="914"/>
      <c r="AII27" s="914"/>
      <c r="AIJ27" s="914"/>
      <c r="AIK27" s="914"/>
      <c r="AIL27" s="911"/>
      <c r="AIM27" s="911"/>
      <c r="AIN27" s="911"/>
      <c r="AIO27" s="915"/>
      <c r="AIP27" s="914"/>
      <c r="AIQ27" s="914"/>
      <c r="AIR27" s="914"/>
      <c r="AIS27" s="914"/>
      <c r="AIT27" s="914"/>
      <c r="AIU27" s="914"/>
      <c r="AIV27" s="914"/>
      <c r="AIW27" s="911"/>
      <c r="AIX27" s="911"/>
      <c r="AIY27" s="911"/>
      <c r="AIZ27" s="915"/>
      <c r="AJA27" s="914"/>
      <c r="AJB27" s="914"/>
      <c r="AJC27" s="914"/>
      <c r="AJD27" s="914"/>
      <c r="AJE27" s="914"/>
      <c r="AJF27" s="914"/>
      <c r="AJG27" s="914"/>
      <c r="AJH27" s="911"/>
      <c r="AJI27" s="911"/>
      <c r="AJJ27" s="911"/>
      <c r="AJK27" s="915"/>
      <c r="AJL27" s="914"/>
      <c r="AJM27" s="914"/>
      <c r="AJN27" s="914"/>
      <c r="AJO27" s="914"/>
      <c r="AJP27" s="914"/>
      <c r="AJQ27" s="914"/>
      <c r="AJR27" s="914"/>
      <c r="AJS27" s="911"/>
      <c r="AJT27" s="911"/>
      <c r="AJU27" s="911"/>
      <c r="AJV27" s="915"/>
      <c r="AJW27" s="914"/>
      <c r="AJX27" s="914"/>
      <c r="AJY27" s="914"/>
      <c r="AJZ27" s="914"/>
      <c r="AKA27" s="914"/>
      <c r="AKB27" s="914"/>
      <c r="AKC27" s="914"/>
      <c r="AKD27" s="911"/>
      <c r="AKE27" s="911"/>
      <c r="AKF27" s="911"/>
      <c r="AKG27" s="915"/>
      <c r="AKH27" s="914"/>
      <c r="AKI27" s="914"/>
      <c r="AKJ27" s="914"/>
      <c r="AKK27" s="914"/>
      <c r="AKL27" s="914"/>
      <c r="AKM27" s="914"/>
      <c r="AKN27" s="914"/>
      <c r="AKO27" s="911"/>
      <c r="AKP27" s="911"/>
      <c r="AKQ27" s="911"/>
      <c r="AKR27" s="915"/>
      <c r="AKS27" s="914"/>
      <c r="AKT27" s="914"/>
      <c r="AKU27" s="914"/>
      <c r="AKV27" s="914"/>
      <c r="AKW27" s="914"/>
      <c r="AKX27" s="914"/>
      <c r="AKY27" s="914"/>
      <c r="AKZ27" s="911"/>
      <c r="ALA27" s="911"/>
      <c r="ALB27" s="911"/>
      <c r="ALC27" s="915"/>
      <c r="ALD27" s="914"/>
      <c r="ALE27" s="914"/>
      <c r="ALF27" s="914"/>
      <c r="ALG27" s="914"/>
      <c r="ALH27" s="914"/>
      <c r="ALI27" s="914"/>
      <c r="ALJ27" s="914"/>
      <c r="ALK27" s="911"/>
      <c r="ALL27" s="911"/>
      <c r="ALM27" s="911"/>
      <c r="ALN27" s="915"/>
      <c r="ALO27" s="914"/>
      <c r="ALP27" s="914"/>
      <c r="ALQ27" s="914"/>
      <c r="ALR27" s="914"/>
      <c r="ALS27" s="914"/>
      <c r="ALT27" s="914"/>
      <c r="ALU27" s="914"/>
      <c r="ALV27" s="911"/>
      <c r="ALW27" s="911"/>
      <c r="ALX27" s="911"/>
      <c r="ALY27" s="915"/>
      <c r="ALZ27" s="914"/>
      <c r="AMA27" s="914"/>
      <c r="AMB27" s="914"/>
      <c r="AMC27" s="914"/>
      <c r="AMD27" s="914"/>
      <c r="AME27" s="914"/>
      <c r="AMF27" s="914"/>
      <c r="AMG27" s="911"/>
      <c r="AMH27" s="911"/>
      <c r="AMI27" s="911"/>
      <c r="AMJ27" s="915"/>
      <c r="AMK27" s="914"/>
      <c r="AML27" s="914"/>
      <c r="AMM27" s="914"/>
      <c r="AMN27" s="914"/>
      <c r="AMO27" s="914"/>
      <c r="AMP27" s="914"/>
      <c r="AMQ27" s="914"/>
      <c r="AMR27" s="911"/>
      <c r="AMS27" s="911"/>
      <c r="AMT27" s="911"/>
      <c r="AMU27" s="915"/>
      <c r="AMV27" s="914"/>
      <c r="AMW27" s="914"/>
      <c r="AMX27" s="914"/>
      <c r="AMY27" s="914"/>
      <c r="AMZ27" s="914"/>
      <c r="ANA27" s="914"/>
      <c r="ANB27" s="914"/>
      <c r="ANC27" s="911"/>
      <c r="AND27" s="911"/>
      <c r="ANE27" s="911"/>
      <c r="ANF27" s="915"/>
      <c r="ANG27" s="914"/>
      <c r="ANH27" s="914"/>
      <c r="ANI27" s="914"/>
      <c r="ANJ27" s="914"/>
      <c r="ANK27" s="914"/>
      <c r="ANL27" s="914"/>
      <c r="ANM27" s="914"/>
      <c r="ANN27" s="911"/>
      <c r="ANO27" s="911"/>
      <c r="ANP27" s="911"/>
      <c r="ANQ27" s="915"/>
      <c r="ANR27" s="914"/>
      <c r="ANS27" s="914"/>
      <c r="ANT27" s="914"/>
      <c r="ANU27" s="914"/>
      <c r="ANV27" s="914"/>
      <c r="ANW27" s="914"/>
      <c r="ANX27" s="914"/>
      <c r="ANY27" s="911"/>
      <c r="ANZ27" s="911"/>
      <c r="AOA27" s="911"/>
      <c r="AOB27" s="915"/>
      <c r="AOC27" s="914"/>
      <c r="AOD27" s="914"/>
      <c r="AOE27" s="914"/>
      <c r="AOF27" s="914"/>
      <c r="AOG27" s="914"/>
      <c r="AOH27" s="914"/>
      <c r="AOI27" s="914"/>
      <c r="AOJ27" s="911"/>
      <c r="AOK27" s="911"/>
      <c r="AOL27" s="911"/>
      <c r="AOM27" s="915"/>
      <c r="AON27" s="914"/>
      <c r="AOO27" s="914"/>
      <c r="AOP27" s="914"/>
      <c r="AOQ27" s="914"/>
      <c r="AOR27" s="914"/>
      <c r="AOS27" s="914"/>
      <c r="AOT27" s="914"/>
      <c r="AOU27" s="911"/>
      <c r="AOV27" s="911"/>
      <c r="AOW27" s="911"/>
      <c r="AOX27" s="915"/>
      <c r="AOY27" s="914"/>
      <c r="AOZ27" s="914"/>
      <c r="APA27" s="914"/>
      <c r="APB27" s="914"/>
      <c r="APC27" s="914"/>
      <c r="APD27" s="914"/>
      <c r="APE27" s="914"/>
      <c r="APF27" s="911"/>
      <c r="APG27" s="911"/>
      <c r="APH27" s="911"/>
      <c r="API27" s="915"/>
      <c r="APJ27" s="914"/>
      <c r="APK27" s="914"/>
      <c r="APL27" s="914"/>
      <c r="APM27" s="914"/>
      <c r="APN27" s="914"/>
      <c r="APO27" s="914"/>
      <c r="APP27" s="914"/>
      <c r="APQ27" s="911"/>
      <c r="APR27" s="911"/>
      <c r="APS27" s="911"/>
      <c r="APT27" s="915"/>
      <c r="APU27" s="914"/>
      <c r="APV27" s="914"/>
      <c r="APW27" s="914"/>
      <c r="APX27" s="914"/>
      <c r="APY27" s="914"/>
      <c r="APZ27" s="914"/>
      <c r="AQA27" s="914"/>
      <c r="AQB27" s="911"/>
      <c r="AQC27" s="911"/>
      <c r="AQD27" s="911"/>
      <c r="AQE27" s="915"/>
      <c r="AQF27" s="914"/>
      <c r="AQG27" s="914"/>
      <c r="AQH27" s="914"/>
      <c r="AQI27" s="914"/>
      <c r="AQJ27" s="914"/>
      <c r="AQK27" s="914"/>
      <c r="AQL27" s="914"/>
      <c r="AQM27" s="911"/>
      <c r="AQN27" s="911"/>
      <c r="AQO27" s="911"/>
      <c r="AQP27" s="915"/>
      <c r="AQQ27" s="914"/>
      <c r="AQR27" s="914"/>
      <c r="AQS27" s="914"/>
      <c r="AQT27" s="914"/>
      <c r="AQU27" s="914"/>
      <c r="AQV27" s="914"/>
      <c r="AQW27" s="914"/>
      <c r="AQX27" s="911"/>
      <c r="AQY27" s="911"/>
      <c r="AQZ27" s="911"/>
      <c r="ARA27" s="915"/>
      <c r="ARB27" s="914"/>
      <c r="ARC27" s="914"/>
      <c r="ARD27" s="914"/>
      <c r="ARE27" s="914"/>
      <c r="ARF27" s="914"/>
      <c r="ARG27" s="914"/>
      <c r="ARH27" s="914"/>
      <c r="ARI27" s="911"/>
      <c r="ARJ27" s="911"/>
      <c r="ARK27" s="911"/>
      <c r="ARL27" s="915"/>
      <c r="ARM27" s="914"/>
      <c r="ARN27" s="914"/>
      <c r="ARO27" s="914"/>
      <c r="ARP27" s="914"/>
      <c r="ARQ27" s="914"/>
      <c r="ARR27" s="914"/>
      <c r="ARS27" s="914"/>
      <c r="ART27" s="911"/>
      <c r="ARU27" s="911"/>
      <c r="ARV27" s="911"/>
      <c r="ARW27" s="915"/>
      <c r="ARX27" s="914"/>
      <c r="ARY27" s="914"/>
      <c r="ARZ27" s="914"/>
      <c r="ASA27" s="914"/>
      <c r="ASB27" s="914"/>
      <c r="ASC27" s="914"/>
      <c r="ASD27" s="914"/>
      <c r="ASE27" s="911"/>
      <c r="ASF27" s="911"/>
      <c r="ASG27" s="911"/>
      <c r="ASH27" s="915"/>
      <c r="ASI27" s="914"/>
      <c r="ASJ27" s="914"/>
      <c r="ASK27" s="914"/>
      <c r="ASL27" s="914"/>
      <c r="ASM27" s="914"/>
      <c r="ASN27" s="914"/>
      <c r="ASO27" s="914"/>
      <c r="ASP27" s="911"/>
      <c r="ASQ27" s="911"/>
      <c r="ASR27" s="911"/>
      <c r="ASS27" s="915"/>
      <c r="AST27" s="914"/>
      <c r="ASU27" s="914"/>
      <c r="ASV27" s="914"/>
      <c r="ASW27" s="914"/>
      <c r="ASX27" s="914"/>
      <c r="ASY27" s="914"/>
      <c r="ASZ27" s="914"/>
      <c r="ATA27" s="911"/>
      <c r="ATB27" s="911"/>
      <c r="ATC27" s="911"/>
      <c r="ATD27" s="915"/>
      <c r="ATE27" s="914"/>
      <c r="ATF27" s="914"/>
      <c r="ATG27" s="914"/>
      <c r="ATH27" s="914"/>
      <c r="ATI27" s="914"/>
      <c r="ATJ27" s="914"/>
      <c r="ATK27" s="914"/>
      <c r="ATL27" s="911"/>
      <c r="ATM27" s="911"/>
      <c r="ATN27" s="911"/>
      <c r="ATO27" s="915"/>
      <c r="ATP27" s="914"/>
      <c r="ATQ27" s="914"/>
      <c r="ATR27" s="914"/>
      <c r="ATS27" s="914"/>
      <c r="ATT27" s="914"/>
      <c r="ATU27" s="914"/>
      <c r="ATV27" s="914"/>
      <c r="ATW27" s="911"/>
      <c r="ATX27" s="911"/>
      <c r="ATY27" s="911"/>
      <c r="ATZ27" s="915"/>
      <c r="AUA27" s="914"/>
      <c r="AUB27" s="914"/>
      <c r="AUC27" s="914"/>
      <c r="AUD27" s="914"/>
      <c r="AUE27" s="914"/>
      <c r="AUF27" s="914"/>
      <c r="AUG27" s="914"/>
      <c r="AUH27" s="911"/>
      <c r="AUI27" s="911"/>
      <c r="AUJ27" s="911"/>
      <c r="AUK27" s="915"/>
      <c r="AUL27" s="914"/>
      <c r="AUM27" s="914"/>
      <c r="AUN27" s="914"/>
      <c r="AUO27" s="914"/>
      <c r="AUP27" s="914"/>
      <c r="AUQ27" s="914"/>
      <c r="AUR27" s="914"/>
      <c r="AUS27" s="911"/>
      <c r="AUT27" s="911"/>
      <c r="AUU27" s="911"/>
      <c r="AUV27" s="915"/>
      <c r="AUW27" s="914"/>
      <c r="AUX27" s="914"/>
      <c r="AUY27" s="914"/>
      <c r="AUZ27" s="914"/>
      <c r="AVA27" s="914"/>
      <c r="AVB27" s="914"/>
      <c r="AVC27" s="914"/>
      <c r="AVD27" s="911"/>
      <c r="AVE27" s="911"/>
      <c r="AVF27" s="911"/>
      <c r="AVG27" s="915"/>
      <c r="AVH27" s="914"/>
      <c r="AVI27" s="914"/>
      <c r="AVJ27" s="914"/>
      <c r="AVK27" s="914"/>
      <c r="AVL27" s="914"/>
      <c r="AVM27" s="914"/>
      <c r="AVN27" s="914"/>
      <c r="AVO27" s="911"/>
      <c r="AVP27" s="911"/>
      <c r="AVQ27" s="911"/>
      <c r="AVR27" s="915"/>
      <c r="AVS27" s="914"/>
      <c r="AVT27" s="914"/>
      <c r="AVU27" s="914"/>
      <c r="AVV27" s="914"/>
      <c r="AVW27" s="914"/>
      <c r="AVX27" s="914"/>
      <c r="AVY27" s="914"/>
      <c r="AVZ27" s="911"/>
      <c r="AWA27" s="911"/>
      <c r="AWB27" s="911"/>
      <c r="AWC27" s="915"/>
      <c r="AWD27" s="914"/>
      <c r="AWE27" s="914"/>
      <c r="AWF27" s="914"/>
      <c r="AWG27" s="914"/>
      <c r="AWH27" s="914"/>
      <c r="AWI27" s="914"/>
      <c r="AWJ27" s="914"/>
      <c r="AWK27" s="911"/>
      <c r="AWL27" s="911"/>
      <c r="AWM27" s="911"/>
      <c r="AWN27" s="915"/>
      <c r="AWO27" s="914"/>
      <c r="AWP27" s="914"/>
      <c r="AWQ27" s="914"/>
      <c r="AWR27" s="914"/>
      <c r="AWS27" s="914"/>
      <c r="AWT27" s="914"/>
      <c r="AWU27" s="914"/>
      <c r="AWV27" s="911"/>
      <c r="AWW27" s="911"/>
      <c r="AWX27" s="911"/>
      <c r="AWY27" s="915"/>
      <c r="AWZ27" s="914"/>
      <c r="AXA27" s="914"/>
      <c r="AXB27" s="914"/>
      <c r="AXC27" s="914"/>
      <c r="AXD27" s="914"/>
      <c r="AXE27" s="914"/>
      <c r="AXF27" s="914"/>
      <c r="AXG27" s="911"/>
      <c r="AXH27" s="911"/>
      <c r="AXI27" s="911"/>
      <c r="AXJ27" s="915"/>
      <c r="AXK27" s="914"/>
      <c r="AXL27" s="914"/>
      <c r="AXM27" s="914"/>
      <c r="AXN27" s="914"/>
      <c r="AXO27" s="914"/>
      <c r="AXP27" s="914"/>
      <c r="AXQ27" s="914"/>
      <c r="AXR27" s="911"/>
      <c r="AXS27" s="911"/>
      <c r="AXT27" s="911"/>
      <c r="AXU27" s="915"/>
      <c r="AXV27" s="914"/>
      <c r="AXW27" s="914"/>
      <c r="AXX27" s="914"/>
      <c r="AXY27" s="914"/>
      <c r="AXZ27" s="914"/>
      <c r="AYA27" s="914"/>
      <c r="AYB27" s="914"/>
      <c r="AYC27" s="911"/>
      <c r="AYD27" s="911"/>
      <c r="AYE27" s="911"/>
      <c r="AYF27" s="915"/>
      <c r="AYG27" s="914"/>
      <c r="AYH27" s="914"/>
      <c r="AYI27" s="914"/>
      <c r="AYJ27" s="914"/>
      <c r="AYK27" s="914"/>
      <c r="AYL27" s="914"/>
      <c r="AYM27" s="914"/>
      <c r="AYN27" s="911"/>
      <c r="AYO27" s="911"/>
      <c r="AYP27" s="911"/>
      <c r="AYQ27" s="915"/>
      <c r="AYR27" s="914"/>
      <c r="AYS27" s="914"/>
      <c r="AYT27" s="914"/>
      <c r="AYU27" s="914"/>
      <c r="AYV27" s="914"/>
      <c r="AYW27" s="914"/>
      <c r="AYX27" s="914"/>
      <c r="AYY27" s="911"/>
      <c r="AYZ27" s="911"/>
      <c r="AZA27" s="911"/>
      <c r="AZB27" s="915"/>
      <c r="AZC27" s="914"/>
      <c r="AZD27" s="914"/>
      <c r="AZE27" s="914"/>
      <c r="AZF27" s="914"/>
      <c r="AZG27" s="914"/>
      <c r="AZH27" s="914"/>
      <c r="AZI27" s="914"/>
      <c r="AZJ27" s="911"/>
      <c r="AZK27" s="911"/>
      <c r="AZL27" s="911"/>
      <c r="AZM27" s="915"/>
      <c r="AZN27" s="914"/>
      <c r="AZO27" s="914"/>
      <c r="AZP27" s="914"/>
      <c r="AZQ27" s="914"/>
      <c r="AZR27" s="914"/>
      <c r="AZS27" s="914"/>
      <c r="AZT27" s="914"/>
      <c r="AZU27" s="911"/>
      <c r="AZV27" s="911"/>
      <c r="AZW27" s="911"/>
      <c r="AZX27" s="915"/>
      <c r="AZY27" s="914"/>
      <c r="AZZ27" s="914"/>
      <c r="BAA27" s="914"/>
      <c r="BAB27" s="914"/>
      <c r="BAC27" s="914"/>
      <c r="BAD27" s="914"/>
      <c r="BAE27" s="914"/>
      <c r="BAF27" s="911"/>
      <c r="BAG27" s="911"/>
      <c r="BAH27" s="911"/>
      <c r="BAI27" s="915"/>
      <c r="BAJ27" s="914"/>
      <c r="BAK27" s="914"/>
      <c r="BAL27" s="914"/>
      <c r="BAM27" s="914"/>
      <c r="BAN27" s="914"/>
      <c r="BAO27" s="914"/>
      <c r="BAP27" s="914"/>
      <c r="BAQ27" s="911"/>
      <c r="BAR27" s="911"/>
      <c r="BAS27" s="911"/>
      <c r="BAT27" s="915"/>
      <c r="BAU27" s="914"/>
      <c r="BAV27" s="914"/>
      <c r="BAW27" s="914"/>
      <c r="BAX27" s="914"/>
      <c r="BAY27" s="914"/>
      <c r="BAZ27" s="914"/>
      <c r="BBA27" s="914"/>
      <c r="BBB27" s="911"/>
      <c r="BBC27" s="911"/>
      <c r="BBD27" s="911"/>
      <c r="BBE27" s="915"/>
      <c r="BBF27" s="914"/>
      <c r="BBG27" s="914"/>
      <c r="BBH27" s="914"/>
      <c r="BBI27" s="914"/>
      <c r="BBJ27" s="914"/>
      <c r="BBK27" s="914"/>
      <c r="BBL27" s="914"/>
      <c r="BBM27" s="911"/>
      <c r="BBN27" s="911"/>
      <c r="BBO27" s="911"/>
      <c r="BBP27" s="915"/>
      <c r="BBQ27" s="914"/>
      <c r="BBR27" s="914"/>
      <c r="BBS27" s="914"/>
      <c r="BBT27" s="914"/>
      <c r="BBU27" s="914"/>
      <c r="BBV27" s="914"/>
      <c r="BBW27" s="914"/>
      <c r="BBX27" s="911"/>
      <c r="BBY27" s="911"/>
      <c r="BBZ27" s="911"/>
      <c r="BCA27" s="915"/>
      <c r="BCB27" s="914"/>
      <c r="BCC27" s="914"/>
      <c r="BCD27" s="914"/>
      <c r="BCE27" s="914"/>
      <c r="BCF27" s="914"/>
      <c r="BCG27" s="914"/>
      <c r="BCH27" s="914"/>
      <c r="BCI27" s="911"/>
      <c r="BCJ27" s="911"/>
      <c r="BCK27" s="911"/>
      <c r="BCL27" s="915"/>
      <c r="BCM27" s="914"/>
      <c r="BCN27" s="914"/>
      <c r="BCO27" s="914"/>
      <c r="BCP27" s="914"/>
      <c r="BCQ27" s="914"/>
      <c r="BCR27" s="914"/>
      <c r="BCS27" s="914"/>
      <c r="BCT27" s="911"/>
      <c r="BCU27" s="911"/>
      <c r="BCV27" s="911"/>
      <c r="BCW27" s="915"/>
      <c r="BCX27" s="914"/>
      <c r="BCY27" s="914"/>
      <c r="BCZ27" s="914"/>
      <c r="BDA27" s="914"/>
      <c r="BDB27" s="914"/>
      <c r="BDC27" s="914"/>
      <c r="BDD27" s="914"/>
      <c r="BDE27" s="911"/>
      <c r="BDF27" s="911"/>
      <c r="BDG27" s="911"/>
      <c r="BDH27" s="915"/>
      <c r="BDI27" s="914"/>
      <c r="BDJ27" s="914"/>
      <c r="BDK27" s="914"/>
      <c r="BDL27" s="914"/>
      <c r="BDM27" s="914"/>
      <c r="BDN27" s="914"/>
      <c r="BDO27" s="914"/>
      <c r="BDP27" s="911"/>
      <c r="BDQ27" s="911"/>
      <c r="BDR27" s="911"/>
      <c r="BDS27" s="915"/>
      <c r="BDT27" s="914"/>
      <c r="BDU27" s="914"/>
      <c r="BDV27" s="914"/>
      <c r="BDW27" s="914"/>
      <c r="BDX27" s="914"/>
      <c r="BDY27" s="914"/>
      <c r="BDZ27" s="914"/>
      <c r="BEA27" s="911"/>
      <c r="BEB27" s="911"/>
      <c r="BEC27" s="911"/>
      <c r="BED27" s="915"/>
      <c r="BEE27" s="914"/>
      <c r="BEF27" s="914"/>
      <c r="BEG27" s="914"/>
      <c r="BEH27" s="914"/>
      <c r="BEI27" s="914"/>
      <c r="BEJ27" s="914"/>
      <c r="BEK27" s="914"/>
      <c r="BEL27" s="911"/>
      <c r="BEM27" s="911"/>
      <c r="BEN27" s="911"/>
      <c r="BEO27" s="915"/>
      <c r="BEP27" s="914"/>
      <c r="BEQ27" s="914"/>
      <c r="BER27" s="914"/>
      <c r="BES27" s="914"/>
      <c r="BET27" s="914"/>
      <c r="BEU27" s="914"/>
      <c r="BEV27" s="914"/>
      <c r="BEW27" s="911"/>
      <c r="BEX27" s="911"/>
      <c r="BEY27" s="911"/>
      <c r="BEZ27" s="915"/>
      <c r="BFA27" s="914"/>
      <c r="BFB27" s="914"/>
      <c r="BFC27" s="914"/>
      <c r="BFD27" s="914"/>
      <c r="BFE27" s="914"/>
      <c r="BFF27" s="914"/>
      <c r="BFG27" s="914"/>
      <c r="BFH27" s="911"/>
      <c r="BFI27" s="911"/>
      <c r="BFJ27" s="911"/>
      <c r="BFK27" s="915"/>
      <c r="BFL27" s="914"/>
      <c r="BFM27" s="914"/>
      <c r="BFN27" s="914"/>
      <c r="BFO27" s="914"/>
      <c r="BFP27" s="914"/>
      <c r="BFQ27" s="914"/>
      <c r="BFR27" s="914"/>
      <c r="BFS27" s="911"/>
      <c r="BFT27" s="911"/>
      <c r="BFU27" s="911"/>
      <c r="BFV27" s="915"/>
      <c r="BFW27" s="914"/>
      <c r="BFX27" s="914"/>
      <c r="BFY27" s="914"/>
      <c r="BFZ27" s="914"/>
      <c r="BGA27" s="914"/>
      <c r="BGB27" s="914"/>
      <c r="BGC27" s="914"/>
      <c r="BGD27" s="911"/>
      <c r="BGE27" s="911"/>
      <c r="BGF27" s="911"/>
      <c r="BGG27" s="915"/>
      <c r="BGH27" s="914"/>
      <c r="BGI27" s="914"/>
      <c r="BGJ27" s="914"/>
      <c r="BGK27" s="914"/>
      <c r="BGL27" s="914"/>
      <c r="BGM27" s="914"/>
      <c r="BGN27" s="914"/>
      <c r="BGO27" s="911"/>
      <c r="BGP27" s="911"/>
      <c r="BGQ27" s="911"/>
      <c r="BGR27" s="915"/>
      <c r="BGS27" s="914"/>
      <c r="BGT27" s="914"/>
      <c r="BGU27" s="914"/>
      <c r="BGV27" s="914"/>
      <c r="BGW27" s="914"/>
      <c r="BGX27" s="914"/>
      <c r="BGY27" s="914"/>
      <c r="BGZ27" s="911"/>
      <c r="BHA27" s="911"/>
      <c r="BHB27" s="911"/>
      <c r="BHC27" s="915"/>
      <c r="BHD27" s="914"/>
      <c r="BHE27" s="914"/>
      <c r="BHF27" s="914"/>
      <c r="BHG27" s="914"/>
      <c r="BHH27" s="914"/>
      <c r="BHI27" s="914"/>
      <c r="BHJ27" s="914"/>
      <c r="BHK27" s="911"/>
      <c r="BHL27" s="911"/>
      <c r="BHM27" s="911"/>
      <c r="BHN27" s="915"/>
      <c r="BHO27" s="914"/>
      <c r="BHP27" s="914"/>
      <c r="BHQ27" s="914"/>
      <c r="BHR27" s="914"/>
      <c r="BHS27" s="914"/>
      <c r="BHT27" s="914"/>
      <c r="BHU27" s="914"/>
      <c r="BHV27" s="911"/>
      <c r="BHW27" s="911"/>
      <c r="BHX27" s="911"/>
      <c r="BHY27" s="915"/>
      <c r="BHZ27" s="914"/>
      <c r="BIA27" s="914"/>
      <c r="BIB27" s="914"/>
      <c r="BIC27" s="914"/>
      <c r="BID27" s="914"/>
      <c r="BIE27" s="914"/>
      <c r="BIF27" s="914"/>
      <c r="BIG27" s="911"/>
      <c r="BIH27" s="911"/>
      <c r="BII27" s="911"/>
      <c r="BIJ27" s="915"/>
      <c r="BIK27" s="914"/>
      <c r="BIL27" s="914"/>
      <c r="BIM27" s="914"/>
      <c r="BIN27" s="914"/>
      <c r="BIO27" s="914"/>
      <c r="BIP27" s="914"/>
      <c r="BIQ27" s="914"/>
      <c r="BIR27" s="911"/>
      <c r="BIS27" s="911"/>
      <c r="BIT27" s="911"/>
      <c r="BIU27" s="915"/>
      <c r="BIV27" s="914"/>
      <c r="BIW27" s="914"/>
      <c r="BIX27" s="914"/>
      <c r="BIY27" s="914"/>
      <c r="BIZ27" s="914"/>
      <c r="BJA27" s="914"/>
      <c r="BJB27" s="914"/>
      <c r="BJC27" s="911"/>
      <c r="BJD27" s="911"/>
      <c r="BJE27" s="911"/>
      <c r="BJF27" s="915"/>
      <c r="BJG27" s="914"/>
      <c r="BJH27" s="914"/>
      <c r="BJI27" s="914"/>
      <c r="BJJ27" s="914"/>
      <c r="BJK27" s="914"/>
      <c r="BJL27" s="914"/>
      <c r="BJM27" s="914"/>
      <c r="BJN27" s="911"/>
      <c r="BJO27" s="911"/>
      <c r="BJP27" s="911"/>
      <c r="BJQ27" s="915"/>
      <c r="BJR27" s="914"/>
      <c r="BJS27" s="914"/>
      <c r="BJT27" s="914"/>
      <c r="BJU27" s="914"/>
      <c r="BJV27" s="914"/>
      <c r="BJW27" s="914"/>
      <c r="BJX27" s="914"/>
      <c r="BJY27" s="911"/>
      <c r="BJZ27" s="911"/>
      <c r="BKA27" s="911"/>
      <c r="BKB27" s="915"/>
      <c r="BKC27" s="914"/>
      <c r="BKD27" s="914"/>
      <c r="BKE27" s="914"/>
      <c r="BKF27" s="914"/>
      <c r="BKG27" s="914"/>
      <c r="BKH27" s="914"/>
      <c r="BKI27" s="914"/>
      <c r="BKJ27" s="911"/>
      <c r="BKK27" s="911"/>
      <c r="BKL27" s="911"/>
      <c r="BKM27" s="915"/>
      <c r="BKN27" s="914"/>
      <c r="BKO27" s="914"/>
      <c r="BKP27" s="914"/>
      <c r="BKQ27" s="914"/>
      <c r="BKR27" s="914"/>
      <c r="BKS27" s="914"/>
      <c r="BKT27" s="914"/>
      <c r="BKU27" s="911"/>
      <c r="BKV27" s="911"/>
      <c r="BKW27" s="911"/>
      <c r="BKX27" s="915"/>
      <c r="BKY27" s="914"/>
      <c r="BKZ27" s="914"/>
      <c r="BLA27" s="914"/>
      <c r="BLB27" s="914"/>
      <c r="BLC27" s="914"/>
      <c r="BLD27" s="914"/>
      <c r="BLE27" s="914"/>
      <c r="BLF27" s="911"/>
      <c r="BLG27" s="911"/>
      <c r="BLH27" s="911"/>
      <c r="BLI27" s="915"/>
      <c r="BLJ27" s="914"/>
      <c r="BLK27" s="914"/>
      <c r="BLL27" s="914"/>
      <c r="BLM27" s="914"/>
      <c r="BLN27" s="914"/>
      <c r="BLO27" s="914"/>
      <c r="BLP27" s="914"/>
      <c r="BLQ27" s="911"/>
      <c r="BLR27" s="911"/>
      <c r="BLS27" s="911"/>
      <c r="BLT27" s="915"/>
      <c r="BLU27" s="914"/>
      <c r="BLV27" s="914"/>
      <c r="BLW27" s="914"/>
      <c r="BLX27" s="914"/>
      <c r="BLY27" s="914"/>
      <c r="BLZ27" s="914"/>
      <c r="BMA27" s="914"/>
      <c r="BMB27" s="911"/>
      <c r="BMC27" s="911"/>
      <c r="BMD27" s="911"/>
      <c r="BME27" s="915"/>
      <c r="BMF27" s="914"/>
      <c r="BMG27" s="914"/>
      <c r="BMH27" s="914"/>
      <c r="BMI27" s="914"/>
      <c r="BMJ27" s="914"/>
      <c r="BMK27" s="914"/>
      <c r="BML27" s="914"/>
      <c r="BMM27" s="911"/>
      <c r="BMN27" s="911"/>
      <c r="BMO27" s="911"/>
      <c r="BMP27" s="915"/>
      <c r="BMQ27" s="914"/>
      <c r="BMR27" s="914"/>
      <c r="BMS27" s="914"/>
      <c r="BMT27" s="914"/>
      <c r="BMU27" s="914"/>
      <c r="BMV27" s="914"/>
      <c r="BMW27" s="914"/>
      <c r="BMX27" s="911"/>
      <c r="BMY27" s="911"/>
      <c r="BMZ27" s="911"/>
      <c r="BNA27" s="915"/>
      <c r="BNB27" s="914"/>
      <c r="BNC27" s="914"/>
      <c r="BND27" s="914"/>
      <c r="BNE27" s="914"/>
      <c r="BNF27" s="914"/>
      <c r="BNG27" s="914"/>
      <c r="BNH27" s="914"/>
      <c r="BNI27" s="911"/>
      <c r="BNJ27" s="911"/>
      <c r="BNK27" s="911"/>
      <c r="BNL27" s="915"/>
      <c r="BNM27" s="914"/>
      <c r="BNN27" s="914"/>
      <c r="BNO27" s="914"/>
      <c r="BNP27" s="914"/>
      <c r="BNQ27" s="914"/>
      <c r="BNR27" s="914"/>
      <c r="BNS27" s="914"/>
      <c r="BNT27" s="911"/>
      <c r="BNU27" s="911"/>
      <c r="BNV27" s="911"/>
      <c r="BNW27" s="915"/>
      <c r="BNX27" s="914"/>
      <c r="BNY27" s="914"/>
      <c r="BNZ27" s="914"/>
      <c r="BOA27" s="914"/>
      <c r="BOB27" s="914"/>
      <c r="BOC27" s="914"/>
      <c r="BOD27" s="914"/>
      <c r="BOE27" s="911"/>
      <c r="BOF27" s="911"/>
      <c r="BOG27" s="911"/>
      <c r="BOH27" s="915"/>
      <c r="BOI27" s="914"/>
      <c r="BOJ27" s="914"/>
      <c r="BOK27" s="914"/>
      <c r="BOL27" s="914"/>
      <c r="BOM27" s="914"/>
      <c r="BON27" s="914"/>
      <c r="BOO27" s="914"/>
      <c r="BOP27" s="911"/>
      <c r="BOQ27" s="911"/>
      <c r="BOR27" s="911"/>
      <c r="BOS27" s="915"/>
      <c r="BOT27" s="914"/>
      <c r="BOU27" s="914"/>
      <c r="BOV27" s="914"/>
      <c r="BOW27" s="914"/>
      <c r="BOX27" s="914"/>
      <c r="BOY27" s="914"/>
      <c r="BOZ27" s="914"/>
      <c r="BPA27" s="911"/>
      <c r="BPB27" s="911"/>
      <c r="BPC27" s="911"/>
      <c r="BPD27" s="915"/>
      <c r="BPE27" s="914"/>
      <c r="BPF27" s="914"/>
      <c r="BPG27" s="914"/>
      <c r="BPH27" s="914"/>
      <c r="BPI27" s="914"/>
      <c r="BPJ27" s="914"/>
      <c r="BPK27" s="914"/>
      <c r="BPL27" s="911"/>
      <c r="BPM27" s="911"/>
      <c r="BPN27" s="911"/>
      <c r="BPO27" s="915"/>
      <c r="BPP27" s="914"/>
      <c r="BPQ27" s="914"/>
      <c r="BPR27" s="914"/>
      <c r="BPS27" s="914"/>
      <c r="BPT27" s="914"/>
      <c r="BPU27" s="914"/>
      <c r="BPV27" s="914"/>
      <c r="BPW27" s="911"/>
      <c r="BPX27" s="911"/>
      <c r="BPY27" s="911"/>
      <c r="BPZ27" s="915"/>
      <c r="BQA27" s="914"/>
      <c r="BQB27" s="914"/>
      <c r="BQC27" s="914"/>
      <c r="BQD27" s="914"/>
      <c r="BQE27" s="914"/>
      <c r="BQF27" s="914"/>
      <c r="BQG27" s="914"/>
      <c r="BQH27" s="911"/>
      <c r="BQI27" s="911"/>
      <c r="BQJ27" s="911"/>
      <c r="BQK27" s="915"/>
      <c r="BQL27" s="914"/>
      <c r="BQM27" s="914"/>
      <c r="BQN27" s="914"/>
      <c r="BQO27" s="914"/>
      <c r="BQP27" s="914"/>
      <c r="BQQ27" s="914"/>
      <c r="BQR27" s="914"/>
      <c r="BQS27" s="911"/>
      <c r="BQT27" s="911"/>
      <c r="BQU27" s="911"/>
      <c r="BQV27" s="915"/>
      <c r="BQW27" s="914"/>
      <c r="BQX27" s="914"/>
      <c r="BQY27" s="914"/>
      <c r="BQZ27" s="914"/>
      <c r="BRA27" s="914"/>
      <c r="BRB27" s="914"/>
      <c r="BRC27" s="914"/>
      <c r="BRD27" s="911"/>
      <c r="BRE27" s="911"/>
      <c r="BRF27" s="911"/>
      <c r="BRG27" s="915"/>
      <c r="BRH27" s="914"/>
      <c r="BRI27" s="914"/>
      <c r="BRJ27" s="914"/>
      <c r="BRK27" s="914"/>
      <c r="BRL27" s="914"/>
      <c r="BRM27" s="914"/>
      <c r="BRN27" s="914"/>
      <c r="BRO27" s="911"/>
      <c r="BRP27" s="911"/>
      <c r="BRQ27" s="911"/>
      <c r="BRR27" s="915"/>
      <c r="BRS27" s="914"/>
      <c r="BRT27" s="914"/>
      <c r="BRU27" s="914"/>
      <c r="BRV27" s="914"/>
      <c r="BRW27" s="914"/>
      <c r="BRX27" s="914"/>
      <c r="BRY27" s="914"/>
      <c r="BRZ27" s="911"/>
      <c r="BSA27" s="911"/>
      <c r="BSB27" s="911"/>
      <c r="BSC27" s="915"/>
      <c r="BSD27" s="914"/>
      <c r="BSE27" s="914"/>
      <c r="BSF27" s="914"/>
      <c r="BSG27" s="914"/>
      <c r="BSH27" s="914"/>
      <c r="BSI27" s="914"/>
      <c r="BSJ27" s="914"/>
      <c r="BSK27" s="911"/>
      <c r="BSL27" s="911"/>
      <c r="BSM27" s="911"/>
      <c r="BSN27" s="915"/>
      <c r="BSO27" s="914"/>
      <c r="BSP27" s="914"/>
      <c r="BSQ27" s="914"/>
      <c r="BSR27" s="914"/>
      <c r="BSS27" s="914"/>
      <c r="BST27" s="914"/>
      <c r="BSU27" s="914"/>
      <c r="BSV27" s="911"/>
      <c r="BSW27" s="911"/>
      <c r="BSX27" s="911"/>
      <c r="BSY27" s="915"/>
      <c r="BSZ27" s="914"/>
      <c r="BTA27" s="914"/>
      <c r="BTB27" s="914"/>
      <c r="BTC27" s="914"/>
      <c r="BTD27" s="914"/>
      <c r="BTE27" s="914"/>
      <c r="BTF27" s="914"/>
      <c r="BTG27" s="911"/>
      <c r="BTH27" s="911"/>
      <c r="BTI27" s="911"/>
      <c r="BTJ27" s="915"/>
      <c r="BTK27" s="914"/>
      <c r="BTL27" s="914"/>
      <c r="BTM27" s="914"/>
      <c r="BTN27" s="914"/>
      <c r="BTO27" s="914"/>
      <c r="BTP27" s="914"/>
      <c r="BTQ27" s="914"/>
      <c r="BTR27" s="911"/>
      <c r="BTS27" s="911"/>
      <c r="BTT27" s="911"/>
      <c r="BTU27" s="915"/>
      <c r="BTV27" s="914"/>
      <c r="BTW27" s="914"/>
      <c r="BTX27" s="914"/>
      <c r="BTY27" s="914"/>
      <c r="BTZ27" s="914"/>
      <c r="BUA27" s="914"/>
      <c r="BUB27" s="914"/>
      <c r="BUC27" s="911"/>
      <c r="BUD27" s="911"/>
      <c r="BUE27" s="911"/>
      <c r="BUF27" s="915"/>
      <c r="BUG27" s="914"/>
      <c r="BUH27" s="914"/>
      <c r="BUI27" s="914"/>
      <c r="BUJ27" s="914"/>
      <c r="BUK27" s="914"/>
      <c r="BUL27" s="914"/>
      <c r="BUM27" s="914"/>
      <c r="BUN27" s="911"/>
      <c r="BUO27" s="911"/>
      <c r="BUP27" s="911"/>
      <c r="BUQ27" s="915"/>
      <c r="BUR27" s="914"/>
      <c r="BUS27" s="914"/>
      <c r="BUT27" s="914"/>
      <c r="BUU27" s="914"/>
      <c r="BUV27" s="914"/>
      <c r="BUW27" s="914"/>
      <c r="BUX27" s="914"/>
      <c r="BUY27" s="911"/>
      <c r="BUZ27" s="911"/>
      <c r="BVA27" s="911"/>
      <c r="BVB27" s="915"/>
      <c r="BVC27" s="914"/>
      <c r="BVD27" s="914"/>
      <c r="BVE27" s="914"/>
      <c r="BVF27" s="914"/>
      <c r="BVG27" s="914"/>
      <c r="BVH27" s="914"/>
      <c r="BVI27" s="914"/>
      <c r="BVJ27" s="911"/>
      <c r="BVK27" s="911"/>
      <c r="BVL27" s="911"/>
      <c r="BVM27" s="915"/>
      <c r="BVN27" s="914"/>
      <c r="BVO27" s="914"/>
      <c r="BVP27" s="914"/>
      <c r="BVQ27" s="914"/>
      <c r="BVR27" s="914"/>
      <c r="BVS27" s="914"/>
      <c r="BVT27" s="914"/>
      <c r="BVU27" s="911"/>
      <c r="BVV27" s="911"/>
      <c r="BVW27" s="911"/>
      <c r="BVX27" s="915"/>
      <c r="BVY27" s="914"/>
      <c r="BVZ27" s="914"/>
      <c r="BWA27" s="914"/>
      <c r="BWB27" s="914"/>
      <c r="BWC27" s="914"/>
      <c r="BWD27" s="914"/>
      <c r="BWE27" s="914"/>
      <c r="BWF27" s="911"/>
      <c r="BWG27" s="911"/>
      <c r="BWH27" s="911"/>
      <c r="BWI27" s="915"/>
      <c r="BWJ27" s="914"/>
      <c r="BWK27" s="914"/>
      <c r="BWL27" s="914"/>
      <c r="BWM27" s="914"/>
      <c r="BWN27" s="914"/>
      <c r="BWO27" s="914"/>
      <c r="BWP27" s="914"/>
      <c r="BWQ27" s="911"/>
      <c r="BWR27" s="911"/>
      <c r="BWS27" s="911"/>
      <c r="BWT27" s="915"/>
      <c r="BWU27" s="914"/>
      <c r="BWV27" s="914"/>
      <c r="BWW27" s="914"/>
      <c r="BWX27" s="914"/>
      <c r="BWY27" s="914"/>
      <c r="BWZ27" s="914"/>
      <c r="BXA27" s="914"/>
      <c r="BXB27" s="911"/>
      <c r="BXC27" s="911"/>
      <c r="BXD27" s="911"/>
      <c r="BXE27" s="915"/>
      <c r="BXF27" s="914"/>
      <c r="BXG27" s="914"/>
      <c r="BXH27" s="914"/>
      <c r="BXI27" s="914"/>
      <c r="BXJ27" s="914"/>
      <c r="BXK27" s="914"/>
      <c r="BXL27" s="914"/>
      <c r="BXM27" s="911"/>
      <c r="BXN27" s="911"/>
      <c r="BXO27" s="911"/>
      <c r="BXP27" s="915"/>
      <c r="BXQ27" s="914"/>
      <c r="BXR27" s="914"/>
      <c r="BXS27" s="914"/>
      <c r="BXT27" s="914"/>
      <c r="BXU27" s="914"/>
      <c r="BXV27" s="914"/>
      <c r="BXW27" s="914"/>
      <c r="BXX27" s="911"/>
      <c r="BXY27" s="911"/>
      <c r="BXZ27" s="911"/>
      <c r="BYA27" s="915"/>
      <c r="BYB27" s="914"/>
      <c r="BYC27" s="914"/>
      <c r="BYD27" s="914"/>
      <c r="BYE27" s="914"/>
      <c r="BYF27" s="914"/>
      <c r="BYG27" s="914"/>
      <c r="BYH27" s="914"/>
      <c r="BYI27" s="911"/>
      <c r="BYJ27" s="911"/>
      <c r="BYK27" s="911"/>
      <c r="BYL27" s="915"/>
      <c r="BYM27" s="914"/>
      <c r="BYN27" s="914"/>
      <c r="BYO27" s="914"/>
      <c r="BYP27" s="914"/>
      <c r="BYQ27" s="914"/>
      <c r="BYR27" s="914"/>
      <c r="BYS27" s="914"/>
      <c r="BYT27" s="911"/>
      <c r="BYU27" s="911"/>
      <c r="BYV27" s="911"/>
      <c r="BYW27" s="915"/>
      <c r="BYX27" s="914"/>
      <c r="BYY27" s="914"/>
      <c r="BYZ27" s="914"/>
      <c r="BZA27" s="914"/>
      <c r="BZB27" s="914"/>
      <c r="BZC27" s="914"/>
      <c r="BZD27" s="914"/>
      <c r="BZE27" s="911"/>
      <c r="BZF27" s="911"/>
      <c r="BZG27" s="911"/>
      <c r="BZH27" s="915"/>
      <c r="BZI27" s="914"/>
      <c r="BZJ27" s="914"/>
      <c r="BZK27" s="914"/>
      <c r="BZL27" s="914"/>
      <c r="BZM27" s="914"/>
      <c r="BZN27" s="914"/>
      <c r="BZO27" s="914"/>
      <c r="BZP27" s="911"/>
      <c r="BZQ27" s="911"/>
      <c r="BZR27" s="911"/>
      <c r="BZS27" s="915"/>
      <c r="BZT27" s="914"/>
      <c r="BZU27" s="914"/>
      <c r="BZV27" s="914"/>
      <c r="BZW27" s="914"/>
      <c r="BZX27" s="914"/>
      <c r="BZY27" s="914"/>
      <c r="BZZ27" s="914"/>
      <c r="CAA27" s="911"/>
      <c r="CAB27" s="911"/>
      <c r="CAC27" s="911"/>
      <c r="CAD27" s="915"/>
      <c r="CAE27" s="914"/>
      <c r="CAF27" s="914"/>
      <c r="CAG27" s="914"/>
      <c r="CAH27" s="914"/>
      <c r="CAI27" s="914"/>
      <c r="CAJ27" s="914"/>
      <c r="CAK27" s="914"/>
      <c r="CAL27" s="911"/>
      <c r="CAM27" s="911"/>
      <c r="CAN27" s="911"/>
      <c r="CAO27" s="915"/>
      <c r="CAP27" s="914"/>
      <c r="CAQ27" s="914"/>
      <c r="CAR27" s="914"/>
      <c r="CAS27" s="914"/>
      <c r="CAT27" s="914"/>
      <c r="CAU27" s="914"/>
      <c r="CAV27" s="914"/>
      <c r="CAW27" s="911"/>
      <c r="CAX27" s="911"/>
      <c r="CAY27" s="911"/>
      <c r="CAZ27" s="915"/>
      <c r="CBA27" s="914"/>
      <c r="CBB27" s="914"/>
      <c r="CBC27" s="914"/>
      <c r="CBD27" s="914"/>
      <c r="CBE27" s="914"/>
      <c r="CBF27" s="914"/>
      <c r="CBG27" s="914"/>
      <c r="CBH27" s="911"/>
      <c r="CBI27" s="911"/>
      <c r="CBJ27" s="911"/>
      <c r="CBK27" s="915"/>
      <c r="CBL27" s="914"/>
      <c r="CBM27" s="914"/>
      <c r="CBN27" s="914"/>
      <c r="CBO27" s="914"/>
      <c r="CBP27" s="914"/>
      <c r="CBQ27" s="914"/>
      <c r="CBR27" s="914"/>
      <c r="CBS27" s="911"/>
      <c r="CBT27" s="911"/>
      <c r="CBU27" s="911"/>
      <c r="CBV27" s="915"/>
      <c r="CBW27" s="914"/>
      <c r="CBX27" s="914"/>
      <c r="CBY27" s="914"/>
      <c r="CBZ27" s="914"/>
      <c r="CCA27" s="914"/>
      <c r="CCB27" s="914"/>
      <c r="CCC27" s="914"/>
      <c r="CCD27" s="911"/>
      <c r="CCE27" s="911"/>
      <c r="CCF27" s="911"/>
      <c r="CCG27" s="915"/>
      <c r="CCH27" s="914"/>
      <c r="CCI27" s="914"/>
      <c r="CCJ27" s="914"/>
      <c r="CCK27" s="914"/>
      <c r="CCL27" s="914"/>
      <c r="CCM27" s="914"/>
      <c r="CCN27" s="914"/>
      <c r="CCO27" s="911"/>
      <c r="CCP27" s="911"/>
      <c r="CCQ27" s="911"/>
      <c r="CCR27" s="915"/>
      <c r="CCS27" s="914"/>
      <c r="CCT27" s="914"/>
      <c r="CCU27" s="914"/>
      <c r="CCV27" s="914"/>
      <c r="CCW27" s="914"/>
      <c r="CCX27" s="914"/>
      <c r="CCY27" s="914"/>
      <c r="CCZ27" s="911"/>
      <c r="CDA27" s="911"/>
      <c r="CDB27" s="911"/>
      <c r="CDC27" s="915"/>
      <c r="CDD27" s="914"/>
      <c r="CDE27" s="914"/>
      <c r="CDF27" s="914"/>
      <c r="CDG27" s="914"/>
      <c r="CDH27" s="914"/>
      <c r="CDI27" s="914"/>
      <c r="CDJ27" s="914"/>
      <c r="CDK27" s="911"/>
      <c r="CDL27" s="911"/>
      <c r="CDM27" s="911"/>
      <c r="CDN27" s="915"/>
      <c r="CDO27" s="914"/>
      <c r="CDP27" s="914"/>
      <c r="CDQ27" s="914"/>
      <c r="CDR27" s="914"/>
      <c r="CDS27" s="914"/>
      <c r="CDT27" s="914"/>
      <c r="CDU27" s="914"/>
      <c r="CDV27" s="911"/>
      <c r="CDW27" s="911"/>
      <c r="CDX27" s="911"/>
      <c r="CDY27" s="915"/>
      <c r="CDZ27" s="914"/>
      <c r="CEA27" s="914"/>
      <c r="CEB27" s="914"/>
      <c r="CEC27" s="914"/>
      <c r="CED27" s="914"/>
      <c r="CEE27" s="914"/>
      <c r="CEF27" s="914"/>
      <c r="CEG27" s="911"/>
      <c r="CEH27" s="911"/>
      <c r="CEI27" s="911"/>
      <c r="CEJ27" s="915"/>
      <c r="CEK27" s="914"/>
      <c r="CEL27" s="914"/>
      <c r="CEM27" s="914"/>
      <c r="CEN27" s="914"/>
      <c r="CEO27" s="914"/>
      <c r="CEP27" s="914"/>
      <c r="CEQ27" s="914"/>
      <c r="CER27" s="911"/>
      <c r="CES27" s="911"/>
      <c r="CET27" s="911"/>
      <c r="CEU27" s="915"/>
      <c r="CEV27" s="914"/>
      <c r="CEW27" s="914"/>
      <c r="CEX27" s="914"/>
      <c r="CEY27" s="914"/>
      <c r="CEZ27" s="914"/>
      <c r="CFA27" s="914"/>
      <c r="CFB27" s="914"/>
      <c r="CFC27" s="911"/>
      <c r="CFD27" s="911"/>
      <c r="CFE27" s="911"/>
      <c r="CFF27" s="915"/>
      <c r="CFG27" s="914"/>
      <c r="CFH27" s="914"/>
      <c r="CFI27" s="914"/>
      <c r="CFJ27" s="914"/>
      <c r="CFK27" s="914"/>
      <c r="CFL27" s="914"/>
      <c r="CFM27" s="914"/>
      <c r="CFN27" s="911"/>
      <c r="CFO27" s="911"/>
      <c r="CFP27" s="911"/>
      <c r="CFQ27" s="915"/>
      <c r="CFR27" s="914"/>
      <c r="CFS27" s="914"/>
      <c r="CFT27" s="914"/>
      <c r="CFU27" s="914"/>
      <c r="CFV27" s="914"/>
      <c r="CFW27" s="914"/>
      <c r="CFX27" s="914"/>
      <c r="CFY27" s="911"/>
      <c r="CFZ27" s="911"/>
      <c r="CGA27" s="911"/>
      <c r="CGB27" s="915"/>
      <c r="CGC27" s="914"/>
      <c r="CGD27" s="914"/>
      <c r="CGE27" s="914"/>
      <c r="CGF27" s="914"/>
      <c r="CGG27" s="914"/>
      <c r="CGH27" s="914"/>
      <c r="CGI27" s="914"/>
      <c r="CGJ27" s="911"/>
      <c r="CGK27" s="911"/>
      <c r="CGL27" s="911"/>
      <c r="CGM27" s="915"/>
      <c r="CGN27" s="914"/>
      <c r="CGO27" s="914"/>
      <c r="CGP27" s="914"/>
      <c r="CGQ27" s="914"/>
      <c r="CGR27" s="914"/>
      <c r="CGS27" s="914"/>
      <c r="CGT27" s="914"/>
      <c r="CGU27" s="911"/>
      <c r="CGV27" s="911"/>
      <c r="CGW27" s="911"/>
      <c r="CGX27" s="915"/>
      <c r="CGY27" s="914"/>
      <c r="CGZ27" s="914"/>
      <c r="CHA27" s="914"/>
      <c r="CHB27" s="914"/>
      <c r="CHC27" s="914"/>
      <c r="CHD27" s="914"/>
      <c r="CHE27" s="914"/>
      <c r="CHF27" s="911"/>
      <c r="CHG27" s="911"/>
      <c r="CHH27" s="911"/>
      <c r="CHI27" s="915"/>
      <c r="CHJ27" s="914"/>
      <c r="CHK27" s="914"/>
      <c r="CHL27" s="914"/>
      <c r="CHM27" s="914"/>
      <c r="CHN27" s="914"/>
      <c r="CHO27" s="914"/>
      <c r="CHP27" s="914"/>
      <c r="CHQ27" s="911"/>
      <c r="CHR27" s="911"/>
      <c r="CHS27" s="911"/>
      <c r="CHT27" s="915"/>
      <c r="CHU27" s="914"/>
      <c r="CHV27" s="914"/>
      <c r="CHW27" s="914"/>
      <c r="CHX27" s="914"/>
      <c r="CHY27" s="914"/>
      <c r="CHZ27" s="914"/>
      <c r="CIA27" s="914"/>
      <c r="CIB27" s="911"/>
      <c r="CIC27" s="911"/>
      <c r="CID27" s="911"/>
      <c r="CIE27" s="915"/>
      <c r="CIF27" s="914"/>
      <c r="CIG27" s="914"/>
      <c r="CIH27" s="914"/>
      <c r="CII27" s="914"/>
      <c r="CIJ27" s="914"/>
      <c r="CIK27" s="914"/>
      <c r="CIL27" s="914"/>
      <c r="CIM27" s="911"/>
      <c r="CIN27" s="911"/>
      <c r="CIO27" s="911"/>
      <c r="CIP27" s="915"/>
      <c r="CIQ27" s="914"/>
      <c r="CIR27" s="914"/>
      <c r="CIS27" s="914"/>
      <c r="CIT27" s="914"/>
      <c r="CIU27" s="914"/>
      <c r="CIV27" s="914"/>
      <c r="CIW27" s="914"/>
      <c r="CIX27" s="911"/>
      <c r="CIY27" s="911"/>
      <c r="CIZ27" s="911"/>
      <c r="CJA27" s="915"/>
      <c r="CJB27" s="914"/>
      <c r="CJC27" s="914"/>
      <c r="CJD27" s="914"/>
      <c r="CJE27" s="914"/>
      <c r="CJF27" s="914"/>
      <c r="CJG27" s="914"/>
      <c r="CJH27" s="914"/>
      <c r="CJI27" s="911"/>
      <c r="CJJ27" s="911"/>
      <c r="CJK27" s="911"/>
      <c r="CJL27" s="915"/>
      <c r="CJM27" s="914"/>
      <c r="CJN27" s="914"/>
      <c r="CJO27" s="914"/>
      <c r="CJP27" s="914"/>
      <c r="CJQ27" s="914"/>
      <c r="CJR27" s="914"/>
      <c r="CJS27" s="914"/>
      <c r="CJT27" s="911"/>
      <c r="CJU27" s="911"/>
      <c r="CJV27" s="911"/>
      <c r="CJW27" s="915"/>
      <c r="CJX27" s="914"/>
      <c r="CJY27" s="914"/>
      <c r="CJZ27" s="914"/>
      <c r="CKA27" s="914"/>
      <c r="CKB27" s="914"/>
      <c r="CKC27" s="914"/>
      <c r="CKD27" s="914"/>
      <c r="CKE27" s="911"/>
      <c r="CKF27" s="911"/>
      <c r="CKG27" s="911"/>
      <c r="CKH27" s="915"/>
      <c r="CKI27" s="914"/>
      <c r="CKJ27" s="914"/>
      <c r="CKK27" s="914"/>
      <c r="CKL27" s="914"/>
      <c r="CKM27" s="914"/>
      <c r="CKN27" s="914"/>
      <c r="CKO27" s="914"/>
      <c r="CKP27" s="911"/>
      <c r="CKQ27" s="911"/>
      <c r="CKR27" s="911"/>
      <c r="CKS27" s="915"/>
      <c r="CKT27" s="914"/>
      <c r="CKU27" s="914"/>
      <c r="CKV27" s="914"/>
      <c r="CKW27" s="914"/>
      <c r="CKX27" s="914"/>
      <c r="CKY27" s="914"/>
      <c r="CKZ27" s="914"/>
      <c r="CLA27" s="911"/>
      <c r="CLB27" s="911"/>
      <c r="CLC27" s="911"/>
      <c r="CLD27" s="915"/>
      <c r="CLE27" s="914"/>
      <c r="CLF27" s="914"/>
      <c r="CLG27" s="914"/>
      <c r="CLH27" s="914"/>
      <c r="CLI27" s="914"/>
      <c r="CLJ27" s="914"/>
      <c r="CLK27" s="914"/>
      <c r="CLL27" s="911"/>
      <c r="CLM27" s="911"/>
      <c r="CLN27" s="911"/>
      <c r="CLO27" s="915"/>
      <c r="CLP27" s="914"/>
      <c r="CLQ27" s="914"/>
      <c r="CLR27" s="914"/>
      <c r="CLS27" s="914"/>
      <c r="CLT27" s="914"/>
      <c r="CLU27" s="914"/>
      <c r="CLV27" s="914"/>
      <c r="CLW27" s="911"/>
      <c r="CLX27" s="911"/>
      <c r="CLY27" s="911"/>
      <c r="CLZ27" s="915"/>
      <c r="CMA27" s="914"/>
      <c r="CMB27" s="914"/>
      <c r="CMC27" s="914"/>
      <c r="CMD27" s="914"/>
      <c r="CME27" s="914"/>
      <c r="CMF27" s="914"/>
      <c r="CMG27" s="914"/>
      <c r="CMH27" s="911"/>
      <c r="CMI27" s="911"/>
      <c r="CMJ27" s="911"/>
      <c r="CMK27" s="915"/>
      <c r="CML27" s="914"/>
      <c r="CMM27" s="914"/>
      <c r="CMN27" s="914"/>
      <c r="CMO27" s="914"/>
      <c r="CMP27" s="914"/>
      <c r="CMQ27" s="914"/>
      <c r="CMR27" s="914"/>
      <c r="CMS27" s="911"/>
      <c r="CMT27" s="911"/>
      <c r="CMU27" s="911"/>
      <c r="CMV27" s="915"/>
      <c r="CMW27" s="914"/>
      <c r="CMX27" s="914"/>
      <c r="CMY27" s="914"/>
      <c r="CMZ27" s="914"/>
      <c r="CNA27" s="914"/>
      <c r="CNB27" s="914"/>
      <c r="CNC27" s="914"/>
      <c r="CND27" s="911"/>
      <c r="CNE27" s="911"/>
      <c r="CNF27" s="911"/>
      <c r="CNG27" s="915"/>
      <c r="CNH27" s="914"/>
      <c r="CNI27" s="914"/>
      <c r="CNJ27" s="914"/>
      <c r="CNK27" s="914"/>
      <c r="CNL27" s="914"/>
      <c r="CNM27" s="914"/>
      <c r="CNN27" s="914"/>
      <c r="CNO27" s="911"/>
      <c r="CNP27" s="911"/>
      <c r="CNQ27" s="911"/>
      <c r="CNR27" s="915"/>
      <c r="CNS27" s="914"/>
      <c r="CNT27" s="914"/>
      <c r="CNU27" s="914"/>
      <c r="CNV27" s="914"/>
      <c r="CNW27" s="914"/>
      <c r="CNX27" s="914"/>
      <c r="CNY27" s="914"/>
      <c r="CNZ27" s="911"/>
      <c r="COA27" s="911"/>
      <c r="COB27" s="911"/>
      <c r="COC27" s="915"/>
      <c r="COD27" s="914"/>
      <c r="COE27" s="914"/>
      <c r="COF27" s="914"/>
      <c r="COG27" s="914"/>
      <c r="COH27" s="914"/>
      <c r="COI27" s="914"/>
      <c r="COJ27" s="914"/>
      <c r="COK27" s="911"/>
      <c r="COL27" s="911"/>
      <c r="COM27" s="911"/>
      <c r="CON27" s="915"/>
      <c r="COO27" s="914"/>
      <c r="COP27" s="914"/>
      <c r="COQ27" s="914"/>
      <c r="COR27" s="914"/>
      <c r="COS27" s="914"/>
      <c r="COT27" s="914"/>
      <c r="COU27" s="914"/>
      <c r="COV27" s="911"/>
      <c r="COW27" s="911"/>
      <c r="COX27" s="911"/>
      <c r="COY27" s="915"/>
      <c r="COZ27" s="914"/>
      <c r="CPA27" s="914"/>
      <c r="CPB27" s="914"/>
      <c r="CPC27" s="914"/>
      <c r="CPD27" s="914"/>
      <c r="CPE27" s="914"/>
      <c r="CPF27" s="914"/>
      <c r="CPG27" s="911"/>
      <c r="CPH27" s="911"/>
      <c r="CPI27" s="911"/>
      <c r="CPJ27" s="915"/>
      <c r="CPK27" s="914"/>
      <c r="CPL27" s="914"/>
      <c r="CPM27" s="914"/>
      <c r="CPN27" s="914"/>
      <c r="CPO27" s="914"/>
      <c r="CPP27" s="914"/>
      <c r="CPQ27" s="914"/>
      <c r="CPR27" s="911"/>
      <c r="CPS27" s="911"/>
      <c r="CPT27" s="911"/>
      <c r="CPU27" s="915"/>
      <c r="CPV27" s="914"/>
      <c r="CPW27" s="914"/>
      <c r="CPX27" s="914"/>
      <c r="CPY27" s="914"/>
      <c r="CPZ27" s="914"/>
      <c r="CQA27" s="914"/>
      <c r="CQB27" s="914"/>
      <c r="CQC27" s="911"/>
      <c r="CQD27" s="911"/>
      <c r="CQE27" s="911"/>
      <c r="CQF27" s="915"/>
      <c r="CQG27" s="914"/>
      <c r="CQH27" s="914"/>
      <c r="CQI27" s="914"/>
      <c r="CQJ27" s="914"/>
      <c r="CQK27" s="914"/>
      <c r="CQL27" s="914"/>
      <c r="CQM27" s="914"/>
      <c r="CQN27" s="911"/>
      <c r="CQO27" s="911"/>
      <c r="CQP27" s="911"/>
      <c r="CQQ27" s="915"/>
      <c r="CQR27" s="914"/>
      <c r="CQS27" s="914"/>
      <c r="CQT27" s="914"/>
      <c r="CQU27" s="914"/>
      <c r="CQV27" s="914"/>
      <c r="CQW27" s="914"/>
      <c r="CQX27" s="914"/>
      <c r="CQY27" s="911"/>
      <c r="CQZ27" s="911"/>
      <c r="CRA27" s="911"/>
      <c r="CRB27" s="915"/>
      <c r="CRC27" s="914"/>
      <c r="CRD27" s="914"/>
      <c r="CRE27" s="914"/>
      <c r="CRF27" s="914"/>
      <c r="CRG27" s="914"/>
      <c r="CRH27" s="914"/>
      <c r="CRI27" s="914"/>
      <c r="CRJ27" s="911"/>
      <c r="CRK27" s="911"/>
      <c r="CRL27" s="911"/>
      <c r="CRM27" s="915"/>
      <c r="CRN27" s="914"/>
      <c r="CRO27" s="914"/>
      <c r="CRP27" s="914"/>
      <c r="CRQ27" s="914"/>
      <c r="CRR27" s="914"/>
      <c r="CRS27" s="914"/>
      <c r="CRT27" s="914"/>
      <c r="CRU27" s="911"/>
      <c r="CRV27" s="911"/>
      <c r="CRW27" s="911"/>
      <c r="CRX27" s="915"/>
      <c r="CRY27" s="914"/>
      <c r="CRZ27" s="914"/>
      <c r="CSA27" s="914"/>
      <c r="CSB27" s="914"/>
      <c r="CSC27" s="914"/>
      <c r="CSD27" s="914"/>
      <c r="CSE27" s="914"/>
      <c r="CSF27" s="911"/>
      <c r="CSG27" s="911"/>
      <c r="CSH27" s="911"/>
      <c r="CSI27" s="915"/>
      <c r="CSJ27" s="914"/>
      <c r="CSK27" s="914"/>
      <c r="CSL27" s="914"/>
      <c r="CSM27" s="914"/>
      <c r="CSN27" s="914"/>
      <c r="CSO27" s="914"/>
      <c r="CSP27" s="914"/>
      <c r="CSQ27" s="911"/>
      <c r="CSR27" s="911"/>
      <c r="CSS27" s="911"/>
      <c r="CST27" s="915"/>
      <c r="CSU27" s="914"/>
      <c r="CSV27" s="914"/>
      <c r="CSW27" s="914"/>
      <c r="CSX27" s="914"/>
      <c r="CSY27" s="914"/>
      <c r="CSZ27" s="914"/>
      <c r="CTA27" s="914"/>
      <c r="CTB27" s="911"/>
      <c r="CTC27" s="911"/>
      <c r="CTD27" s="911"/>
      <c r="CTE27" s="915"/>
      <c r="CTF27" s="914"/>
      <c r="CTG27" s="914"/>
      <c r="CTH27" s="914"/>
      <c r="CTI27" s="914"/>
      <c r="CTJ27" s="914"/>
      <c r="CTK27" s="914"/>
      <c r="CTL27" s="914"/>
      <c r="CTM27" s="911"/>
      <c r="CTN27" s="911"/>
      <c r="CTO27" s="911"/>
      <c r="CTP27" s="915"/>
      <c r="CTQ27" s="914"/>
      <c r="CTR27" s="914"/>
      <c r="CTS27" s="914"/>
      <c r="CTT27" s="914"/>
      <c r="CTU27" s="914"/>
      <c r="CTV27" s="914"/>
      <c r="CTW27" s="914"/>
      <c r="CTX27" s="911"/>
      <c r="CTY27" s="911"/>
      <c r="CTZ27" s="911"/>
      <c r="CUA27" s="915"/>
      <c r="CUB27" s="914"/>
      <c r="CUC27" s="914"/>
      <c r="CUD27" s="914"/>
      <c r="CUE27" s="914"/>
      <c r="CUF27" s="914"/>
      <c r="CUG27" s="914"/>
      <c r="CUH27" s="914"/>
      <c r="CUI27" s="911"/>
      <c r="CUJ27" s="911"/>
      <c r="CUK27" s="911"/>
      <c r="CUL27" s="915"/>
      <c r="CUM27" s="914"/>
      <c r="CUN27" s="914"/>
      <c r="CUO27" s="914"/>
      <c r="CUP27" s="914"/>
      <c r="CUQ27" s="914"/>
      <c r="CUR27" s="914"/>
      <c r="CUS27" s="914"/>
      <c r="CUT27" s="911"/>
      <c r="CUU27" s="911"/>
      <c r="CUV27" s="911"/>
      <c r="CUW27" s="915"/>
      <c r="CUX27" s="914"/>
      <c r="CUY27" s="914"/>
      <c r="CUZ27" s="914"/>
      <c r="CVA27" s="914"/>
      <c r="CVB27" s="914"/>
      <c r="CVC27" s="914"/>
      <c r="CVD27" s="914"/>
      <c r="CVE27" s="911"/>
      <c r="CVF27" s="911"/>
      <c r="CVG27" s="911"/>
      <c r="CVH27" s="915"/>
      <c r="CVI27" s="914"/>
      <c r="CVJ27" s="914"/>
      <c r="CVK27" s="914"/>
      <c r="CVL27" s="914"/>
      <c r="CVM27" s="914"/>
      <c r="CVN27" s="914"/>
      <c r="CVO27" s="914"/>
      <c r="CVP27" s="911"/>
      <c r="CVQ27" s="911"/>
      <c r="CVR27" s="911"/>
      <c r="CVS27" s="915"/>
      <c r="CVT27" s="914"/>
      <c r="CVU27" s="914"/>
      <c r="CVV27" s="914"/>
      <c r="CVW27" s="914"/>
      <c r="CVX27" s="914"/>
      <c r="CVY27" s="914"/>
      <c r="CVZ27" s="914"/>
      <c r="CWA27" s="911"/>
      <c r="CWB27" s="911"/>
      <c r="CWC27" s="911"/>
      <c r="CWD27" s="915"/>
      <c r="CWE27" s="914"/>
      <c r="CWF27" s="914"/>
      <c r="CWG27" s="914"/>
      <c r="CWH27" s="914"/>
      <c r="CWI27" s="914"/>
      <c r="CWJ27" s="914"/>
      <c r="CWK27" s="914"/>
      <c r="CWL27" s="911"/>
      <c r="CWM27" s="911"/>
      <c r="CWN27" s="911"/>
      <c r="CWO27" s="915"/>
      <c r="CWP27" s="914"/>
      <c r="CWQ27" s="914"/>
      <c r="CWR27" s="914"/>
      <c r="CWS27" s="914"/>
      <c r="CWT27" s="914"/>
      <c r="CWU27" s="914"/>
      <c r="CWV27" s="914"/>
      <c r="CWW27" s="911"/>
      <c r="CWX27" s="911"/>
      <c r="CWY27" s="911"/>
      <c r="CWZ27" s="915"/>
      <c r="CXA27" s="914"/>
      <c r="CXB27" s="914"/>
      <c r="CXC27" s="914"/>
      <c r="CXD27" s="914"/>
      <c r="CXE27" s="914"/>
      <c r="CXF27" s="914"/>
      <c r="CXG27" s="914"/>
      <c r="CXH27" s="911"/>
      <c r="CXI27" s="911"/>
      <c r="CXJ27" s="911"/>
      <c r="CXK27" s="915"/>
      <c r="CXL27" s="914"/>
      <c r="CXM27" s="914"/>
      <c r="CXN27" s="914"/>
      <c r="CXO27" s="914"/>
      <c r="CXP27" s="914"/>
      <c r="CXQ27" s="914"/>
      <c r="CXR27" s="914"/>
      <c r="CXS27" s="911"/>
      <c r="CXT27" s="911"/>
      <c r="CXU27" s="911"/>
      <c r="CXV27" s="915"/>
      <c r="CXW27" s="914"/>
      <c r="CXX27" s="914"/>
      <c r="CXY27" s="914"/>
      <c r="CXZ27" s="914"/>
      <c r="CYA27" s="914"/>
      <c r="CYB27" s="914"/>
      <c r="CYC27" s="914"/>
      <c r="CYD27" s="911"/>
      <c r="CYE27" s="911"/>
      <c r="CYF27" s="911"/>
      <c r="CYG27" s="915"/>
      <c r="CYH27" s="914"/>
      <c r="CYI27" s="914"/>
      <c r="CYJ27" s="914"/>
      <c r="CYK27" s="914"/>
      <c r="CYL27" s="914"/>
      <c r="CYM27" s="914"/>
      <c r="CYN27" s="914"/>
      <c r="CYO27" s="911"/>
      <c r="CYP27" s="911"/>
      <c r="CYQ27" s="911"/>
      <c r="CYR27" s="915"/>
      <c r="CYS27" s="914"/>
      <c r="CYT27" s="914"/>
      <c r="CYU27" s="914"/>
      <c r="CYV27" s="914"/>
      <c r="CYW27" s="914"/>
      <c r="CYX27" s="914"/>
      <c r="CYY27" s="914"/>
      <c r="CYZ27" s="911"/>
      <c r="CZA27" s="911"/>
      <c r="CZB27" s="911"/>
      <c r="CZC27" s="915"/>
      <c r="CZD27" s="914"/>
      <c r="CZE27" s="914"/>
      <c r="CZF27" s="914"/>
      <c r="CZG27" s="914"/>
      <c r="CZH27" s="914"/>
      <c r="CZI27" s="914"/>
      <c r="CZJ27" s="914"/>
      <c r="CZK27" s="911"/>
      <c r="CZL27" s="911"/>
      <c r="CZM27" s="911"/>
      <c r="CZN27" s="915"/>
      <c r="CZO27" s="914"/>
      <c r="CZP27" s="914"/>
      <c r="CZQ27" s="914"/>
      <c r="CZR27" s="914"/>
      <c r="CZS27" s="914"/>
      <c r="CZT27" s="914"/>
      <c r="CZU27" s="914"/>
      <c r="CZV27" s="911"/>
      <c r="CZW27" s="911"/>
      <c r="CZX27" s="911"/>
      <c r="CZY27" s="915"/>
      <c r="CZZ27" s="914"/>
      <c r="DAA27" s="914"/>
      <c r="DAB27" s="914"/>
      <c r="DAC27" s="914"/>
      <c r="DAD27" s="914"/>
      <c r="DAE27" s="914"/>
      <c r="DAF27" s="914"/>
      <c r="DAG27" s="911"/>
      <c r="DAH27" s="911"/>
      <c r="DAI27" s="911"/>
      <c r="DAJ27" s="915"/>
      <c r="DAK27" s="914"/>
      <c r="DAL27" s="914"/>
      <c r="DAM27" s="914"/>
      <c r="DAN27" s="914"/>
      <c r="DAO27" s="914"/>
      <c r="DAP27" s="914"/>
      <c r="DAQ27" s="914"/>
      <c r="DAR27" s="911"/>
      <c r="DAS27" s="911"/>
      <c r="DAT27" s="911"/>
      <c r="DAU27" s="915"/>
      <c r="DAV27" s="914"/>
      <c r="DAW27" s="914"/>
      <c r="DAX27" s="914"/>
      <c r="DAY27" s="914"/>
      <c r="DAZ27" s="914"/>
      <c r="DBA27" s="914"/>
      <c r="DBB27" s="914"/>
      <c r="DBC27" s="911"/>
      <c r="DBD27" s="911"/>
      <c r="DBE27" s="911"/>
      <c r="DBF27" s="915"/>
      <c r="DBG27" s="914"/>
      <c r="DBH27" s="914"/>
      <c r="DBI27" s="914"/>
      <c r="DBJ27" s="914"/>
      <c r="DBK27" s="914"/>
      <c r="DBL27" s="914"/>
      <c r="DBM27" s="914"/>
      <c r="DBN27" s="911"/>
      <c r="DBO27" s="911"/>
      <c r="DBP27" s="911"/>
      <c r="DBQ27" s="915"/>
      <c r="DBR27" s="914"/>
      <c r="DBS27" s="914"/>
      <c r="DBT27" s="914"/>
      <c r="DBU27" s="914"/>
      <c r="DBV27" s="914"/>
      <c r="DBW27" s="914"/>
      <c r="DBX27" s="914"/>
      <c r="DBY27" s="911"/>
      <c r="DBZ27" s="911"/>
      <c r="DCA27" s="911"/>
      <c r="DCB27" s="915"/>
      <c r="DCC27" s="914"/>
      <c r="DCD27" s="914"/>
      <c r="DCE27" s="914"/>
      <c r="DCF27" s="914"/>
      <c r="DCG27" s="914"/>
      <c r="DCH27" s="914"/>
      <c r="DCI27" s="914"/>
      <c r="DCJ27" s="911"/>
      <c r="DCK27" s="911"/>
      <c r="DCL27" s="911"/>
      <c r="DCM27" s="915"/>
      <c r="DCN27" s="914"/>
      <c r="DCO27" s="914"/>
      <c r="DCP27" s="914"/>
      <c r="DCQ27" s="914"/>
      <c r="DCR27" s="914"/>
      <c r="DCS27" s="914"/>
      <c r="DCT27" s="914"/>
      <c r="DCU27" s="911"/>
      <c r="DCV27" s="911"/>
      <c r="DCW27" s="911"/>
      <c r="DCX27" s="915"/>
      <c r="DCY27" s="914"/>
      <c r="DCZ27" s="914"/>
      <c r="DDA27" s="914"/>
      <c r="DDB27" s="914"/>
      <c r="DDC27" s="914"/>
      <c r="DDD27" s="914"/>
      <c r="DDE27" s="914"/>
      <c r="DDF27" s="911"/>
      <c r="DDG27" s="911"/>
      <c r="DDH27" s="911"/>
      <c r="DDI27" s="915"/>
      <c r="DDJ27" s="914"/>
      <c r="DDK27" s="914"/>
      <c r="DDL27" s="914"/>
      <c r="DDM27" s="914"/>
      <c r="DDN27" s="914"/>
      <c r="DDO27" s="914"/>
      <c r="DDP27" s="914"/>
      <c r="DDQ27" s="911"/>
      <c r="DDR27" s="911"/>
      <c r="DDS27" s="911"/>
      <c r="DDT27" s="915"/>
      <c r="DDU27" s="914"/>
      <c r="DDV27" s="914"/>
      <c r="DDW27" s="914"/>
      <c r="DDX27" s="914"/>
      <c r="DDY27" s="914"/>
      <c r="DDZ27" s="914"/>
      <c r="DEA27" s="914"/>
      <c r="DEB27" s="911"/>
      <c r="DEC27" s="911"/>
      <c r="DED27" s="911"/>
      <c r="DEE27" s="915"/>
      <c r="DEF27" s="914"/>
      <c r="DEG27" s="914"/>
      <c r="DEH27" s="914"/>
      <c r="DEI27" s="914"/>
      <c r="DEJ27" s="914"/>
      <c r="DEK27" s="914"/>
      <c r="DEL27" s="914"/>
      <c r="DEM27" s="911"/>
      <c r="DEN27" s="911"/>
      <c r="DEO27" s="911"/>
      <c r="DEP27" s="915"/>
      <c r="DEQ27" s="914"/>
      <c r="DER27" s="914"/>
      <c r="DES27" s="914"/>
      <c r="DET27" s="914"/>
      <c r="DEU27" s="914"/>
      <c r="DEV27" s="914"/>
      <c r="DEW27" s="914"/>
      <c r="DEX27" s="911"/>
      <c r="DEY27" s="911"/>
      <c r="DEZ27" s="911"/>
      <c r="DFA27" s="915"/>
      <c r="DFB27" s="914"/>
      <c r="DFC27" s="914"/>
      <c r="DFD27" s="914"/>
      <c r="DFE27" s="914"/>
      <c r="DFF27" s="914"/>
      <c r="DFG27" s="914"/>
      <c r="DFH27" s="914"/>
      <c r="DFI27" s="911"/>
      <c r="DFJ27" s="911"/>
      <c r="DFK27" s="911"/>
      <c r="DFL27" s="915"/>
      <c r="DFM27" s="914"/>
      <c r="DFN27" s="914"/>
      <c r="DFO27" s="914"/>
      <c r="DFP27" s="914"/>
      <c r="DFQ27" s="914"/>
      <c r="DFR27" s="914"/>
      <c r="DFS27" s="914"/>
      <c r="DFT27" s="911"/>
      <c r="DFU27" s="911"/>
      <c r="DFV27" s="911"/>
      <c r="DFW27" s="915"/>
      <c r="DFX27" s="914"/>
      <c r="DFY27" s="914"/>
      <c r="DFZ27" s="914"/>
      <c r="DGA27" s="914"/>
      <c r="DGB27" s="914"/>
      <c r="DGC27" s="914"/>
      <c r="DGD27" s="914"/>
      <c r="DGE27" s="911"/>
      <c r="DGF27" s="911"/>
      <c r="DGG27" s="911"/>
      <c r="DGH27" s="915"/>
      <c r="DGI27" s="914"/>
      <c r="DGJ27" s="914"/>
      <c r="DGK27" s="914"/>
      <c r="DGL27" s="914"/>
      <c r="DGM27" s="914"/>
      <c r="DGN27" s="914"/>
      <c r="DGO27" s="914"/>
      <c r="DGP27" s="911"/>
      <c r="DGQ27" s="911"/>
      <c r="DGR27" s="911"/>
      <c r="DGS27" s="915"/>
      <c r="DGT27" s="914"/>
      <c r="DGU27" s="914"/>
      <c r="DGV27" s="914"/>
      <c r="DGW27" s="914"/>
      <c r="DGX27" s="914"/>
      <c r="DGY27" s="914"/>
      <c r="DGZ27" s="914"/>
      <c r="DHA27" s="911"/>
      <c r="DHB27" s="911"/>
      <c r="DHC27" s="911"/>
      <c r="DHD27" s="915"/>
      <c r="DHE27" s="914"/>
      <c r="DHF27" s="914"/>
      <c r="DHG27" s="914"/>
      <c r="DHH27" s="914"/>
      <c r="DHI27" s="914"/>
      <c r="DHJ27" s="914"/>
      <c r="DHK27" s="914"/>
      <c r="DHL27" s="911"/>
      <c r="DHM27" s="911"/>
      <c r="DHN27" s="911"/>
      <c r="DHO27" s="915"/>
      <c r="DHP27" s="914"/>
      <c r="DHQ27" s="914"/>
      <c r="DHR27" s="914"/>
      <c r="DHS27" s="914"/>
      <c r="DHT27" s="914"/>
      <c r="DHU27" s="914"/>
      <c r="DHV27" s="914"/>
      <c r="DHW27" s="911"/>
      <c r="DHX27" s="911"/>
      <c r="DHY27" s="911"/>
      <c r="DHZ27" s="915"/>
      <c r="DIA27" s="914"/>
      <c r="DIB27" s="914"/>
      <c r="DIC27" s="914"/>
      <c r="DID27" s="914"/>
      <c r="DIE27" s="914"/>
      <c r="DIF27" s="914"/>
      <c r="DIG27" s="914"/>
      <c r="DIH27" s="911"/>
      <c r="DII27" s="911"/>
      <c r="DIJ27" s="911"/>
      <c r="DIK27" s="915"/>
      <c r="DIL27" s="914"/>
      <c r="DIM27" s="914"/>
      <c r="DIN27" s="914"/>
      <c r="DIO27" s="914"/>
      <c r="DIP27" s="914"/>
      <c r="DIQ27" s="914"/>
      <c r="DIR27" s="914"/>
      <c r="DIS27" s="911"/>
      <c r="DIT27" s="911"/>
      <c r="DIU27" s="911"/>
      <c r="DIV27" s="915"/>
      <c r="DIW27" s="914"/>
      <c r="DIX27" s="914"/>
      <c r="DIY27" s="914"/>
      <c r="DIZ27" s="914"/>
      <c r="DJA27" s="914"/>
      <c r="DJB27" s="914"/>
      <c r="DJC27" s="914"/>
      <c r="DJD27" s="911"/>
      <c r="DJE27" s="911"/>
      <c r="DJF27" s="911"/>
      <c r="DJG27" s="915"/>
      <c r="DJH27" s="914"/>
      <c r="DJI27" s="914"/>
      <c r="DJJ27" s="914"/>
      <c r="DJK27" s="914"/>
      <c r="DJL27" s="914"/>
      <c r="DJM27" s="914"/>
      <c r="DJN27" s="914"/>
      <c r="DJO27" s="911"/>
      <c r="DJP27" s="911"/>
      <c r="DJQ27" s="911"/>
      <c r="DJR27" s="915"/>
      <c r="DJS27" s="914"/>
      <c r="DJT27" s="914"/>
      <c r="DJU27" s="914"/>
      <c r="DJV27" s="914"/>
      <c r="DJW27" s="914"/>
      <c r="DJX27" s="914"/>
      <c r="DJY27" s="914"/>
      <c r="DJZ27" s="911"/>
      <c r="DKA27" s="911"/>
      <c r="DKB27" s="911"/>
      <c r="DKC27" s="915"/>
      <c r="DKD27" s="914"/>
      <c r="DKE27" s="914"/>
      <c r="DKF27" s="914"/>
      <c r="DKG27" s="914"/>
      <c r="DKH27" s="914"/>
      <c r="DKI27" s="914"/>
      <c r="DKJ27" s="914"/>
      <c r="DKK27" s="911"/>
      <c r="DKL27" s="911"/>
      <c r="DKM27" s="911"/>
      <c r="DKN27" s="915"/>
      <c r="DKO27" s="914"/>
      <c r="DKP27" s="914"/>
      <c r="DKQ27" s="914"/>
      <c r="DKR27" s="914"/>
      <c r="DKS27" s="914"/>
      <c r="DKT27" s="914"/>
      <c r="DKU27" s="914"/>
      <c r="DKV27" s="911"/>
      <c r="DKW27" s="911"/>
      <c r="DKX27" s="911"/>
      <c r="DKY27" s="915"/>
      <c r="DKZ27" s="914"/>
      <c r="DLA27" s="914"/>
      <c r="DLB27" s="914"/>
      <c r="DLC27" s="914"/>
      <c r="DLD27" s="914"/>
      <c r="DLE27" s="914"/>
      <c r="DLF27" s="914"/>
      <c r="DLG27" s="911"/>
      <c r="DLH27" s="911"/>
      <c r="DLI27" s="911"/>
      <c r="DLJ27" s="915"/>
      <c r="DLK27" s="914"/>
      <c r="DLL27" s="914"/>
      <c r="DLM27" s="914"/>
      <c r="DLN27" s="914"/>
      <c r="DLO27" s="914"/>
      <c r="DLP27" s="914"/>
      <c r="DLQ27" s="914"/>
      <c r="DLR27" s="911"/>
      <c r="DLS27" s="911"/>
      <c r="DLT27" s="911"/>
      <c r="DLU27" s="915"/>
      <c r="DLV27" s="914"/>
      <c r="DLW27" s="914"/>
      <c r="DLX27" s="914"/>
      <c r="DLY27" s="914"/>
      <c r="DLZ27" s="914"/>
      <c r="DMA27" s="914"/>
      <c r="DMB27" s="914"/>
      <c r="DMC27" s="911"/>
      <c r="DMD27" s="911"/>
      <c r="DME27" s="911"/>
      <c r="DMF27" s="915"/>
      <c r="DMG27" s="914"/>
      <c r="DMH27" s="914"/>
      <c r="DMI27" s="914"/>
      <c r="DMJ27" s="914"/>
      <c r="DMK27" s="914"/>
      <c r="DML27" s="914"/>
      <c r="DMM27" s="914"/>
      <c r="DMN27" s="911"/>
      <c r="DMO27" s="911"/>
      <c r="DMP27" s="911"/>
      <c r="DMQ27" s="915"/>
      <c r="DMR27" s="914"/>
      <c r="DMS27" s="914"/>
      <c r="DMT27" s="914"/>
      <c r="DMU27" s="914"/>
      <c r="DMV27" s="914"/>
      <c r="DMW27" s="914"/>
      <c r="DMX27" s="914"/>
      <c r="DMY27" s="911"/>
      <c r="DMZ27" s="911"/>
      <c r="DNA27" s="911"/>
      <c r="DNB27" s="915"/>
      <c r="DNC27" s="914"/>
      <c r="DND27" s="914"/>
      <c r="DNE27" s="914"/>
      <c r="DNF27" s="914"/>
      <c r="DNG27" s="914"/>
      <c r="DNH27" s="914"/>
      <c r="DNI27" s="914"/>
      <c r="DNJ27" s="911"/>
      <c r="DNK27" s="911"/>
      <c r="DNL27" s="911"/>
      <c r="DNM27" s="915"/>
      <c r="DNN27" s="914"/>
      <c r="DNO27" s="914"/>
      <c r="DNP27" s="914"/>
      <c r="DNQ27" s="914"/>
      <c r="DNR27" s="914"/>
      <c r="DNS27" s="914"/>
      <c r="DNT27" s="914"/>
      <c r="DNU27" s="911"/>
      <c r="DNV27" s="911"/>
      <c r="DNW27" s="911"/>
      <c r="DNX27" s="915"/>
      <c r="DNY27" s="914"/>
      <c r="DNZ27" s="914"/>
      <c r="DOA27" s="914"/>
      <c r="DOB27" s="914"/>
      <c r="DOC27" s="914"/>
      <c r="DOD27" s="914"/>
      <c r="DOE27" s="914"/>
      <c r="DOF27" s="911"/>
      <c r="DOG27" s="911"/>
      <c r="DOH27" s="911"/>
      <c r="DOI27" s="915"/>
      <c r="DOJ27" s="914"/>
      <c r="DOK27" s="914"/>
      <c r="DOL27" s="914"/>
      <c r="DOM27" s="914"/>
      <c r="DON27" s="914"/>
      <c r="DOO27" s="914"/>
      <c r="DOP27" s="914"/>
      <c r="DOQ27" s="911"/>
      <c r="DOR27" s="911"/>
      <c r="DOS27" s="911"/>
      <c r="DOT27" s="915"/>
      <c r="DOU27" s="914"/>
      <c r="DOV27" s="914"/>
      <c r="DOW27" s="914"/>
      <c r="DOX27" s="914"/>
      <c r="DOY27" s="914"/>
      <c r="DOZ27" s="914"/>
      <c r="DPA27" s="914"/>
      <c r="DPB27" s="911"/>
      <c r="DPC27" s="911"/>
      <c r="DPD27" s="911"/>
      <c r="DPE27" s="915"/>
      <c r="DPF27" s="914"/>
      <c r="DPG27" s="914"/>
      <c r="DPH27" s="914"/>
      <c r="DPI27" s="914"/>
      <c r="DPJ27" s="914"/>
      <c r="DPK27" s="914"/>
      <c r="DPL27" s="914"/>
      <c r="DPM27" s="911"/>
      <c r="DPN27" s="911"/>
      <c r="DPO27" s="911"/>
      <c r="DPP27" s="915"/>
      <c r="DPQ27" s="914"/>
      <c r="DPR27" s="914"/>
      <c r="DPS27" s="914"/>
      <c r="DPT27" s="914"/>
      <c r="DPU27" s="914"/>
      <c r="DPV27" s="914"/>
      <c r="DPW27" s="914"/>
      <c r="DPX27" s="911"/>
      <c r="DPY27" s="911"/>
      <c r="DPZ27" s="911"/>
      <c r="DQA27" s="915"/>
      <c r="DQB27" s="914"/>
      <c r="DQC27" s="914"/>
      <c r="DQD27" s="914"/>
      <c r="DQE27" s="914"/>
      <c r="DQF27" s="914"/>
      <c r="DQG27" s="914"/>
      <c r="DQH27" s="914"/>
      <c r="DQI27" s="911"/>
      <c r="DQJ27" s="911"/>
      <c r="DQK27" s="911"/>
      <c r="DQL27" s="915"/>
      <c r="DQM27" s="914"/>
      <c r="DQN27" s="914"/>
      <c r="DQO27" s="914"/>
      <c r="DQP27" s="914"/>
      <c r="DQQ27" s="914"/>
      <c r="DQR27" s="914"/>
      <c r="DQS27" s="914"/>
      <c r="DQT27" s="911"/>
      <c r="DQU27" s="911"/>
      <c r="DQV27" s="911"/>
      <c r="DQW27" s="915"/>
      <c r="DQX27" s="914"/>
      <c r="DQY27" s="914"/>
      <c r="DQZ27" s="914"/>
      <c r="DRA27" s="914"/>
      <c r="DRB27" s="914"/>
      <c r="DRC27" s="914"/>
      <c r="DRD27" s="914"/>
      <c r="DRE27" s="911"/>
      <c r="DRF27" s="911"/>
      <c r="DRG27" s="911"/>
      <c r="DRH27" s="915"/>
      <c r="DRI27" s="914"/>
      <c r="DRJ27" s="914"/>
      <c r="DRK27" s="914"/>
      <c r="DRL27" s="914"/>
      <c r="DRM27" s="914"/>
      <c r="DRN27" s="914"/>
      <c r="DRO27" s="914"/>
      <c r="DRP27" s="911"/>
      <c r="DRQ27" s="911"/>
      <c r="DRR27" s="911"/>
      <c r="DRS27" s="915"/>
      <c r="DRT27" s="914"/>
      <c r="DRU27" s="914"/>
      <c r="DRV27" s="914"/>
      <c r="DRW27" s="914"/>
      <c r="DRX27" s="914"/>
      <c r="DRY27" s="914"/>
      <c r="DRZ27" s="914"/>
      <c r="DSA27" s="911"/>
      <c r="DSB27" s="911"/>
      <c r="DSC27" s="911"/>
      <c r="DSD27" s="915"/>
      <c r="DSE27" s="914"/>
      <c r="DSF27" s="914"/>
      <c r="DSG27" s="914"/>
      <c r="DSH27" s="914"/>
      <c r="DSI27" s="914"/>
      <c r="DSJ27" s="914"/>
      <c r="DSK27" s="914"/>
      <c r="DSL27" s="911"/>
      <c r="DSM27" s="911"/>
      <c r="DSN27" s="911"/>
      <c r="DSO27" s="915"/>
      <c r="DSP27" s="914"/>
      <c r="DSQ27" s="914"/>
      <c r="DSR27" s="914"/>
      <c r="DSS27" s="914"/>
      <c r="DST27" s="914"/>
      <c r="DSU27" s="914"/>
      <c r="DSV27" s="914"/>
      <c r="DSW27" s="911"/>
      <c r="DSX27" s="911"/>
      <c r="DSY27" s="911"/>
      <c r="DSZ27" s="915"/>
      <c r="DTA27" s="914"/>
      <c r="DTB27" s="914"/>
      <c r="DTC27" s="914"/>
      <c r="DTD27" s="914"/>
      <c r="DTE27" s="914"/>
      <c r="DTF27" s="914"/>
      <c r="DTG27" s="914"/>
      <c r="DTH27" s="911"/>
      <c r="DTI27" s="911"/>
      <c r="DTJ27" s="911"/>
      <c r="DTK27" s="915"/>
      <c r="DTL27" s="914"/>
      <c r="DTM27" s="914"/>
      <c r="DTN27" s="914"/>
      <c r="DTO27" s="914"/>
      <c r="DTP27" s="914"/>
      <c r="DTQ27" s="914"/>
      <c r="DTR27" s="914"/>
      <c r="DTS27" s="911"/>
      <c r="DTT27" s="911"/>
      <c r="DTU27" s="911"/>
      <c r="DTV27" s="915"/>
      <c r="DTW27" s="914"/>
      <c r="DTX27" s="914"/>
      <c r="DTY27" s="914"/>
      <c r="DTZ27" s="914"/>
      <c r="DUA27" s="914"/>
      <c r="DUB27" s="914"/>
      <c r="DUC27" s="914"/>
      <c r="DUD27" s="911"/>
      <c r="DUE27" s="911"/>
      <c r="DUF27" s="911"/>
      <c r="DUG27" s="915"/>
      <c r="DUH27" s="914"/>
      <c r="DUI27" s="914"/>
      <c r="DUJ27" s="914"/>
      <c r="DUK27" s="914"/>
      <c r="DUL27" s="914"/>
      <c r="DUM27" s="914"/>
      <c r="DUN27" s="914"/>
      <c r="DUO27" s="911"/>
      <c r="DUP27" s="911"/>
      <c r="DUQ27" s="911"/>
      <c r="DUR27" s="915"/>
      <c r="DUS27" s="914"/>
      <c r="DUT27" s="914"/>
      <c r="DUU27" s="914"/>
      <c r="DUV27" s="914"/>
      <c r="DUW27" s="914"/>
      <c r="DUX27" s="914"/>
      <c r="DUY27" s="914"/>
      <c r="DUZ27" s="911"/>
      <c r="DVA27" s="911"/>
      <c r="DVB27" s="911"/>
      <c r="DVC27" s="915"/>
      <c r="DVD27" s="914"/>
      <c r="DVE27" s="914"/>
      <c r="DVF27" s="914"/>
      <c r="DVG27" s="914"/>
      <c r="DVH27" s="914"/>
      <c r="DVI27" s="914"/>
      <c r="DVJ27" s="914"/>
      <c r="DVK27" s="911"/>
      <c r="DVL27" s="911"/>
      <c r="DVM27" s="911"/>
      <c r="DVN27" s="915"/>
      <c r="DVO27" s="914"/>
      <c r="DVP27" s="914"/>
      <c r="DVQ27" s="914"/>
      <c r="DVR27" s="914"/>
      <c r="DVS27" s="914"/>
      <c r="DVT27" s="914"/>
      <c r="DVU27" s="914"/>
      <c r="DVV27" s="911"/>
      <c r="DVW27" s="911"/>
      <c r="DVX27" s="911"/>
      <c r="DVY27" s="915"/>
      <c r="DVZ27" s="914"/>
      <c r="DWA27" s="914"/>
      <c r="DWB27" s="914"/>
      <c r="DWC27" s="914"/>
      <c r="DWD27" s="914"/>
      <c r="DWE27" s="914"/>
      <c r="DWF27" s="914"/>
      <c r="DWG27" s="911"/>
      <c r="DWH27" s="911"/>
      <c r="DWI27" s="911"/>
      <c r="DWJ27" s="915"/>
      <c r="DWK27" s="914"/>
      <c r="DWL27" s="914"/>
      <c r="DWM27" s="914"/>
      <c r="DWN27" s="914"/>
      <c r="DWO27" s="914"/>
      <c r="DWP27" s="914"/>
      <c r="DWQ27" s="914"/>
      <c r="DWR27" s="911"/>
      <c r="DWS27" s="911"/>
      <c r="DWT27" s="911"/>
      <c r="DWU27" s="915"/>
      <c r="DWV27" s="914"/>
      <c r="DWW27" s="914"/>
      <c r="DWX27" s="914"/>
      <c r="DWY27" s="914"/>
      <c r="DWZ27" s="914"/>
      <c r="DXA27" s="914"/>
      <c r="DXB27" s="914"/>
      <c r="DXC27" s="911"/>
      <c r="DXD27" s="911"/>
      <c r="DXE27" s="911"/>
      <c r="DXF27" s="915"/>
      <c r="DXG27" s="914"/>
      <c r="DXH27" s="914"/>
      <c r="DXI27" s="914"/>
      <c r="DXJ27" s="914"/>
      <c r="DXK27" s="914"/>
      <c r="DXL27" s="914"/>
      <c r="DXM27" s="914"/>
      <c r="DXN27" s="911"/>
      <c r="DXO27" s="911"/>
      <c r="DXP27" s="911"/>
      <c r="DXQ27" s="915"/>
      <c r="DXR27" s="914"/>
      <c r="DXS27" s="914"/>
      <c r="DXT27" s="914"/>
      <c r="DXU27" s="914"/>
      <c r="DXV27" s="914"/>
      <c r="DXW27" s="914"/>
      <c r="DXX27" s="914"/>
      <c r="DXY27" s="911"/>
      <c r="DXZ27" s="911"/>
      <c r="DYA27" s="911"/>
      <c r="DYB27" s="915"/>
      <c r="DYC27" s="914"/>
      <c r="DYD27" s="914"/>
      <c r="DYE27" s="914"/>
      <c r="DYF27" s="914"/>
      <c r="DYG27" s="914"/>
      <c r="DYH27" s="914"/>
      <c r="DYI27" s="914"/>
      <c r="DYJ27" s="911"/>
      <c r="DYK27" s="911"/>
      <c r="DYL27" s="911"/>
      <c r="DYM27" s="915"/>
      <c r="DYN27" s="914"/>
      <c r="DYO27" s="914"/>
      <c r="DYP27" s="914"/>
      <c r="DYQ27" s="914"/>
      <c r="DYR27" s="914"/>
      <c r="DYS27" s="914"/>
      <c r="DYT27" s="914"/>
      <c r="DYU27" s="911"/>
      <c r="DYV27" s="911"/>
      <c r="DYW27" s="911"/>
      <c r="DYX27" s="915"/>
      <c r="DYY27" s="914"/>
      <c r="DYZ27" s="914"/>
      <c r="DZA27" s="914"/>
      <c r="DZB27" s="914"/>
      <c r="DZC27" s="914"/>
      <c r="DZD27" s="914"/>
      <c r="DZE27" s="914"/>
      <c r="DZF27" s="911"/>
      <c r="DZG27" s="911"/>
      <c r="DZH27" s="911"/>
      <c r="DZI27" s="915"/>
      <c r="DZJ27" s="914"/>
      <c r="DZK27" s="914"/>
      <c r="DZL27" s="914"/>
      <c r="DZM27" s="914"/>
      <c r="DZN27" s="914"/>
      <c r="DZO27" s="914"/>
      <c r="DZP27" s="914"/>
      <c r="DZQ27" s="911"/>
      <c r="DZR27" s="911"/>
      <c r="DZS27" s="911"/>
      <c r="DZT27" s="915"/>
      <c r="DZU27" s="914"/>
      <c r="DZV27" s="914"/>
      <c r="DZW27" s="914"/>
      <c r="DZX27" s="914"/>
      <c r="DZY27" s="914"/>
      <c r="DZZ27" s="914"/>
      <c r="EAA27" s="914"/>
      <c r="EAB27" s="911"/>
      <c r="EAC27" s="911"/>
      <c r="EAD27" s="911"/>
      <c r="EAE27" s="915"/>
      <c r="EAF27" s="914"/>
      <c r="EAG27" s="914"/>
      <c r="EAH27" s="914"/>
      <c r="EAI27" s="914"/>
      <c r="EAJ27" s="914"/>
      <c r="EAK27" s="914"/>
      <c r="EAL27" s="914"/>
      <c r="EAM27" s="911"/>
      <c r="EAN27" s="911"/>
      <c r="EAO27" s="911"/>
      <c r="EAP27" s="915"/>
      <c r="EAQ27" s="914"/>
      <c r="EAR27" s="914"/>
      <c r="EAS27" s="914"/>
      <c r="EAT27" s="914"/>
      <c r="EAU27" s="914"/>
      <c r="EAV27" s="914"/>
      <c r="EAW27" s="914"/>
      <c r="EAX27" s="911"/>
      <c r="EAY27" s="911"/>
      <c r="EAZ27" s="911"/>
      <c r="EBA27" s="915"/>
      <c r="EBB27" s="914"/>
      <c r="EBC27" s="914"/>
      <c r="EBD27" s="914"/>
      <c r="EBE27" s="914"/>
      <c r="EBF27" s="914"/>
      <c r="EBG27" s="914"/>
      <c r="EBH27" s="914"/>
      <c r="EBI27" s="911"/>
      <c r="EBJ27" s="911"/>
      <c r="EBK27" s="911"/>
      <c r="EBL27" s="915"/>
      <c r="EBM27" s="914"/>
      <c r="EBN27" s="914"/>
      <c r="EBO27" s="914"/>
      <c r="EBP27" s="914"/>
      <c r="EBQ27" s="914"/>
      <c r="EBR27" s="914"/>
      <c r="EBS27" s="914"/>
      <c r="EBT27" s="911"/>
      <c r="EBU27" s="911"/>
      <c r="EBV27" s="911"/>
      <c r="EBW27" s="915"/>
      <c r="EBX27" s="914"/>
      <c r="EBY27" s="914"/>
      <c r="EBZ27" s="914"/>
      <c r="ECA27" s="914"/>
      <c r="ECB27" s="914"/>
      <c r="ECC27" s="914"/>
      <c r="ECD27" s="914"/>
      <c r="ECE27" s="911"/>
      <c r="ECF27" s="911"/>
      <c r="ECG27" s="911"/>
      <c r="ECH27" s="915"/>
      <c r="ECI27" s="914"/>
      <c r="ECJ27" s="914"/>
      <c r="ECK27" s="914"/>
      <c r="ECL27" s="914"/>
      <c r="ECM27" s="914"/>
      <c r="ECN27" s="914"/>
      <c r="ECO27" s="914"/>
      <c r="ECP27" s="911"/>
      <c r="ECQ27" s="911"/>
      <c r="ECR27" s="911"/>
      <c r="ECS27" s="915"/>
      <c r="ECT27" s="914"/>
      <c r="ECU27" s="914"/>
      <c r="ECV27" s="914"/>
      <c r="ECW27" s="914"/>
      <c r="ECX27" s="914"/>
      <c r="ECY27" s="914"/>
      <c r="ECZ27" s="914"/>
      <c r="EDA27" s="911"/>
      <c r="EDB27" s="911"/>
      <c r="EDC27" s="911"/>
      <c r="EDD27" s="915"/>
      <c r="EDE27" s="914"/>
      <c r="EDF27" s="914"/>
      <c r="EDG27" s="914"/>
      <c r="EDH27" s="914"/>
      <c r="EDI27" s="914"/>
      <c r="EDJ27" s="914"/>
      <c r="EDK27" s="914"/>
      <c r="EDL27" s="911"/>
      <c r="EDM27" s="911"/>
      <c r="EDN27" s="911"/>
      <c r="EDO27" s="915"/>
      <c r="EDP27" s="914"/>
      <c r="EDQ27" s="914"/>
      <c r="EDR27" s="914"/>
      <c r="EDS27" s="914"/>
      <c r="EDT27" s="914"/>
      <c r="EDU27" s="914"/>
      <c r="EDV27" s="914"/>
      <c r="EDW27" s="911"/>
      <c r="EDX27" s="911"/>
      <c r="EDY27" s="911"/>
      <c r="EDZ27" s="915"/>
      <c r="EEA27" s="914"/>
      <c r="EEB27" s="914"/>
      <c r="EEC27" s="914"/>
      <c r="EED27" s="914"/>
      <c r="EEE27" s="914"/>
      <c r="EEF27" s="914"/>
      <c r="EEG27" s="914"/>
      <c r="EEH27" s="911"/>
      <c r="EEI27" s="911"/>
      <c r="EEJ27" s="911"/>
      <c r="EEK27" s="915"/>
      <c r="EEL27" s="914"/>
      <c r="EEM27" s="914"/>
      <c r="EEN27" s="914"/>
      <c r="EEO27" s="914"/>
      <c r="EEP27" s="914"/>
      <c r="EEQ27" s="914"/>
      <c r="EER27" s="914"/>
      <c r="EES27" s="911"/>
      <c r="EET27" s="911"/>
      <c r="EEU27" s="911"/>
      <c r="EEV27" s="915"/>
      <c r="EEW27" s="914"/>
      <c r="EEX27" s="914"/>
      <c r="EEY27" s="914"/>
      <c r="EEZ27" s="914"/>
      <c r="EFA27" s="914"/>
      <c r="EFB27" s="914"/>
      <c r="EFC27" s="914"/>
      <c r="EFD27" s="911"/>
      <c r="EFE27" s="911"/>
      <c r="EFF27" s="911"/>
      <c r="EFG27" s="915"/>
      <c r="EFH27" s="914"/>
      <c r="EFI27" s="914"/>
      <c r="EFJ27" s="914"/>
      <c r="EFK27" s="914"/>
      <c r="EFL27" s="914"/>
      <c r="EFM27" s="914"/>
      <c r="EFN27" s="914"/>
      <c r="EFO27" s="911"/>
      <c r="EFP27" s="911"/>
      <c r="EFQ27" s="911"/>
      <c r="EFR27" s="915"/>
      <c r="EFS27" s="914"/>
      <c r="EFT27" s="914"/>
      <c r="EFU27" s="914"/>
      <c r="EFV27" s="914"/>
      <c r="EFW27" s="914"/>
      <c r="EFX27" s="914"/>
      <c r="EFY27" s="914"/>
      <c r="EFZ27" s="911"/>
      <c r="EGA27" s="911"/>
      <c r="EGB27" s="911"/>
      <c r="EGC27" s="915"/>
      <c r="EGD27" s="914"/>
      <c r="EGE27" s="914"/>
      <c r="EGF27" s="914"/>
      <c r="EGG27" s="914"/>
      <c r="EGH27" s="914"/>
      <c r="EGI27" s="914"/>
      <c r="EGJ27" s="914"/>
      <c r="EGK27" s="911"/>
      <c r="EGL27" s="911"/>
      <c r="EGM27" s="911"/>
      <c r="EGN27" s="915"/>
      <c r="EGO27" s="914"/>
      <c r="EGP27" s="914"/>
      <c r="EGQ27" s="914"/>
      <c r="EGR27" s="914"/>
      <c r="EGS27" s="914"/>
      <c r="EGT27" s="914"/>
      <c r="EGU27" s="914"/>
      <c r="EGV27" s="911"/>
      <c r="EGW27" s="911"/>
      <c r="EGX27" s="911"/>
      <c r="EGY27" s="915"/>
      <c r="EGZ27" s="914"/>
      <c r="EHA27" s="914"/>
      <c r="EHB27" s="914"/>
      <c r="EHC27" s="914"/>
      <c r="EHD27" s="914"/>
      <c r="EHE27" s="914"/>
      <c r="EHF27" s="914"/>
      <c r="EHG27" s="911"/>
      <c r="EHH27" s="911"/>
      <c r="EHI27" s="911"/>
      <c r="EHJ27" s="915"/>
      <c r="EHK27" s="914"/>
      <c r="EHL27" s="914"/>
      <c r="EHM27" s="914"/>
      <c r="EHN27" s="914"/>
      <c r="EHO27" s="914"/>
      <c r="EHP27" s="914"/>
      <c r="EHQ27" s="914"/>
      <c r="EHR27" s="911"/>
      <c r="EHS27" s="911"/>
      <c r="EHT27" s="911"/>
      <c r="EHU27" s="915"/>
      <c r="EHV27" s="914"/>
      <c r="EHW27" s="914"/>
      <c r="EHX27" s="914"/>
      <c r="EHY27" s="914"/>
      <c r="EHZ27" s="914"/>
      <c r="EIA27" s="914"/>
      <c r="EIB27" s="914"/>
      <c r="EIC27" s="911"/>
      <c r="EID27" s="911"/>
      <c r="EIE27" s="911"/>
      <c r="EIF27" s="915"/>
      <c r="EIG27" s="914"/>
      <c r="EIH27" s="914"/>
      <c r="EII27" s="914"/>
      <c r="EIJ27" s="914"/>
      <c r="EIK27" s="914"/>
      <c r="EIL27" s="914"/>
      <c r="EIM27" s="914"/>
      <c r="EIN27" s="911"/>
      <c r="EIO27" s="911"/>
      <c r="EIP27" s="911"/>
      <c r="EIQ27" s="915"/>
      <c r="EIR27" s="914"/>
      <c r="EIS27" s="914"/>
      <c r="EIT27" s="914"/>
      <c r="EIU27" s="914"/>
      <c r="EIV27" s="914"/>
      <c r="EIW27" s="914"/>
      <c r="EIX27" s="914"/>
      <c r="EIY27" s="911"/>
      <c r="EIZ27" s="911"/>
      <c r="EJA27" s="911"/>
      <c r="EJB27" s="915"/>
      <c r="EJC27" s="914"/>
      <c r="EJD27" s="914"/>
      <c r="EJE27" s="914"/>
      <c r="EJF27" s="914"/>
      <c r="EJG27" s="914"/>
      <c r="EJH27" s="914"/>
      <c r="EJI27" s="914"/>
      <c r="EJJ27" s="911"/>
      <c r="EJK27" s="911"/>
      <c r="EJL27" s="911"/>
      <c r="EJM27" s="915"/>
      <c r="EJN27" s="914"/>
      <c r="EJO27" s="914"/>
      <c r="EJP27" s="914"/>
      <c r="EJQ27" s="914"/>
      <c r="EJR27" s="914"/>
      <c r="EJS27" s="914"/>
      <c r="EJT27" s="914"/>
      <c r="EJU27" s="911"/>
      <c r="EJV27" s="911"/>
      <c r="EJW27" s="911"/>
      <c r="EJX27" s="915"/>
      <c r="EJY27" s="914"/>
      <c r="EJZ27" s="914"/>
      <c r="EKA27" s="914"/>
      <c r="EKB27" s="914"/>
      <c r="EKC27" s="914"/>
      <c r="EKD27" s="914"/>
      <c r="EKE27" s="914"/>
      <c r="EKF27" s="911"/>
      <c r="EKG27" s="911"/>
      <c r="EKH27" s="911"/>
      <c r="EKI27" s="915"/>
      <c r="EKJ27" s="914"/>
      <c r="EKK27" s="914"/>
      <c r="EKL27" s="914"/>
      <c r="EKM27" s="914"/>
      <c r="EKN27" s="914"/>
      <c r="EKO27" s="914"/>
      <c r="EKP27" s="914"/>
      <c r="EKQ27" s="911"/>
      <c r="EKR27" s="911"/>
      <c r="EKS27" s="911"/>
      <c r="EKT27" s="915"/>
      <c r="EKU27" s="914"/>
      <c r="EKV27" s="914"/>
      <c r="EKW27" s="914"/>
      <c r="EKX27" s="914"/>
      <c r="EKY27" s="914"/>
      <c r="EKZ27" s="914"/>
      <c r="ELA27" s="914"/>
      <c r="ELB27" s="911"/>
      <c r="ELC27" s="911"/>
      <c r="ELD27" s="911"/>
      <c r="ELE27" s="915"/>
      <c r="ELF27" s="914"/>
      <c r="ELG27" s="914"/>
      <c r="ELH27" s="914"/>
      <c r="ELI27" s="914"/>
      <c r="ELJ27" s="914"/>
      <c r="ELK27" s="914"/>
      <c r="ELL27" s="914"/>
      <c r="ELM27" s="911"/>
      <c r="ELN27" s="911"/>
      <c r="ELO27" s="911"/>
      <c r="ELP27" s="915"/>
      <c r="ELQ27" s="914"/>
      <c r="ELR27" s="914"/>
      <c r="ELS27" s="914"/>
      <c r="ELT27" s="914"/>
      <c r="ELU27" s="914"/>
      <c r="ELV27" s="914"/>
      <c r="ELW27" s="914"/>
      <c r="ELX27" s="911"/>
      <c r="ELY27" s="911"/>
      <c r="ELZ27" s="911"/>
      <c r="EMA27" s="915"/>
      <c r="EMB27" s="914"/>
      <c r="EMC27" s="914"/>
      <c r="EMD27" s="914"/>
      <c r="EME27" s="914"/>
      <c r="EMF27" s="914"/>
      <c r="EMG27" s="914"/>
      <c r="EMH27" s="914"/>
      <c r="EMI27" s="911"/>
      <c r="EMJ27" s="911"/>
      <c r="EMK27" s="911"/>
      <c r="EML27" s="915"/>
      <c r="EMM27" s="914"/>
      <c r="EMN27" s="914"/>
      <c r="EMO27" s="914"/>
      <c r="EMP27" s="914"/>
      <c r="EMQ27" s="914"/>
      <c r="EMR27" s="914"/>
      <c r="EMS27" s="914"/>
      <c r="EMT27" s="911"/>
      <c r="EMU27" s="911"/>
      <c r="EMV27" s="911"/>
      <c r="EMW27" s="915"/>
      <c r="EMX27" s="914"/>
      <c r="EMY27" s="914"/>
      <c r="EMZ27" s="914"/>
      <c r="ENA27" s="914"/>
      <c r="ENB27" s="914"/>
      <c r="ENC27" s="914"/>
      <c r="END27" s="914"/>
      <c r="ENE27" s="911"/>
      <c r="ENF27" s="911"/>
      <c r="ENG27" s="911"/>
      <c r="ENH27" s="915"/>
      <c r="ENI27" s="914"/>
      <c r="ENJ27" s="914"/>
      <c r="ENK27" s="914"/>
      <c r="ENL27" s="914"/>
      <c r="ENM27" s="914"/>
      <c r="ENN27" s="914"/>
      <c r="ENO27" s="914"/>
      <c r="ENP27" s="911"/>
      <c r="ENQ27" s="911"/>
      <c r="ENR27" s="911"/>
      <c r="ENS27" s="915"/>
      <c r="ENT27" s="914"/>
      <c r="ENU27" s="914"/>
      <c r="ENV27" s="914"/>
      <c r="ENW27" s="914"/>
      <c r="ENX27" s="914"/>
      <c r="ENY27" s="914"/>
      <c r="ENZ27" s="914"/>
      <c r="EOA27" s="911"/>
      <c r="EOB27" s="911"/>
      <c r="EOC27" s="911"/>
      <c r="EOD27" s="915"/>
      <c r="EOE27" s="914"/>
      <c r="EOF27" s="914"/>
      <c r="EOG27" s="914"/>
      <c r="EOH27" s="914"/>
      <c r="EOI27" s="914"/>
      <c r="EOJ27" s="914"/>
      <c r="EOK27" s="914"/>
      <c r="EOL27" s="911"/>
      <c r="EOM27" s="911"/>
      <c r="EON27" s="911"/>
      <c r="EOO27" s="915"/>
      <c r="EOP27" s="914"/>
      <c r="EOQ27" s="914"/>
      <c r="EOR27" s="914"/>
      <c r="EOS27" s="914"/>
      <c r="EOT27" s="914"/>
      <c r="EOU27" s="914"/>
      <c r="EOV27" s="914"/>
      <c r="EOW27" s="911"/>
      <c r="EOX27" s="911"/>
      <c r="EOY27" s="911"/>
      <c r="EOZ27" s="915"/>
      <c r="EPA27" s="914"/>
      <c r="EPB27" s="914"/>
      <c r="EPC27" s="914"/>
      <c r="EPD27" s="914"/>
      <c r="EPE27" s="914"/>
      <c r="EPF27" s="914"/>
      <c r="EPG27" s="914"/>
      <c r="EPH27" s="911"/>
      <c r="EPI27" s="911"/>
      <c r="EPJ27" s="911"/>
      <c r="EPK27" s="915"/>
      <c r="EPL27" s="914"/>
      <c r="EPM27" s="914"/>
      <c r="EPN27" s="914"/>
      <c r="EPO27" s="914"/>
      <c r="EPP27" s="914"/>
      <c r="EPQ27" s="914"/>
      <c r="EPR27" s="914"/>
      <c r="EPS27" s="911"/>
      <c r="EPT27" s="911"/>
      <c r="EPU27" s="911"/>
      <c r="EPV27" s="915"/>
      <c r="EPW27" s="914"/>
      <c r="EPX27" s="914"/>
      <c r="EPY27" s="914"/>
      <c r="EPZ27" s="914"/>
      <c r="EQA27" s="914"/>
      <c r="EQB27" s="914"/>
      <c r="EQC27" s="914"/>
      <c r="EQD27" s="911"/>
      <c r="EQE27" s="911"/>
      <c r="EQF27" s="911"/>
      <c r="EQG27" s="915"/>
      <c r="EQH27" s="914"/>
      <c r="EQI27" s="914"/>
      <c r="EQJ27" s="914"/>
      <c r="EQK27" s="914"/>
      <c r="EQL27" s="914"/>
      <c r="EQM27" s="914"/>
      <c r="EQN27" s="914"/>
      <c r="EQO27" s="911"/>
      <c r="EQP27" s="911"/>
      <c r="EQQ27" s="911"/>
      <c r="EQR27" s="915"/>
      <c r="EQS27" s="914"/>
      <c r="EQT27" s="914"/>
      <c r="EQU27" s="914"/>
      <c r="EQV27" s="914"/>
      <c r="EQW27" s="914"/>
      <c r="EQX27" s="914"/>
      <c r="EQY27" s="914"/>
      <c r="EQZ27" s="911"/>
      <c r="ERA27" s="911"/>
      <c r="ERB27" s="911"/>
      <c r="ERC27" s="915"/>
      <c r="ERD27" s="914"/>
      <c r="ERE27" s="914"/>
      <c r="ERF27" s="914"/>
      <c r="ERG27" s="914"/>
      <c r="ERH27" s="914"/>
      <c r="ERI27" s="914"/>
      <c r="ERJ27" s="914"/>
      <c r="ERK27" s="911"/>
      <c r="ERL27" s="911"/>
      <c r="ERM27" s="911"/>
      <c r="ERN27" s="915"/>
      <c r="ERO27" s="914"/>
      <c r="ERP27" s="914"/>
      <c r="ERQ27" s="914"/>
      <c r="ERR27" s="914"/>
      <c r="ERS27" s="914"/>
      <c r="ERT27" s="914"/>
      <c r="ERU27" s="914"/>
      <c r="ERV27" s="911"/>
      <c r="ERW27" s="911"/>
      <c r="ERX27" s="911"/>
      <c r="ERY27" s="915"/>
      <c r="ERZ27" s="914"/>
      <c r="ESA27" s="914"/>
      <c r="ESB27" s="914"/>
      <c r="ESC27" s="914"/>
      <c r="ESD27" s="914"/>
      <c r="ESE27" s="914"/>
      <c r="ESF27" s="914"/>
      <c r="ESG27" s="911"/>
      <c r="ESH27" s="911"/>
      <c r="ESI27" s="911"/>
      <c r="ESJ27" s="915"/>
      <c r="ESK27" s="914"/>
      <c r="ESL27" s="914"/>
      <c r="ESM27" s="914"/>
      <c r="ESN27" s="914"/>
      <c r="ESO27" s="914"/>
      <c r="ESP27" s="914"/>
      <c r="ESQ27" s="914"/>
      <c r="ESR27" s="911"/>
      <c r="ESS27" s="911"/>
      <c r="EST27" s="911"/>
      <c r="ESU27" s="915"/>
      <c r="ESV27" s="914"/>
      <c r="ESW27" s="914"/>
      <c r="ESX27" s="914"/>
      <c r="ESY27" s="914"/>
      <c r="ESZ27" s="914"/>
      <c r="ETA27" s="914"/>
      <c r="ETB27" s="914"/>
      <c r="ETC27" s="911"/>
      <c r="ETD27" s="911"/>
      <c r="ETE27" s="911"/>
      <c r="ETF27" s="915"/>
      <c r="ETG27" s="914"/>
      <c r="ETH27" s="914"/>
      <c r="ETI27" s="914"/>
      <c r="ETJ27" s="914"/>
      <c r="ETK27" s="914"/>
      <c r="ETL27" s="914"/>
      <c r="ETM27" s="914"/>
      <c r="ETN27" s="911"/>
      <c r="ETO27" s="911"/>
      <c r="ETP27" s="911"/>
      <c r="ETQ27" s="915"/>
      <c r="ETR27" s="914"/>
      <c r="ETS27" s="914"/>
      <c r="ETT27" s="914"/>
      <c r="ETU27" s="914"/>
      <c r="ETV27" s="914"/>
      <c r="ETW27" s="914"/>
      <c r="ETX27" s="914"/>
      <c r="ETY27" s="911"/>
      <c r="ETZ27" s="911"/>
      <c r="EUA27" s="911"/>
      <c r="EUB27" s="915"/>
      <c r="EUC27" s="914"/>
      <c r="EUD27" s="914"/>
      <c r="EUE27" s="914"/>
      <c r="EUF27" s="914"/>
      <c r="EUG27" s="914"/>
      <c r="EUH27" s="914"/>
      <c r="EUI27" s="914"/>
      <c r="EUJ27" s="911"/>
      <c r="EUK27" s="911"/>
      <c r="EUL27" s="911"/>
      <c r="EUM27" s="915"/>
      <c r="EUN27" s="914"/>
      <c r="EUO27" s="914"/>
      <c r="EUP27" s="914"/>
      <c r="EUQ27" s="914"/>
      <c r="EUR27" s="914"/>
      <c r="EUS27" s="914"/>
      <c r="EUT27" s="914"/>
      <c r="EUU27" s="911"/>
      <c r="EUV27" s="911"/>
      <c r="EUW27" s="911"/>
      <c r="EUX27" s="915"/>
      <c r="EUY27" s="914"/>
      <c r="EUZ27" s="914"/>
      <c r="EVA27" s="914"/>
      <c r="EVB27" s="914"/>
      <c r="EVC27" s="914"/>
      <c r="EVD27" s="914"/>
      <c r="EVE27" s="914"/>
      <c r="EVF27" s="911"/>
      <c r="EVG27" s="911"/>
      <c r="EVH27" s="911"/>
      <c r="EVI27" s="915"/>
      <c r="EVJ27" s="914"/>
      <c r="EVK27" s="914"/>
      <c r="EVL27" s="914"/>
      <c r="EVM27" s="914"/>
      <c r="EVN27" s="914"/>
      <c r="EVO27" s="914"/>
      <c r="EVP27" s="914"/>
      <c r="EVQ27" s="911"/>
      <c r="EVR27" s="911"/>
      <c r="EVS27" s="911"/>
      <c r="EVT27" s="915"/>
      <c r="EVU27" s="914"/>
      <c r="EVV27" s="914"/>
      <c r="EVW27" s="914"/>
      <c r="EVX27" s="914"/>
      <c r="EVY27" s="914"/>
      <c r="EVZ27" s="914"/>
      <c r="EWA27" s="914"/>
      <c r="EWB27" s="911"/>
      <c r="EWC27" s="911"/>
      <c r="EWD27" s="911"/>
      <c r="EWE27" s="915"/>
      <c r="EWF27" s="914"/>
      <c r="EWG27" s="914"/>
      <c r="EWH27" s="914"/>
      <c r="EWI27" s="914"/>
      <c r="EWJ27" s="914"/>
      <c r="EWK27" s="914"/>
      <c r="EWL27" s="914"/>
      <c r="EWM27" s="911"/>
      <c r="EWN27" s="911"/>
      <c r="EWO27" s="911"/>
      <c r="EWP27" s="915"/>
      <c r="EWQ27" s="914"/>
      <c r="EWR27" s="914"/>
      <c r="EWS27" s="914"/>
      <c r="EWT27" s="914"/>
      <c r="EWU27" s="914"/>
      <c r="EWV27" s="914"/>
      <c r="EWW27" s="914"/>
      <c r="EWX27" s="911"/>
      <c r="EWY27" s="911"/>
      <c r="EWZ27" s="911"/>
      <c r="EXA27" s="915"/>
      <c r="EXB27" s="914"/>
      <c r="EXC27" s="914"/>
      <c r="EXD27" s="914"/>
      <c r="EXE27" s="914"/>
      <c r="EXF27" s="914"/>
      <c r="EXG27" s="914"/>
      <c r="EXH27" s="914"/>
      <c r="EXI27" s="911"/>
      <c r="EXJ27" s="911"/>
      <c r="EXK27" s="911"/>
      <c r="EXL27" s="915"/>
      <c r="EXM27" s="914"/>
      <c r="EXN27" s="914"/>
      <c r="EXO27" s="914"/>
      <c r="EXP27" s="914"/>
      <c r="EXQ27" s="914"/>
      <c r="EXR27" s="914"/>
      <c r="EXS27" s="914"/>
      <c r="EXT27" s="911"/>
      <c r="EXU27" s="911"/>
      <c r="EXV27" s="911"/>
      <c r="EXW27" s="915"/>
      <c r="EXX27" s="914"/>
      <c r="EXY27" s="914"/>
      <c r="EXZ27" s="914"/>
      <c r="EYA27" s="914"/>
      <c r="EYB27" s="914"/>
      <c r="EYC27" s="914"/>
      <c r="EYD27" s="914"/>
      <c r="EYE27" s="911"/>
      <c r="EYF27" s="911"/>
      <c r="EYG27" s="911"/>
      <c r="EYH27" s="915"/>
      <c r="EYI27" s="914"/>
      <c r="EYJ27" s="914"/>
      <c r="EYK27" s="914"/>
      <c r="EYL27" s="914"/>
      <c r="EYM27" s="914"/>
      <c r="EYN27" s="914"/>
      <c r="EYO27" s="914"/>
      <c r="EYP27" s="911"/>
      <c r="EYQ27" s="911"/>
      <c r="EYR27" s="911"/>
      <c r="EYS27" s="915"/>
      <c r="EYT27" s="914"/>
      <c r="EYU27" s="914"/>
      <c r="EYV27" s="914"/>
      <c r="EYW27" s="914"/>
      <c r="EYX27" s="914"/>
      <c r="EYY27" s="914"/>
      <c r="EYZ27" s="914"/>
      <c r="EZA27" s="911"/>
      <c r="EZB27" s="911"/>
      <c r="EZC27" s="911"/>
      <c r="EZD27" s="915"/>
      <c r="EZE27" s="914"/>
      <c r="EZF27" s="914"/>
      <c r="EZG27" s="914"/>
      <c r="EZH27" s="914"/>
      <c r="EZI27" s="914"/>
      <c r="EZJ27" s="914"/>
      <c r="EZK27" s="914"/>
      <c r="EZL27" s="911"/>
      <c r="EZM27" s="911"/>
      <c r="EZN27" s="911"/>
      <c r="EZO27" s="915"/>
      <c r="EZP27" s="914"/>
      <c r="EZQ27" s="914"/>
      <c r="EZR27" s="914"/>
      <c r="EZS27" s="914"/>
      <c r="EZT27" s="914"/>
      <c r="EZU27" s="914"/>
      <c r="EZV27" s="914"/>
      <c r="EZW27" s="911"/>
      <c r="EZX27" s="911"/>
      <c r="EZY27" s="911"/>
      <c r="EZZ27" s="915"/>
      <c r="FAA27" s="914"/>
      <c r="FAB27" s="914"/>
      <c r="FAC27" s="914"/>
      <c r="FAD27" s="914"/>
      <c r="FAE27" s="914"/>
      <c r="FAF27" s="914"/>
      <c r="FAG27" s="914"/>
      <c r="FAH27" s="911"/>
      <c r="FAI27" s="911"/>
      <c r="FAJ27" s="911"/>
      <c r="FAK27" s="915"/>
      <c r="FAL27" s="914"/>
      <c r="FAM27" s="914"/>
      <c r="FAN27" s="914"/>
      <c r="FAO27" s="914"/>
      <c r="FAP27" s="914"/>
      <c r="FAQ27" s="914"/>
      <c r="FAR27" s="914"/>
      <c r="FAS27" s="911"/>
      <c r="FAT27" s="911"/>
      <c r="FAU27" s="911"/>
      <c r="FAV27" s="915"/>
      <c r="FAW27" s="914"/>
      <c r="FAX27" s="914"/>
      <c r="FAY27" s="914"/>
      <c r="FAZ27" s="914"/>
      <c r="FBA27" s="914"/>
      <c r="FBB27" s="914"/>
      <c r="FBC27" s="914"/>
      <c r="FBD27" s="911"/>
      <c r="FBE27" s="911"/>
      <c r="FBF27" s="911"/>
      <c r="FBG27" s="915"/>
      <c r="FBH27" s="914"/>
      <c r="FBI27" s="914"/>
      <c r="FBJ27" s="914"/>
      <c r="FBK27" s="914"/>
      <c r="FBL27" s="914"/>
      <c r="FBM27" s="914"/>
      <c r="FBN27" s="914"/>
      <c r="FBO27" s="911"/>
      <c r="FBP27" s="911"/>
      <c r="FBQ27" s="911"/>
      <c r="FBR27" s="915"/>
      <c r="FBS27" s="914"/>
      <c r="FBT27" s="914"/>
      <c r="FBU27" s="914"/>
      <c r="FBV27" s="914"/>
      <c r="FBW27" s="914"/>
      <c r="FBX27" s="914"/>
      <c r="FBY27" s="914"/>
      <c r="FBZ27" s="911"/>
      <c r="FCA27" s="911"/>
      <c r="FCB27" s="911"/>
      <c r="FCC27" s="915"/>
      <c r="FCD27" s="914"/>
      <c r="FCE27" s="914"/>
      <c r="FCF27" s="914"/>
      <c r="FCG27" s="914"/>
      <c r="FCH27" s="914"/>
      <c r="FCI27" s="914"/>
      <c r="FCJ27" s="914"/>
      <c r="FCK27" s="911"/>
      <c r="FCL27" s="911"/>
      <c r="FCM27" s="911"/>
      <c r="FCN27" s="915"/>
      <c r="FCO27" s="914"/>
      <c r="FCP27" s="914"/>
      <c r="FCQ27" s="914"/>
      <c r="FCR27" s="914"/>
      <c r="FCS27" s="914"/>
      <c r="FCT27" s="914"/>
      <c r="FCU27" s="914"/>
      <c r="FCV27" s="911"/>
      <c r="FCW27" s="911"/>
      <c r="FCX27" s="911"/>
      <c r="FCY27" s="915"/>
      <c r="FCZ27" s="914"/>
      <c r="FDA27" s="914"/>
      <c r="FDB27" s="914"/>
      <c r="FDC27" s="914"/>
      <c r="FDD27" s="914"/>
      <c r="FDE27" s="914"/>
      <c r="FDF27" s="914"/>
      <c r="FDG27" s="911"/>
      <c r="FDH27" s="911"/>
      <c r="FDI27" s="911"/>
      <c r="FDJ27" s="915"/>
      <c r="FDK27" s="914"/>
      <c r="FDL27" s="914"/>
      <c r="FDM27" s="914"/>
      <c r="FDN27" s="914"/>
      <c r="FDO27" s="914"/>
      <c r="FDP27" s="914"/>
      <c r="FDQ27" s="914"/>
      <c r="FDR27" s="911"/>
      <c r="FDS27" s="911"/>
      <c r="FDT27" s="911"/>
      <c r="FDU27" s="915"/>
      <c r="FDV27" s="914"/>
      <c r="FDW27" s="914"/>
      <c r="FDX27" s="914"/>
      <c r="FDY27" s="914"/>
      <c r="FDZ27" s="914"/>
      <c r="FEA27" s="914"/>
      <c r="FEB27" s="914"/>
      <c r="FEC27" s="911"/>
      <c r="FED27" s="911"/>
      <c r="FEE27" s="911"/>
      <c r="FEF27" s="915"/>
      <c r="FEG27" s="914"/>
      <c r="FEH27" s="914"/>
      <c r="FEI27" s="914"/>
      <c r="FEJ27" s="914"/>
      <c r="FEK27" s="914"/>
      <c r="FEL27" s="914"/>
      <c r="FEM27" s="914"/>
      <c r="FEN27" s="911"/>
      <c r="FEO27" s="911"/>
      <c r="FEP27" s="911"/>
      <c r="FEQ27" s="915"/>
      <c r="FER27" s="914"/>
      <c r="FES27" s="914"/>
      <c r="FET27" s="914"/>
      <c r="FEU27" s="914"/>
      <c r="FEV27" s="914"/>
      <c r="FEW27" s="914"/>
      <c r="FEX27" s="914"/>
      <c r="FEY27" s="911"/>
      <c r="FEZ27" s="911"/>
      <c r="FFA27" s="911"/>
      <c r="FFB27" s="915"/>
      <c r="FFC27" s="914"/>
      <c r="FFD27" s="914"/>
      <c r="FFE27" s="914"/>
      <c r="FFF27" s="914"/>
      <c r="FFG27" s="914"/>
      <c r="FFH27" s="914"/>
      <c r="FFI27" s="914"/>
      <c r="FFJ27" s="911"/>
      <c r="FFK27" s="911"/>
      <c r="FFL27" s="911"/>
      <c r="FFM27" s="915"/>
      <c r="FFN27" s="914"/>
      <c r="FFO27" s="914"/>
      <c r="FFP27" s="914"/>
      <c r="FFQ27" s="914"/>
      <c r="FFR27" s="914"/>
      <c r="FFS27" s="914"/>
      <c r="FFT27" s="914"/>
      <c r="FFU27" s="911"/>
      <c r="FFV27" s="911"/>
      <c r="FFW27" s="911"/>
      <c r="FFX27" s="915"/>
      <c r="FFY27" s="914"/>
      <c r="FFZ27" s="914"/>
      <c r="FGA27" s="914"/>
      <c r="FGB27" s="914"/>
      <c r="FGC27" s="914"/>
      <c r="FGD27" s="914"/>
      <c r="FGE27" s="914"/>
      <c r="FGF27" s="911"/>
      <c r="FGG27" s="911"/>
      <c r="FGH27" s="911"/>
      <c r="FGI27" s="915"/>
      <c r="FGJ27" s="914"/>
      <c r="FGK27" s="914"/>
      <c r="FGL27" s="914"/>
      <c r="FGM27" s="914"/>
      <c r="FGN27" s="914"/>
      <c r="FGO27" s="914"/>
      <c r="FGP27" s="914"/>
      <c r="FGQ27" s="911"/>
      <c r="FGR27" s="911"/>
      <c r="FGS27" s="911"/>
      <c r="FGT27" s="915"/>
      <c r="FGU27" s="914"/>
      <c r="FGV27" s="914"/>
      <c r="FGW27" s="914"/>
      <c r="FGX27" s="914"/>
      <c r="FGY27" s="914"/>
      <c r="FGZ27" s="914"/>
      <c r="FHA27" s="914"/>
      <c r="FHB27" s="911"/>
      <c r="FHC27" s="911"/>
      <c r="FHD27" s="911"/>
      <c r="FHE27" s="915"/>
      <c r="FHF27" s="914"/>
      <c r="FHG27" s="914"/>
      <c r="FHH27" s="914"/>
      <c r="FHI27" s="914"/>
      <c r="FHJ27" s="914"/>
      <c r="FHK27" s="914"/>
      <c r="FHL27" s="914"/>
      <c r="FHM27" s="911"/>
      <c r="FHN27" s="911"/>
      <c r="FHO27" s="911"/>
      <c r="FHP27" s="915"/>
      <c r="FHQ27" s="914"/>
      <c r="FHR27" s="914"/>
      <c r="FHS27" s="914"/>
      <c r="FHT27" s="914"/>
      <c r="FHU27" s="914"/>
      <c r="FHV27" s="914"/>
      <c r="FHW27" s="914"/>
      <c r="FHX27" s="911"/>
      <c r="FHY27" s="911"/>
      <c r="FHZ27" s="911"/>
      <c r="FIA27" s="915"/>
      <c r="FIB27" s="914"/>
      <c r="FIC27" s="914"/>
      <c r="FID27" s="914"/>
      <c r="FIE27" s="914"/>
      <c r="FIF27" s="914"/>
      <c r="FIG27" s="914"/>
      <c r="FIH27" s="914"/>
      <c r="FII27" s="911"/>
      <c r="FIJ27" s="911"/>
      <c r="FIK27" s="911"/>
      <c r="FIL27" s="915"/>
      <c r="FIM27" s="914"/>
      <c r="FIN27" s="914"/>
      <c r="FIO27" s="914"/>
      <c r="FIP27" s="914"/>
      <c r="FIQ27" s="914"/>
      <c r="FIR27" s="914"/>
      <c r="FIS27" s="914"/>
      <c r="FIT27" s="911"/>
      <c r="FIU27" s="911"/>
      <c r="FIV27" s="911"/>
      <c r="FIW27" s="915"/>
      <c r="FIX27" s="914"/>
      <c r="FIY27" s="914"/>
      <c r="FIZ27" s="914"/>
      <c r="FJA27" s="914"/>
      <c r="FJB27" s="914"/>
      <c r="FJC27" s="914"/>
      <c r="FJD27" s="914"/>
      <c r="FJE27" s="911"/>
      <c r="FJF27" s="911"/>
      <c r="FJG27" s="911"/>
      <c r="FJH27" s="915"/>
      <c r="FJI27" s="914"/>
      <c r="FJJ27" s="914"/>
      <c r="FJK27" s="914"/>
      <c r="FJL27" s="914"/>
      <c r="FJM27" s="914"/>
      <c r="FJN27" s="914"/>
      <c r="FJO27" s="914"/>
      <c r="FJP27" s="911"/>
      <c r="FJQ27" s="911"/>
      <c r="FJR27" s="911"/>
      <c r="FJS27" s="915"/>
      <c r="FJT27" s="914"/>
      <c r="FJU27" s="914"/>
      <c r="FJV27" s="914"/>
      <c r="FJW27" s="914"/>
      <c r="FJX27" s="914"/>
      <c r="FJY27" s="914"/>
      <c r="FJZ27" s="914"/>
      <c r="FKA27" s="911"/>
      <c r="FKB27" s="911"/>
      <c r="FKC27" s="911"/>
      <c r="FKD27" s="915"/>
      <c r="FKE27" s="914"/>
      <c r="FKF27" s="914"/>
      <c r="FKG27" s="914"/>
      <c r="FKH27" s="914"/>
      <c r="FKI27" s="914"/>
      <c r="FKJ27" s="914"/>
      <c r="FKK27" s="914"/>
      <c r="FKL27" s="911"/>
      <c r="FKM27" s="911"/>
      <c r="FKN27" s="911"/>
      <c r="FKO27" s="915"/>
      <c r="FKP27" s="914"/>
      <c r="FKQ27" s="914"/>
      <c r="FKR27" s="914"/>
      <c r="FKS27" s="914"/>
      <c r="FKT27" s="914"/>
      <c r="FKU27" s="914"/>
      <c r="FKV27" s="914"/>
      <c r="FKW27" s="911"/>
      <c r="FKX27" s="911"/>
      <c r="FKY27" s="911"/>
      <c r="FKZ27" s="915"/>
      <c r="FLA27" s="914"/>
      <c r="FLB27" s="914"/>
      <c r="FLC27" s="914"/>
      <c r="FLD27" s="914"/>
      <c r="FLE27" s="914"/>
      <c r="FLF27" s="914"/>
      <c r="FLG27" s="914"/>
      <c r="FLH27" s="911"/>
      <c r="FLI27" s="911"/>
      <c r="FLJ27" s="911"/>
      <c r="FLK27" s="915"/>
      <c r="FLL27" s="914"/>
      <c r="FLM27" s="914"/>
      <c r="FLN27" s="914"/>
      <c r="FLO27" s="914"/>
      <c r="FLP27" s="914"/>
      <c r="FLQ27" s="914"/>
      <c r="FLR27" s="914"/>
      <c r="FLS27" s="911"/>
      <c r="FLT27" s="911"/>
      <c r="FLU27" s="911"/>
      <c r="FLV27" s="915"/>
      <c r="FLW27" s="914"/>
      <c r="FLX27" s="914"/>
      <c r="FLY27" s="914"/>
      <c r="FLZ27" s="914"/>
      <c r="FMA27" s="914"/>
      <c r="FMB27" s="914"/>
      <c r="FMC27" s="914"/>
      <c r="FMD27" s="911"/>
      <c r="FME27" s="911"/>
      <c r="FMF27" s="911"/>
      <c r="FMG27" s="915"/>
      <c r="FMH27" s="914"/>
      <c r="FMI27" s="914"/>
      <c r="FMJ27" s="914"/>
      <c r="FMK27" s="914"/>
      <c r="FML27" s="914"/>
      <c r="FMM27" s="914"/>
      <c r="FMN27" s="914"/>
      <c r="FMO27" s="911"/>
      <c r="FMP27" s="911"/>
      <c r="FMQ27" s="911"/>
      <c r="FMR27" s="915"/>
      <c r="FMS27" s="914"/>
      <c r="FMT27" s="914"/>
      <c r="FMU27" s="914"/>
      <c r="FMV27" s="914"/>
      <c r="FMW27" s="914"/>
      <c r="FMX27" s="914"/>
      <c r="FMY27" s="914"/>
      <c r="FMZ27" s="911"/>
      <c r="FNA27" s="911"/>
      <c r="FNB27" s="911"/>
      <c r="FNC27" s="915"/>
      <c r="FND27" s="914"/>
      <c r="FNE27" s="914"/>
      <c r="FNF27" s="914"/>
      <c r="FNG27" s="914"/>
      <c r="FNH27" s="914"/>
      <c r="FNI27" s="914"/>
      <c r="FNJ27" s="914"/>
      <c r="FNK27" s="911"/>
      <c r="FNL27" s="911"/>
      <c r="FNM27" s="911"/>
      <c r="FNN27" s="915"/>
      <c r="FNO27" s="914"/>
      <c r="FNP27" s="914"/>
      <c r="FNQ27" s="914"/>
      <c r="FNR27" s="914"/>
      <c r="FNS27" s="914"/>
      <c r="FNT27" s="914"/>
      <c r="FNU27" s="914"/>
      <c r="FNV27" s="911"/>
      <c r="FNW27" s="911"/>
      <c r="FNX27" s="911"/>
      <c r="FNY27" s="915"/>
      <c r="FNZ27" s="914"/>
      <c r="FOA27" s="914"/>
      <c r="FOB27" s="914"/>
      <c r="FOC27" s="914"/>
      <c r="FOD27" s="914"/>
      <c r="FOE27" s="914"/>
      <c r="FOF27" s="914"/>
      <c r="FOG27" s="911"/>
      <c r="FOH27" s="911"/>
      <c r="FOI27" s="911"/>
      <c r="FOJ27" s="915"/>
      <c r="FOK27" s="914"/>
      <c r="FOL27" s="914"/>
      <c r="FOM27" s="914"/>
      <c r="FON27" s="914"/>
      <c r="FOO27" s="914"/>
      <c r="FOP27" s="914"/>
      <c r="FOQ27" s="914"/>
      <c r="FOR27" s="911"/>
      <c r="FOS27" s="911"/>
      <c r="FOT27" s="911"/>
      <c r="FOU27" s="915"/>
      <c r="FOV27" s="914"/>
      <c r="FOW27" s="914"/>
      <c r="FOX27" s="914"/>
      <c r="FOY27" s="914"/>
      <c r="FOZ27" s="914"/>
      <c r="FPA27" s="914"/>
      <c r="FPB27" s="914"/>
      <c r="FPC27" s="911"/>
      <c r="FPD27" s="911"/>
      <c r="FPE27" s="911"/>
      <c r="FPF27" s="915"/>
      <c r="FPG27" s="914"/>
      <c r="FPH27" s="914"/>
      <c r="FPI27" s="914"/>
      <c r="FPJ27" s="914"/>
      <c r="FPK27" s="914"/>
      <c r="FPL27" s="914"/>
      <c r="FPM27" s="914"/>
      <c r="FPN27" s="911"/>
      <c r="FPO27" s="911"/>
      <c r="FPP27" s="911"/>
      <c r="FPQ27" s="915"/>
      <c r="FPR27" s="914"/>
      <c r="FPS27" s="914"/>
      <c r="FPT27" s="914"/>
      <c r="FPU27" s="914"/>
      <c r="FPV27" s="914"/>
      <c r="FPW27" s="914"/>
      <c r="FPX27" s="914"/>
      <c r="FPY27" s="911"/>
      <c r="FPZ27" s="911"/>
      <c r="FQA27" s="911"/>
      <c r="FQB27" s="915"/>
      <c r="FQC27" s="914"/>
      <c r="FQD27" s="914"/>
      <c r="FQE27" s="914"/>
      <c r="FQF27" s="914"/>
      <c r="FQG27" s="914"/>
      <c r="FQH27" s="914"/>
      <c r="FQI27" s="914"/>
      <c r="FQJ27" s="911"/>
      <c r="FQK27" s="911"/>
      <c r="FQL27" s="911"/>
      <c r="FQM27" s="915"/>
      <c r="FQN27" s="914"/>
      <c r="FQO27" s="914"/>
      <c r="FQP27" s="914"/>
      <c r="FQQ27" s="914"/>
      <c r="FQR27" s="914"/>
      <c r="FQS27" s="914"/>
      <c r="FQT27" s="914"/>
      <c r="FQU27" s="911"/>
      <c r="FQV27" s="911"/>
      <c r="FQW27" s="911"/>
      <c r="FQX27" s="915"/>
      <c r="FQY27" s="914"/>
      <c r="FQZ27" s="914"/>
      <c r="FRA27" s="914"/>
      <c r="FRB27" s="914"/>
      <c r="FRC27" s="914"/>
      <c r="FRD27" s="914"/>
      <c r="FRE27" s="914"/>
      <c r="FRF27" s="911"/>
      <c r="FRG27" s="911"/>
      <c r="FRH27" s="911"/>
      <c r="FRI27" s="915"/>
      <c r="FRJ27" s="914"/>
      <c r="FRK27" s="914"/>
      <c r="FRL27" s="914"/>
      <c r="FRM27" s="914"/>
      <c r="FRN27" s="914"/>
      <c r="FRO27" s="914"/>
      <c r="FRP27" s="914"/>
      <c r="FRQ27" s="911"/>
      <c r="FRR27" s="911"/>
      <c r="FRS27" s="911"/>
      <c r="FRT27" s="915"/>
      <c r="FRU27" s="914"/>
      <c r="FRV27" s="914"/>
      <c r="FRW27" s="914"/>
      <c r="FRX27" s="914"/>
      <c r="FRY27" s="914"/>
      <c r="FRZ27" s="914"/>
      <c r="FSA27" s="914"/>
      <c r="FSB27" s="911"/>
      <c r="FSC27" s="911"/>
      <c r="FSD27" s="911"/>
      <c r="FSE27" s="915"/>
      <c r="FSF27" s="914"/>
      <c r="FSG27" s="914"/>
      <c r="FSH27" s="914"/>
      <c r="FSI27" s="914"/>
      <c r="FSJ27" s="914"/>
      <c r="FSK27" s="914"/>
      <c r="FSL27" s="914"/>
      <c r="FSM27" s="911"/>
      <c r="FSN27" s="911"/>
      <c r="FSO27" s="911"/>
      <c r="FSP27" s="915"/>
      <c r="FSQ27" s="914"/>
      <c r="FSR27" s="914"/>
      <c r="FSS27" s="914"/>
      <c r="FST27" s="914"/>
      <c r="FSU27" s="914"/>
      <c r="FSV27" s="914"/>
      <c r="FSW27" s="914"/>
      <c r="FSX27" s="911"/>
      <c r="FSY27" s="911"/>
      <c r="FSZ27" s="911"/>
      <c r="FTA27" s="915"/>
      <c r="FTB27" s="914"/>
      <c r="FTC27" s="914"/>
      <c r="FTD27" s="914"/>
      <c r="FTE27" s="914"/>
      <c r="FTF27" s="914"/>
      <c r="FTG27" s="914"/>
      <c r="FTH27" s="914"/>
      <c r="FTI27" s="911"/>
      <c r="FTJ27" s="911"/>
      <c r="FTK27" s="911"/>
      <c r="FTL27" s="915"/>
      <c r="FTM27" s="914"/>
      <c r="FTN27" s="914"/>
      <c r="FTO27" s="914"/>
      <c r="FTP27" s="914"/>
      <c r="FTQ27" s="914"/>
      <c r="FTR27" s="914"/>
      <c r="FTS27" s="914"/>
      <c r="FTT27" s="911"/>
      <c r="FTU27" s="911"/>
      <c r="FTV27" s="911"/>
      <c r="FTW27" s="915"/>
      <c r="FTX27" s="914"/>
      <c r="FTY27" s="914"/>
      <c r="FTZ27" s="914"/>
      <c r="FUA27" s="914"/>
      <c r="FUB27" s="914"/>
      <c r="FUC27" s="914"/>
      <c r="FUD27" s="914"/>
      <c r="FUE27" s="911"/>
      <c r="FUF27" s="911"/>
      <c r="FUG27" s="911"/>
      <c r="FUH27" s="915"/>
      <c r="FUI27" s="914"/>
      <c r="FUJ27" s="914"/>
      <c r="FUK27" s="914"/>
      <c r="FUL27" s="914"/>
      <c r="FUM27" s="914"/>
      <c r="FUN27" s="914"/>
      <c r="FUO27" s="914"/>
      <c r="FUP27" s="911"/>
      <c r="FUQ27" s="911"/>
      <c r="FUR27" s="911"/>
      <c r="FUS27" s="915"/>
      <c r="FUT27" s="914"/>
      <c r="FUU27" s="914"/>
      <c r="FUV27" s="914"/>
      <c r="FUW27" s="914"/>
      <c r="FUX27" s="914"/>
      <c r="FUY27" s="914"/>
      <c r="FUZ27" s="914"/>
      <c r="FVA27" s="911"/>
      <c r="FVB27" s="911"/>
      <c r="FVC27" s="911"/>
      <c r="FVD27" s="915"/>
      <c r="FVE27" s="914"/>
      <c r="FVF27" s="914"/>
      <c r="FVG27" s="914"/>
      <c r="FVH27" s="914"/>
      <c r="FVI27" s="914"/>
      <c r="FVJ27" s="914"/>
      <c r="FVK27" s="914"/>
      <c r="FVL27" s="911"/>
      <c r="FVM27" s="911"/>
      <c r="FVN27" s="911"/>
      <c r="FVO27" s="915"/>
      <c r="FVP27" s="914"/>
      <c r="FVQ27" s="914"/>
      <c r="FVR27" s="914"/>
      <c r="FVS27" s="914"/>
      <c r="FVT27" s="914"/>
      <c r="FVU27" s="914"/>
      <c r="FVV27" s="914"/>
      <c r="FVW27" s="911"/>
      <c r="FVX27" s="911"/>
      <c r="FVY27" s="911"/>
      <c r="FVZ27" s="915"/>
      <c r="FWA27" s="914"/>
      <c r="FWB27" s="914"/>
      <c r="FWC27" s="914"/>
      <c r="FWD27" s="914"/>
      <c r="FWE27" s="914"/>
      <c r="FWF27" s="914"/>
      <c r="FWG27" s="914"/>
      <c r="FWH27" s="911"/>
      <c r="FWI27" s="911"/>
      <c r="FWJ27" s="911"/>
      <c r="FWK27" s="915"/>
      <c r="FWL27" s="914"/>
      <c r="FWM27" s="914"/>
      <c r="FWN27" s="914"/>
      <c r="FWO27" s="914"/>
      <c r="FWP27" s="914"/>
      <c r="FWQ27" s="914"/>
      <c r="FWR27" s="914"/>
      <c r="FWS27" s="911"/>
      <c r="FWT27" s="911"/>
      <c r="FWU27" s="911"/>
      <c r="FWV27" s="915"/>
      <c r="FWW27" s="914"/>
      <c r="FWX27" s="914"/>
      <c r="FWY27" s="914"/>
      <c r="FWZ27" s="914"/>
      <c r="FXA27" s="914"/>
      <c r="FXB27" s="914"/>
      <c r="FXC27" s="914"/>
      <c r="FXD27" s="911"/>
      <c r="FXE27" s="911"/>
      <c r="FXF27" s="911"/>
      <c r="FXG27" s="915"/>
      <c r="FXH27" s="914"/>
      <c r="FXI27" s="914"/>
      <c r="FXJ27" s="914"/>
      <c r="FXK27" s="914"/>
      <c r="FXL27" s="914"/>
      <c r="FXM27" s="914"/>
      <c r="FXN27" s="914"/>
      <c r="FXO27" s="911"/>
      <c r="FXP27" s="911"/>
      <c r="FXQ27" s="911"/>
      <c r="FXR27" s="915"/>
      <c r="FXS27" s="914"/>
      <c r="FXT27" s="914"/>
      <c r="FXU27" s="914"/>
      <c r="FXV27" s="914"/>
      <c r="FXW27" s="914"/>
      <c r="FXX27" s="914"/>
      <c r="FXY27" s="914"/>
      <c r="FXZ27" s="911"/>
      <c r="FYA27" s="911"/>
      <c r="FYB27" s="911"/>
      <c r="FYC27" s="915"/>
      <c r="FYD27" s="914"/>
      <c r="FYE27" s="914"/>
      <c r="FYF27" s="914"/>
      <c r="FYG27" s="914"/>
      <c r="FYH27" s="914"/>
      <c r="FYI27" s="914"/>
      <c r="FYJ27" s="914"/>
      <c r="FYK27" s="911"/>
      <c r="FYL27" s="911"/>
      <c r="FYM27" s="911"/>
      <c r="FYN27" s="915"/>
      <c r="FYO27" s="914"/>
      <c r="FYP27" s="914"/>
      <c r="FYQ27" s="914"/>
      <c r="FYR27" s="914"/>
      <c r="FYS27" s="914"/>
      <c r="FYT27" s="914"/>
      <c r="FYU27" s="914"/>
      <c r="FYV27" s="911"/>
      <c r="FYW27" s="911"/>
      <c r="FYX27" s="911"/>
      <c r="FYY27" s="915"/>
      <c r="FYZ27" s="914"/>
      <c r="FZA27" s="914"/>
      <c r="FZB27" s="914"/>
      <c r="FZC27" s="914"/>
      <c r="FZD27" s="914"/>
      <c r="FZE27" s="914"/>
      <c r="FZF27" s="914"/>
      <c r="FZG27" s="911"/>
      <c r="FZH27" s="911"/>
      <c r="FZI27" s="911"/>
      <c r="FZJ27" s="915"/>
      <c r="FZK27" s="914"/>
      <c r="FZL27" s="914"/>
      <c r="FZM27" s="914"/>
      <c r="FZN27" s="914"/>
      <c r="FZO27" s="914"/>
      <c r="FZP27" s="914"/>
      <c r="FZQ27" s="914"/>
      <c r="FZR27" s="911"/>
      <c r="FZS27" s="911"/>
      <c r="FZT27" s="911"/>
      <c r="FZU27" s="915"/>
      <c r="FZV27" s="914"/>
      <c r="FZW27" s="914"/>
      <c r="FZX27" s="914"/>
      <c r="FZY27" s="914"/>
      <c r="FZZ27" s="914"/>
      <c r="GAA27" s="914"/>
      <c r="GAB27" s="914"/>
      <c r="GAC27" s="911"/>
      <c r="GAD27" s="911"/>
      <c r="GAE27" s="911"/>
      <c r="GAF27" s="915"/>
      <c r="GAG27" s="914"/>
      <c r="GAH27" s="914"/>
      <c r="GAI27" s="914"/>
      <c r="GAJ27" s="914"/>
      <c r="GAK27" s="914"/>
      <c r="GAL27" s="914"/>
      <c r="GAM27" s="914"/>
      <c r="GAN27" s="911"/>
      <c r="GAO27" s="911"/>
      <c r="GAP27" s="911"/>
      <c r="GAQ27" s="915"/>
      <c r="GAR27" s="914"/>
      <c r="GAS27" s="914"/>
      <c r="GAT27" s="914"/>
      <c r="GAU27" s="914"/>
      <c r="GAV27" s="914"/>
      <c r="GAW27" s="914"/>
      <c r="GAX27" s="914"/>
      <c r="GAY27" s="911"/>
      <c r="GAZ27" s="911"/>
      <c r="GBA27" s="911"/>
      <c r="GBB27" s="915"/>
      <c r="GBC27" s="914"/>
      <c r="GBD27" s="914"/>
      <c r="GBE27" s="914"/>
      <c r="GBF27" s="914"/>
      <c r="GBG27" s="914"/>
      <c r="GBH27" s="914"/>
      <c r="GBI27" s="914"/>
      <c r="GBJ27" s="911"/>
      <c r="GBK27" s="911"/>
      <c r="GBL27" s="911"/>
      <c r="GBM27" s="915"/>
      <c r="GBN27" s="914"/>
      <c r="GBO27" s="914"/>
      <c r="GBP27" s="914"/>
      <c r="GBQ27" s="914"/>
      <c r="GBR27" s="914"/>
      <c r="GBS27" s="914"/>
      <c r="GBT27" s="914"/>
      <c r="GBU27" s="911"/>
      <c r="GBV27" s="911"/>
      <c r="GBW27" s="911"/>
      <c r="GBX27" s="915"/>
      <c r="GBY27" s="914"/>
      <c r="GBZ27" s="914"/>
      <c r="GCA27" s="914"/>
      <c r="GCB27" s="914"/>
      <c r="GCC27" s="914"/>
      <c r="GCD27" s="914"/>
      <c r="GCE27" s="914"/>
      <c r="GCF27" s="911"/>
      <c r="GCG27" s="911"/>
      <c r="GCH27" s="911"/>
      <c r="GCI27" s="915"/>
      <c r="GCJ27" s="914"/>
      <c r="GCK27" s="914"/>
      <c r="GCL27" s="914"/>
      <c r="GCM27" s="914"/>
      <c r="GCN27" s="914"/>
      <c r="GCO27" s="914"/>
      <c r="GCP27" s="914"/>
      <c r="GCQ27" s="911"/>
      <c r="GCR27" s="911"/>
      <c r="GCS27" s="911"/>
      <c r="GCT27" s="915"/>
      <c r="GCU27" s="914"/>
      <c r="GCV27" s="914"/>
      <c r="GCW27" s="914"/>
      <c r="GCX27" s="914"/>
      <c r="GCY27" s="914"/>
      <c r="GCZ27" s="914"/>
      <c r="GDA27" s="914"/>
      <c r="GDB27" s="911"/>
      <c r="GDC27" s="911"/>
      <c r="GDD27" s="911"/>
      <c r="GDE27" s="915"/>
      <c r="GDF27" s="914"/>
      <c r="GDG27" s="914"/>
      <c r="GDH27" s="914"/>
      <c r="GDI27" s="914"/>
      <c r="GDJ27" s="914"/>
      <c r="GDK27" s="914"/>
      <c r="GDL27" s="914"/>
      <c r="GDM27" s="911"/>
      <c r="GDN27" s="911"/>
      <c r="GDO27" s="911"/>
      <c r="GDP27" s="915"/>
      <c r="GDQ27" s="914"/>
      <c r="GDR27" s="914"/>
      <c r="GDS27" s="914"/>
      <c r="GDT27" s="914"/>
      <c r="GDU27" s="914"/>
      <c r="GDV27" s="914"/>
      <c r="GDW27" s="914"/>
      <c r="GDX27" s="911"/>
      <c r="GDY27" s="911"/>
      <c r="GDZ27" s="911"/>
      <c r="GEA27" s="915"/>
      <c r="GEB27" s="914"/>
      <c r="GEC27" s="914"/>
      <c r="GED27" s="914"/>
      <c r="GEE27" s="914"/>
      <c r="GEF27" s="914"/>
      <c r="GEG27" s="914"/>
      <c r="GEH27" s="914"/>
      <c r="GEI27" s="911"/>
      <c r="GEJ27" s="911"/>
      <c r="GEK27" s="911"/>
      <c r="GEL27" s="915"/>
      <c r="GEM27" s="914"/>
      <c r="GEN27" s="914"/>
      <c r="GEO27" s="914"/>
      <c r="GEP27" s="914"/>
      <c r="GEQ27" s="914"/>
      <c r="GER27" s="914"/>
      <c r="GES27" s="914"/>
      <c r="GET27" s="911"/>
      <c r="GEU27" s="911"/>
      <c r="GEV27" s="911"/>
      <c r="GEW27" s="915"/>
      <c r="GEX27" s="914"/>
      <c r="GEY27" s="914"/>
      <c r="GEZ27" s="914"/>
      <c r="GFA27" s="914"/>
      <c r="GFB27" s="914"/>
      <c r="GFC27" s="914"/>
      <c r="GFD27" s="914"/>
      <c r="GFE27" s="911"/>
      <c r="GFF27" s="911"/>
      <c r="GFG27" s="911"/>
      <c r="GFH27" s="915"/>
      <c r="GFI27" s="914"/>
      <c r="GFJ27" s="914"/>
      <c r="GFK27" s="914"/>
      <c r="GFL27" s="914"/>
      <c r="GFM27" s="914"/>
      <c r="GFN27" s="914"/>
      <c r="GFO27" s="914"/>
      <c r="GFP27" s="911"/>
      <c r="GFQ27" s="911"/>
      <c r="GFR27" s="911"/>
      <c r="GFS27" s="915"/>
      <c r="GFT27" s="914"/>
      <c r="GFU27" s="914"/>
      <c r="GFV27" s="914"/>
      <c r="GFW27" s="914"/>
      <c r="GFX27" s="914"/>
      <c r="GFY27" s="914"/>
      <c r="GFZ27" s="914"/>
      <c r="GGA27" s="911"/>
      <c r="GGB27" s="911"/>
      <c r="GGC27" s="911"/>
      <c r="GGD27" s="915"/>
      <c r="GGE27" s="914"/>
      <c r="GGF27" s="914"/>
      <c r="GGG27" s="914"/>
      <c r="GGH27" s="914"/>
      <c r="GGI27" s="914"/>
      <c r="GGJ27" s="914"/>
      <c r="GGK27" s="914"/>
      <c r="GGL27" s="911"/>
      <c r="GGM27" s="911"/>
      <c r="GGN27" s="911"/>
      <c r="GGO27" s="915"/>
      <c r="GGP27" s="914"/>
      <c r="GGQ27" s="914"/>
      <c r="GGR27" s="914"/>
      <c r="GGS27" s="914"/>
      <c r="GGT27" s="914"/>
      <c r="GGU27" s="914"/>
      <c r="GGV27" s="914"/>
      <c r="GGW27" s="911"/>
      <c r="GGX27" s="911"/>
      <c r="GGY27" s="911"/>
      <c r="GGZ27" s="915"/>
      <c r="GHA27" s="914"/>
      <c r="GHB27" s="914"/>
      <c r="GHC27" s="914"/>
      <c r="GHD27" s="914"/>
      <c r="GHE27" s="914"/>
      <c r="GHF27" s="914"/>
      <c r="GHG27" s="914"/>
      <c r="GHH27" s="911"/>
      <c r="GHI27" s="911"/>
      <c r="GHJ27" s="911"/>
      <c r="GHK27" s="915"/>
      <c r="GHL27" s="914"/>
      <c r="GHM27" s="914"/>
      <c r="GHN27" s="914"/>
      <c r="GHO27" s="914"/>
      <c r="GHP27" s="914"/>
      <c r="GHQ27" s="914"/>
      <c r="GHR27" s="914"/>
      <c r="GHS27" s="911"/>
      <c r="GHT27" s="911"/>
      <c r="GHU27" s="911"/>
      <c r="GHV27" s="915"/>
      <c r="GHW27" s="914"/>
      <c r="GHX27" s="914"/>
      <c r="GHY27" s="914"/>
      <c r="GHZ27" s="914"/>
      <c r="GIA27" s="914"/>
      <c r="GIB27" s="914"/>
      <c r="GIC27" s="914"/>
      <c r="GID27" s="911"/>
      <c r="GIE27" s="911"/>
      <c r="GIF27" s="911"/>
      <c r="GIG27" s="915"/>
      <c r="GIH27" s="914"/>
      <c r="GII27" s="914"/>
      <c r="GIJ27" s="914"/>
      <c r="GIK27" s="914"/>
      <c r="GIL27" s="914"/>
      <c r="GIM27" s="914"/>
      <c r="GIN27" s="914"/>
      <c r="GIO27" s="911"/>
      <c r="GIP27" s="911"/>
      <c r="GIQ27" s="911"/>
      <c r="GIR27" s="915"/>
      <c r="GIS27" s="914"/>
      <c r="GIT27" s="914"/>
      <c r="GIU27" s="914"/>
      <c r="GIV27" s="914"/>
      <c r="GIW27" s="914"/>
      <c r="GIX27" s="914"/>
      <c r="GIY27" s="914"/>
      <c r="GIZ27" s="911"/>
      <c r="GJA27" s="911"/>
      <c r="GJB27" s="911"/>
      <c r="GJC27" s="915"/>
      <c r="GJD27" s="914"/>
      <c r="GJE27" s="914"/>
      <c r="GJF27" s="914"/>
      <c r="GJG27" s="914"/>
      <c r="GJH27" s="914"/>
      <c r="GJI27" s="914"/>
      <c r="GJJ27" s="914"/>
      <c r="GJK27" s="911"/>
      <c r="GJL27" s="911"/>
      <c r="GJM27" s="911"/>
      <c r="GJN27" s="915"/>
      <c r="GJO27" s="914"/>
      <c r="GJP27" s="914"/>
      <c r="GJQ27" s="914"/>
      <c r="GJR27" s="914"/>
      <c r="GJS27" s="914"/>
      <c r="GJT27" s="914"/>
      <c r="GJU27" s="914"/>
      <c r="GJV27" s="911"/>
      <c r="GJW27" s="911"/>
      <c r="GJX27" s="911"/>
      <c r="GJY27" s="915"/>
      <c r="GJZ27" s="914"/>
      <c r="GKA27" s="914"/>
      <c r="GKB27" s="914"/>
      <c r="GKC27" s="914"/>
      <c r="GKD27" s="914"/>
      <c r="GKE27" s="914"/>
      <c r="GKF27" s="914"/>
      <c r="GKG27" s="911"/>
      <c r="GKH27" s="911"/>
      <c r="GKI27" s="911"/>
      <c r="GKJ27" s="915"/>
      <c r="GKK27" s="914"/>
      <c r="GKL27" s="914"/>
      <c r="GKM27" s="914"/>
      <c r="GKN27" s="914"/>
      <c r="GKO27" s="914"/>
      <c r="GKP27" s="914"/>
      <c r="GKQ27" s="914"/>
      <c r="GKR27" s="911"/>
      <c r="GKS27" s="911"/>
      <c r="GKT27" s="911"/>
      <c r="GKU27" s="915"/>
      <c r="GKV27" s="914"/>
      <c r="GKW27" s="914"/>
      <c r="GKX27" s="914"/>
      <c r="GKY27" s="914"/>
      <c r="GKZ27" s="914"/>
      <c r="GLA27" s="914"/>
      <c r="GLB27" s="914"/>
      <c r="GLC27" s="911"/>
      <c r="GLD27" s="911"/>
      <c r="GLE27" s="911"/>
      <c r="GLF27" s="915"/>
      <c r="GLG27" s="914"/>
      <c r="GLH27" s="914"/>
      <c r="GLI27" s="914"/>
      <c r="GLJ27" s="914"/>
      <c r="GLK27" s="914"/>
      <c r="GLL27" s="914"/>
      <c r="GLM27" s="914"/>
      <c r="GLN27" s="911"/>
      <c r="GLO27" s="911"/>
      <c r="GLP27" s="911"/>
      <c r="GLQ27" s="915"/>
      <c r="GLR27" s="914"/>
      <c r="GLS27" s="914"/>
      <c r="GLT27" s="914"/>
      <c r="GLU27" s="914"/>
      <c r="GLV27" s="914"/>
      <c r="GLW27" s="914"/>
      <c r="GLX27" s="914"/>
      <c r="GLY27" s="911"/>
      <c r="GLZ27" s="911"/>
      <c r="GMA27" s="911"/>
      <c r="GMB27" s="915"/>
      <c r="GMC27" s="914"/>
      <c r="GMD27" s="914"/>
      <c r="GME27" s="914"/>
      <c r="GMF27" s="914"/>
      <c r="GMG27" s="914"/>
      <c r="GMH27" s="914"/>
      <c r="GMI27" s="914"/>
      <c r="GMJ27" s="911"/>
      <c r="GMK27" s="911"/>
      <c r="GML27" s="911"/>
      <c r="GMM27" s="915"/>
      <c r="GMN27" s="914"/>
      <c r="GMO27" s="914"/>
      <c r="GMP27" s="914"/>
      <c r="GMQ27" s="914"/>
      <c r="GMR27" s="914"/>
      <c r="GMS27" s="914"/>
      <c r="GMT27" s="914"/>
      <c r="GMU27" s="911"/>
      <c r="GMV27" s="911"/>
      <c r="GMW27" s="911"/>
      <c r="GMX27" s="915"/>
      <c r="GMY27" s="914"/>
      <c r="GMZ27" s="914"/>
      <c r="GNA27" s="914"/>
      <c r="GNB27" s="914"/>
      <c r="GNC27" s="914"/>
      <c r="GND27" s="914"/>
      <c r="GNE27" s="914"/>
      <c r="GNF27" s="911"/>
      <c r="GNG27" s="911"/>
      <c r="GNH27" s="911"/>
      <c r="GNI27" s="915"/>
      <c r="GNJ27" s="914"/>
      <c r="GNK27" s="914"/>
      <c r="GNL27" s="914"/>
      <c r="GNM27" s="914"/>
      <c r="GNN27" s="914"/>
      <c r="GNO27" s="914"/>
      <c r="GNP27" s="914"/>
      <c r="GNQ27" s="911"/>
      <c r="GNR27" s="911"/>
      <c r="GNS27" s="911"/>
      <c r="GNT27" s="915"/>
      <c r="GNU27" s="914"/>
      <c r="GNV27" s="914"/>
      <c r="GNW27" s="914"/>
      <c r="GNX27" s="914"/>
      <c r="GNY27" s="914"/>
      <c r="GNZ27" s="914"/>
      <c r="GOA27" s="914"/>
      <c r="GOB27" s="911"/>
      <c r="GOC27" s="911"/>
      <c r="GOD27" s="911"/>
      <c r="GOE27" s="915"/>
      <c r="GOF27" s="914"/>
      <c r="GOG27" s="914"/>
      <c r="GOH27" s="914"/>
      <c r="GOI27" s="914"/>
      <c r="GOJ27" s="914"/>
      <c r="GOK27" s="914"/>
      <c r="GOL27" s="914"/>
      <c r="GOM27" s="911"/>
      <c r="GON27" s="911"/>
      <c r="GOO27" s="911"/>
      <c r="GOP27" s="915"/>
      <c r="GOQ27" s="914"/>
      <c r="GOR27" s="914"/>
      <c r="GOS27" s="914"/>
      <c r="GOT27" s="914"/>
      <c r="GOU27" s="914"/>
      <c r="GOV27" s="914"/>
      <c r="GOW27" s="914"/>
      <c r="GOX27" s="911"/>
      <c r="GOY27" s="911"/>
      <c r="GOZ27" s="911"/>
      <c r="GPA27" s="915"/>
      <c r="GPB27" s="914"/>
      <c r="GPC27" s="914"/>
      <c r="GPD27" s="914"/>
      <c r="GPE27" s="914"/>
      <c r="GPF27" s="914"/>
      <c r="GPG27" s="914"/>
      <c r="GPH27" s="914"/>
      <c r="GPI27" s="911"/>
      <c r="GPJ27" s="911"/>
      <c r="GPK27" s="911"/>
      <c r="GPL27" s="915"/>
      <c r="GPM27" s="914"/>
      <c r="GPN27" s="914"/>
      <c r="GPO27" s="914"/>
      <c r="GPP27" s="914"/>
      <c r="GPQ27" s="914"/>
      <c r="GPR27" s="914"/>
      <c r="GPS27" s="914"/>
      <c r="GPT27" s="911"/>
      <c r="GPU27" s="911"/>
      <c r="GPV27" s="911"/>
      <c r="GPW27" s="915"/>
      <c r="GPX27" s="914"/>
      <c r="GPY27" s="914"/>
      <c r="GPZ27" s="914"/>
      <c r="GQA27" s="914"/>
      <c r="GQB27" s="914"/>
      <c r="GQC27" s="914"/>
      <c r="GQD27" s="914"/>
      <c r="GQE27" s="911"/>
      <c r="GQF27" s="911"/>
      <c r="GQG27" s="911"/>
      <c r="GQH27" s="915"/>
      <c r="GQI27" s="914"/>
      <c r="GQJ27" s="914"/>
      <c r="GQK27" s="914"/>
      <c r="GQL27" s="914"/>
      <c r="GQM27" s="914"/>
      <c r="GQN27" s="914"/>
      <c r="GQO27" s="914"/>
      <c r="GQP27" s="911"/>
      <c r="GQQ27" s="911"/>
      <c r="GQR27" s="911"/>
      <c r="GQS27" s="915"/>
      <c r="GQT27" s="914"/>
      <c r="GQU27" s="914"/>
      <c r="GQV27" s="914"/>
      <c r="GQW27" s="914"/>
      <c r="GQX27" s="914"/>
      <c r="GQY27" s="914"/>
      <c r="GQZ27" s="914"/>
      <c r="GRA27" s="911"/>
      <c r="GRB27" s="911"/>
      <c r="GRC27" s="911"/>
      <c r="GRD27" s="915"/>
      <c r="GRE27" s="914"/>
      <c r="GRF27" s="914"/>
      <c r="GRG27" s="914"/>
      <c r="GRH27" s="914"/>
      <c r="GRI27" s="914"/>
      <c r="GRJ27" s="914"/>
      <c r="GRK27" s="914"/>
      <c r="GRL27" s="911"/>
      <c r="GRM27" s="911"/>
      <c r="GRN27" s="911"/>
      <c r="GRO27" s="915"/>
      <c r="GRP27" s="914"/>
      <c r="GRQ27" s="914"/>
      <c r="GRR27" s="914"/>
      <c r="GRS27" s="914"/>
      <c r="GRT27" s="914"/>
      <c r="GRU27" s="914"/>
      <c r="GRV27" s="914"/>
      <c r="GRW27" s="911"/>
      <c r="GRX27" s="911"/>
      <c r="GRY27" s="911"/>
      <c r="GRZ27" s="915"/>
      <c r="GSA27" s="914"/>
      <c r="GSB27" s="914"/>
      <c r="GSC27" s="914"/>
      <c r="GSD27" s="914"/>
      <c r="GSE27" s="914"/>
      <c r="GSF27" s="914"/>
      <c r="GSG27" s="914"/>
      <c r="GSH27" s="911"/>
      <c r="GSI27" s="911"/>
      <c r="GSJ27" s="911"/>
      <c r="GSK27" s="915"/>
      <c r="GSL27" s="914"/>
      <c r="GSM27" s="914"/>
      <c r="GSN27" s="914"/>
      <c r="GSO27" s="914"/>
      <c r="GSP27" s="914"/>
      <c r="GSQ27" s="914"/>
      <c r="GSR27" s="914"/>
      <c r="GSS27" s="911"/>
      <c r="GST27" s="911"/>
      <c r="GSU27" s="911"/>
      <c r="GSV27" s="915"/>
      <c r="GSW27" s="914"/>
      <c r="GSX27" s="914"/>
      <c r="GSY27" s="914"/>
      <c r="GSZ27" s="914"/>
      <c r="GTA27" s="914"/>
      <c r="GTB27" s="914"/>
      <c r="GTC27" s="914"/>
      <c r="GTD27" s="911"/>
      <c r="GTE27" s="911"/>
      <c r="GTF27" s="911"/>
      <c r="GTG27" s="915"/>
      <c r="GTH27" s="914"/>
      <c r="GTI27" s="914"/>
      <c r="GTJ27" s="914"/>
      <c r="GTK27" s="914"/>
      <c r="GTL27" s="914"/>
      <c r="GTM27" s="914"/>
      <c r="GTN27" s="914"/>
      <c r="GTO27" s="911"/>
      <c r="GTP27" s="911"/>
      <c r="GTQ27" s="911"/>
      <c r="GTR27" s="915"/>
      <c r="GTS27" s="914"/>
      <c r="GTT27" s="914"/>
      <c r="GTU27" s="914"/>
      <c r="GTV27" s="914"/>
      <c r="GTW27" s="914"/>
      <c r="GTX27" s="914"/>
      <c r="GTY27" s="914"/>
      <c r="GTZ27" s="911"/>
      <c r="GUA27" s="911"/>
      <c r="GUB27" s="911"/>
      <c r="GUC27" s="915"/>
      <c r="GUD27" s="914"/>
      <c r="GUE27" s="914"/>
      <c r="GUF27" s="914"/>
      <c r="GUG27" s="914"/>
      <c r="GUH27" s="914"/>
      <c r="GUI27" s="914"/>
      <c r="GUJ27" s="914"/>
      <c r="GUK27" s="911"/>
      <c r="GUL27" s="911"/>
      <c r="GUM27" s="911"/>
      <c r="GUN27" s="915"/>
      <c r="GUO27" s="914"/>
      <c r="GUP27" s="914"/>
      <c r="GUQ27" s="914"/>
      <c r="GUR27" s="914"/>
      <c r="GUS27" s="914"/>
      <c r="GUT27" s="914"/>
      <c r="GUU27" s="914"/>
      <c r="GUV27" s="911"/>
      <c r="GUW27" s="911"/>
      <c r="GUX27" s="911"/>
      <c r="GUY27" s="915"/>
      <c r="GUZ27" s="914"/>
      <c r="GVA27" s="914"/>
      <c r="GVB27" s="914"/>
      <c r="GVC27" s="914"/>
      <c r="GVD27" s="914"/>
      <c r="GVE27" s="914"/>
      <c r="GVF27" s="914"/>
      <c r="GVG27" s="911"/>
      <c r="GVH27" s="911"/>
      <c r="GVI27" s="911"/>
      <c r="GVJ27" s="915"/>
      <c r="GVK27" s="914"/>
      <c r="GVL27" s="914"/>
      <c r="GVM27" s="914"/>
      <c r="GVN27" s="914"/>
      <c r="GVO27" s="914"/>
      <c r="GVP27" s="914"/>
      <c r="GVQ27" s="914"/>
      <c r="GVR27" s="911"/>
      <c r="GVS27" s="911"/>
      <c r="GVT27" s="911"/>
      <c r="GVU27" s="915"/>
      <c r="GVV27" s="914"/>
      <c r="GVW27" s="914"/>
      <c r="GVX27" s="914"/>
      <c r="GVY27" s="914"/>
      <c r="GVZ27" s="914"/>
      <c r="GWA27" s="914"/>
      <c r="GWB27" s="914"/>
      <c r="GWC27" s="911"/>
      <c r="GWD27" s="911"/>
      <c r="GWE27" s="911"/>
      <c r="GWF27" s="915"/>
      <c r="GWG27" s="914"/>
      <c r="GWH27" s="914"/>
      <c r="GWI27" s="914"/>
      <c r="GWJ27" s="914"/>
      <c r="GWK27" s="914"/>
      <c r="GWL27" s="914"/>
      <c r="GWM27" s="914"/>
      <c r="GWN27" s="911"/>
      <c r="GWO27" s="911"/>
      <c r="GWP27" s="911"/>
      <c r="GWQ27" s="915"/>
      <c r="GWR27" s="914"/>
      <c r="GWS27" s="914"/>
      <c r="GWT27" s="914"/>
      <c r="GWU27" s="914"/>
      <c r="GWV27" s="914"/>
      <c r="GWW27" s="914"/>
      <c r="GWX27" s="914"/>
      <c r="GWY27" s="911"/>
      <c r="GWZ27" s="911"/>
      <c r="GXA27" s="911"/>
      <c r="GXB27" s="915"/>
      <c r="GXC27" s="914"/>
      <c r="GXD27" s="914"/>
      <c r="GXE27" s="914"/>
      <c r="GXF27" s="914"/>
      <c r="GXG27" s="914"/>
      <c r="GXH27" s="914"/>
      <c r="GXI27" s="914"/>
      <c r="GXJ27" s="911"/>
      <c r="GXK27" s="911"/>
      <c r="GXL27" s="911"/>
      <c r="GXM27" s="915"/>
      <c r="GXN27" s="914"/>
      <c r="GXO27" s="914"/>
      <c r="GXP27" s="914"/>
      <c r="GXQ27" s="914"/>
      <c r="GXR27" s="914"/>
      <c r="GXS27" s="914"/>
      <c r="GXT27" s="914"/>
      <c r="GXU27" s="911"/>
      <c r="GXV27" s="911"/>
      <c r="GXW27" s="911"/>
      <c r="GXX27" s="915"/>
      <c r="GXY27" s="914"/>
      <c r="GXZ27" s="914"/>
      <c r="GYA27" s="914"/>
      <c r="GYB27" s="914"/>
      <c r="GYC27" s="914"/>
      <c r="GYD27" s="914"/>
      <c r="GYE27" s="914"/>
      <c r="GYF27" s="911"/>
      <c r="GYG27" s="911"/>
      <c r="GYH27" s="911"/>
      <c r="GYI27" s="915"/>
      <c r="GYJ27" s="914"/>
      <c r="GYK27" s="914"/>
      <c r="GYL27" s="914"/>
      <c r="GYM27" s="914"/>
      <c r="GYN27" s="914"/>
      <c r="GYO27" s="914"/>
      <c r="GYP27" s="914"/>
      <c r="GYQ27" s="911"/>
      <c r="GYR27" s="911"/>
      <c r="GYS27" s="911"/>
      <c r="GYT27" s="915"/>
      <c r="GYU27" s="914"/>
      <c r="GYV27" s="914"/>
      <c r="GYW27" s="914"/>
      <c r="GYX27" s="914"/>
      <c r="GYY27" s="914"/>
      <c r="GYZ27" s="914"/>
      <c r="GZA27" s="914"/>
      <c r="GZB27" s="911"/>
      <c r="GZC27" s="911"/>
      <c r="GZD27" s="911"/>
      <c r="GZE27" s="915"/>
      <c r="GZF27" s="914"/>
      <c r="GZG27" s="914"/>
      <c r="GZH27" s="914"/>
      <c r="GZI27" s="914"/>
      <c r="GZJ27" s="914"/>
      <c r="GZK27" s="914"/>
      <c r="GZL27" s="914"/>
      <c r="GZM27" s="911"/>
      <c r="GZN27" s="911"/>
      <c r="GZO27" s="911"/>
      <c r="GZP27" s="915"/>
      <c r="GZQ27" s="914"/>
      <c r="GZR27" s="914"/>
      <c r="GZS27" s="914"/>
      <c r="GZT27" s="914"/>
      <c r="GZU27" s="914"/>
      <c r="GZV27" s="914"/>
      <c r="GZW27" s="914"/>
      <c r="GZX27" s="911"/>
      <c r="GZY27" s="911"/>
      <c r="GZZ27" s="911"/>
      <c r="HAA27" s="915"/>
      <c r="HAB27" s="914"/>
      <c r="HAC27" s="914"/>
      <c r="HAD27" s="914"/>
      <c r="HAE27" s="914"/>
      <c r="HAF27" s="914"/>
      <c r="HAG27" s="914"/>
      <c r="HAH27" s="914"/>
      <c r="HAI27" s="911"/>
      <c r="HAJ27" s="911"/>
      <c r="HAK27" s="911"/>
      <c r="HAL27" s="915"/>
      <c r="HAM27" s="914"/>
      <c r="HAN27" s="914"/>
      <c r="HAO27" s="914"/>
      <c r="HAP27" s="914"/>
      <c r="HAQ27" s="914"/>
      <c r="HAR27" s="914"/>
      <c r="HAS27" s="914"/>
      <c r="HAT27" s="911"/>
      <c r="HAU27" s="911"/>
      <c r="HAV27" s="911"/>
      <c r="HAW27" s="915"/>
      <c r="HAX27" s="914"/>
      <c r="HAY27" s="914"/>
      <c r="HAZ27" s="914"/>
      <c r="HBA27" s="914"/>
      <c r="HBB27" s="914"/>
      <c r="HBC27" s="914"/>
      <c r="HBD27" s="914"/>
      <c r="HBE27" s="911"/>
      <c r="HBF27" s="911"/>
      <c r="HBG27" s="911"/>
      <c r="HBH27" s="915"/>
      <c r="HBI27" s="914"/>
      <c r="HBJ27" s="914"/>
      <c r="HBK27" s="914"/>
      <c r="HBL27" s="914"/>
      <c r="HBM27" s="914"/>
      <c r="HBN27" s="914"/>
      <c r="HBO27" s="914"/>
      <c r="HBP27" s="911"/>
      <c r="HBQ27" s="911"/>
      <c r="HBR27" s="911"/>
      <c r="HBS27" s="915"/>
      <c r="HBT27" s="914"/>
      <c r="HBU27" s="914"/>
      <c r="HBV27" s="914"/>
      <c r="HBW27" s="914"/>
      <c r="HBX27" s="914"/>
      <c r="HBY27" s="914"/>
      <c r="HBZ27" s="914"/>
      <c r="HCA27" s="911"/>
      <c r="HCB27" s="911"/>
      <c r="HCC27" s="911"/>
      <c r="HCD27" s="915"/>
      <c r="HCE27" s="914"/>
      <c r="HCF27" s="914"/>
      <c r="HCG27" s="914"/>
      <c r="HCH27" s="914"/>
      <c r="HCI27" s="914"/>
      <c r="HCJ27" s="914"/>
      <c r="HCK27" s="914"/>
      <c r="HCL27" s="911"/>
      <c r="HCM27" s="911"/>
      <c r="HCN27" s="911"/>
      <c r="HCO27" s="915"/>
      <c r="HCP27" s="914"/>
      <c r="HCQ27" s="914"/>
      <c r="HCR27" s="914"/>
      <c r="HCS27" s="914"/>
      <c r="HCT27" s="914"/>
      <c r="HCU27" s="914"/>
      <c r="HCV27" s="914"/>
      <c r="HCW27" s="911"/>
      <c r="HCX27" s="911"/>
      <c r="HCY27" s="911"/>
      <c r="HCZ27" s="915"/>
      <c r="HDA27" s="914"/>
      <c r="HDB27" s="914"/>
      <c r="HDC27" s="914"/>
      <c r="HDD27" s="914"/>
      <c r="HDE27" s="914"/>
      <c r="HDF27" s="914"/>
      <c r="HDG27" s="914"/>
      <c r="HDH27" s="911"/>
      <c r="HDI27" s="911"/>
      <c r="HDJ27" s="911"/>
      <c r="HDK27" s="915"/>
      <c r="HDL27" s="914"/>
      <c r="HDM27" s="914"/>
      <c r="HDN27" s="914"/>
      <c r="HDO27" s="914"/>
      <c r="HDP27" s="914"/>
      <c r="HDQ27" s="914"/>
      <c r="HDR27" s="914"/>
      <c r="HDS27" s="911"/>
      <c r="HDT27" s="911"/>
      <c r="HDU27" s="911"/>
      <c r="HDV27" s="915"/>
      <c r="HDW27" s="914"/>
      <c r="HDX27" s="914"/>
      <c r="HDY27" s="914"/>
      <c r="HDZ27" s="914"/>
      <c r="HEA27" s="914"/>
      <c r="HEB27" s="914"/>
      <c r="HEC27" s="914"/>
      <c r="HED27" s="911"/>
      <c r="HEE27" s="911"/>
      <c r="HEF27" s="911"/>
      <c r="HEG27" s="915"/>
      <c r="HEH27" s="914"/>
      <c r="HEI27" s="914"/>
      <c r="HEJ27" s="914"/>
      <c r="HEK27" s="914"/>
      <c r="HEL27" s="914"/>
      <c r="HEM27" s="914"/>
      <c r="HEN27" s="914"/>
      <c r="HEO27" s="911"/>
      <c r="HEP27" s="911"/>
      <c r="HEQ27" s="911"/>
      <c r="HER27" s="915"/>
      <c r="HES27" s="914"/>
      <c r="HET27" s="914"/>
      <c r="HEU27" s="914"/>
      <c r="HEV27" s="914"/>
      <c r="HEW27" s="914"/>
      <c r="HEX27" s="914"/>
      <c r="HEY27" s="914"/>
      <c r="HEZ27" s="911"/>
      <c r="HFA27" s="911"/>
      <c r="HFB27" s="911"/>
      <c r="HFC27" s="915"/>
      <c r="HFD27" s="914"/>
      <c r="HFE27" s="914"/>
      <c r="HFF27" s="914"/>
      <c r="HFG27" s="914"/>
      <c r="HFH27" s="914"/>
      <c r="HFI27" s="914"/>
      <c r="HFJ27" s="914"/>
      <c r="HFK27" s="911"/>
      <c r="HFL27" s="911"/>
      <c r="HFM27" s="911"/>
      <c r="HFN27" s="915"/>
      <c r="HFO27" s="914"/>
      <c r="HFP27" s="914"/>
      <c r="HFQ27" s="914"/>
      <c r="HFR27" s="914"/>
      <c r="HFS27" s="914"/>
      <c r="HFT27" s="914"/>
      <c r="HFU27" s="914"/>
      <c r="HFV27" s="911"/>
      <c r="HFW27" s="911"/>
      <c r="HFX27" s="911"/>
      <c r="HFY27" s="915"/>
      <c r="HFZ27" s="914"/>
      <c r="HGA27" s="914"/>
      <c r="HGB27" s="914"/>
      <c r="HGC27" s="914"/>
      <c r="HGD27" s="914"/>
      <c r="HGE27" s="914"/>
      <c r="HGF27" s="914"/>
      <c r="HGG27" s="911"/>
      <c r="HGH27" s="911"/>
      <c r="HGI27" s="911"/>
      <c r="HGJ27" s="915"/>
      <c r="HGK27" s="914"/>
      <c r="HGL27" s="914"/>
      <c r="HGM27" s="914"/>
      <c r="HGN27" s="914"/>
      <c r="HGO27" s="914"/>
      <c r="HGP27" s="914"/>
      <c r="HGQ27" s="914"/>
      <c r="HGR27" s="911"/>
      <c r="HGS27" s="911"/>
      <c r="HGT27" s="911"/>
      <c r="HGU27" s="915"/>
      <c r="HGV27" s="914"/>
      <c r="HGW27" s="914"/>
      <c r="HGX27" s="914"/>
      <c r="HGY27" s="914"/>
      <c r="HGZ27" s="914"/>
      <c r="HHA27" s="914"/>
      <c r="HHB27" s="914"/>
      <c r="HHC27" s="911"/>
      <c r="HHD27" s="911"/>
      <c r="HHE27" s="911"/>
      <c r="HHF27" s="915"/>
      <c r="HHG27" s="914"/>
      <c r="HHH27" s="914"/>
      <c r="HHI27" s="914"/>
      <c r="HHJ27" s="914"/>
      <c r="HHK27" s="914"/>
      <c r="HHL27" s="914"/>
      <c r="HHM27" s="914"/>
      <c r="HHN27" s="911"/>
      <c r="HHO27" s="911"/>
      <c r="HHP27" s="911"/>
      <c r="HHQ27" s="915"/>
      <c r="HHR27" s="914"/>
      <c r="HHS27" s="914"/>
      <c r="HHT27" s="914"/>
      <c r="HHU27" s="914"/>
      <c r="HHV27" s="914"/>
      <c r="HHW27" s="914"/>
      <c r="HHX27" s="914"/>
      <c r="HHY27" s="911"/>
      <c r="HHZ27" s="911"/>
      <c r="HIA27" s="911"/>
      <c r="HIB27" s="915"/>
      <c r="HIC27" s="914"/>
      <c r="HID27" s="914"/>
      <c r="HIE27" s="914"/>
      <c r="HIF27" s="914"/>
      <c r="HIG27" s="914"/>
      <c r="HIH27" s="914"/>
      <c r="HII27" s="914"/>
      <c r="HIJ27" s="911"/>
      <c r="HIK27" s="911"/>
      <c r="HIL27" s="911"/>
      <c r="HIM27" s="915"/>
      <c r="HIN27" s="914"/>
      <c r="HIO27" s="914"/>
      <c r="HIP27" s="914"/>
      <c r="HIQ27" s="914"/>
      <c r="HIR27" s="914"/>
      <c r="HIS27" s="914"/>
      <c r="HIT27" s="914"/>
      <c r="HIU27" s="911"/>
      <c r="HIV27" s="911"/>
      <c r="HIW27" s="911"/>
      <c r="HIX27" s="915"/>
      <c r="HIY27" s="914"/>
      <c r="HIZ27" s="914"/>
      <c r="HJA27" s="914"/>
      <c r="HJB27" s="914"/>
      <c r="HJC27" s="914"/>
      <c r="HJD27" s="914"/>
      <c r="HJE27" s="914"/>
      <c r="HJF27" s="911"/>
      <c r="HJG27" s="911"/>
      <c r="HJH27" s="911"/>
      <c r="HJI27" s="915"/>
      <c r="HJJ27" s="914"/>
      <c r="HJK27" s="914"/>
      <c r="HJL27" s="914"/>
      <c r="HJM27" s="914"/>
      <c r="HJN27" s="914"/>
      <c r="HJO27" s="914"/>
      <c r="HJP27" s="914"/>
      <c r="HJQ27" s="911"/>
      <c r="HJR27" s="911"/>
      <c r="HJS27" s="911"/>
      <c r="HJT27" s="915"/>
      <c r="HJU27" s="914"/>
      <c r="HJV27" s="914"/>
      <c r="HJW27" s="914"/>
      <c r="HJX27" s="914"/>
      <c r="HJY27" s="914"/>
      <c r="HJZ27" s="914"/>
      <c r="HKA27" s="914"/>
      <c r="HKB27" s="911"/>
      <c r="HKC27" s="911"/>
      <c r="HKD27" s="911"/>
      <c r="HKE27" s="915"/>
      <c r="HKF27" s="914"/>
      <c r="HKG27" s="914"/>
      <c r="HKH27" s="914"/>
      <c r="HKI27" s="914"/>
      <c r="HKJ27" s="914"/>
      <c r="HKK27" s="914"/>
      <c r="HKL27" s="914"/>
      <c r="HKM27" s="911"/>
      <c r="HKN27" s="911"/>
      <c r="HKO27" s="911"/>
      <c r="HKP27" s="915"/>
      <c r="HKQ27" s="914"/>
      <c r="HKR27" s="914"/>
      <c r="HKS27" s="914"/>
      <c r="HKT27" s="914"/>
      <c r="HKU27" s="914"/>
      <c r="HKV27" s="914"/>
      <c r="HKW27" s="914"/>
      <c r="HKX27" s="911"/>
      <c r="HKY27" s="911"/>
      <c r="HKZ27" s="911"/>
      <c r="HLA27" s="915"/>
      <c r="HLB27" s="914"/>
      <c r="HLC27" s="914"/>
      <c r="HLD27" s="914"/>
      <c r="HLE27" s="914"/>
      <c r="HLF27" s="914"/>
      <c r="HLG27" s="914"/>
      <c r="HLH27" s="914"/>
      <c r="HLI27" s="911"/>
      <c r="HLJ27" s="911"/>
      <c r="HLK27" s="911"/>
      <c r="HLL27" s="915"/>
      <c r="HLM27" s="914"/>
      <c r="HLN27" s="914"/>
      <c r="HLO27" s="914"/>
      <c r="HLP27" s="914"/>
      <c r="HLQ27" s="914"/>
      <c r="HLR27" s="914"/>
      <c r="HLS27" s="914"/>
      <c r="HLT27" s="911"/>
      <c r="HLU27" s="911"/>
      <c r="HLV27" s="911"/>
      <c r="HLW27" s="915"/>
      <c r="HLX27" s="914"/>
      <c r="HLY27" s="914"/>
      <c r="HLZ27" s="914"/>
      <c r="HMA27" s="914"/>
      <c r="HMB27" s="914"/>
      <c r="HMC27" s="914"/>
      <c r="HMD27" s="914"/>
      <c r="HME27" s="911"/>
      <c r="HMF27" s="911"/>
      <c r="HMG27" s="911"/>
      <c r="HMH27" s="915"/>
      <c r="HMI27" s="914"/>
      <c r="HMJ27" s="914"/>
      <c r="HMK27" s="914"/>
      <c r="HML27" s="914"/>
      <c r="HMM27" s="914"/>
      <c r="HMN27" s="914"/>
      <c r="HMO27" s="914"/>
      <c r="HMP27" s="911"/>
      <c r="HMQ27" s="911"/>
      <c r="HMR27" s="911"/>
      <c r="HMS27" s="915"/>
      <c r="HMT27" s="914"/>
      <c r="HMU27" s="914"/>
      <c r="HMV27" s="914"/>
      <c r="HMW27" s="914"/>
      <c r="HMX27" s="914"/>
      <c r="HMY27" s="914"/>
      <c r="HMZ27" s="914"/>
      <c r="HNA27" s="911"/>
      <c r="HNB27" s="911"/>
      <c r="HNC27" s="911"/>
      <c r="HND27" s="915"/>
      <c r="HNE27" s="914"/>
      <c r="HNF27" s="914"/>
      <c r="HNG27" s="914"/>
      <c r="HNH27" s="914"/>
      <c r="HNI27" s="914"/>
      <c r="HNJ27" s="914"/>
      <c r="HNK27" s="914"/>
      <c r="HNL27" s="911"/>
      <c r="HNM27" s="911"/>
      <c r="HNN27" s="911"/>
      <c r="HNO27" s="915"/>
      <c r="HNP27" s="914"/>
      <c r="HNQ27" s="914"/>
      <c r="HNR27" s="914"/>
      <c r="HNS27" s="914"/>
      <c r="HNT27" s="914"/>
      <c r="HNU27" s="914"/>
      <c r="HNV27" s="914"/>
      <c r="HNW27" s="911"/>
      <c r="HNX27" s="911"/>
      <c r="HNY27" s="911"/>
      <c r="HNZ27" s="915"/>
      <c r="HOA27" s="914"/>
      <c r="HOB27" s="914"/>
      <c r="HOC27" s="914"/>
      <c r="HOD27" s="914"/>
      <c r="HOE27" s="914"/>
      <c r="HOF27" s="914"/>
      <c r="HOG27" s="914"/>
      <c r="HOH27" s="911"/>
      <c r="HOI27" s="911"/>
      <c r="HOJ27" s="911"/>
      <c r="HOK27" s="915"/>
      <c r="HOL27" s="914"/>
      <c r="HOM27" s="914"/>
      <c r="HON27" s="914"/>
      <c r="HOO27" s="914"/>
      <c r="HOP27" s="914"/>
      <c r="HOQ27" s="914"/>
      <c r="HOR27" s="914"/>
      <c r="HOS27" s="911"/>
      <c r="HOT27" s="911"/>
      <c r="HOU27" s="911"/>
      <c r="HOV27" s="915"/>
      <c r="HOW27" s="914"/>
      <c r="HOX27" s="914"/>
      <c r="HOY27" s="914"/>
      <c r="HOZ27" s="914"/>
      <c r="HPA27" s="914"/>
      <c r="HPB27" s="914"/>
      <c r="HPC27" s="914"/>
      <c r="HPD27" s="911"/>
      <c r="HPE27" s="911"/>
      <c r="HPF27" s="911"/>
      <c r="HPG27" s="915"/>
      <c r="HPH27" s="914"/>
      <c r="HPI27" s="914"/>
      <c r="HPJ27" s="914"/>
      <c r="HPK27" s="914"/>
      <c r="HPL27" s="914"/>
      <c r="HPM27" s="914"/>
      <c r="HPN27" s="914"/>
      <c r="HPO27" s="911"/>
      <c r="HPP27" s="911"/>
      <c r="HPQ27" s="911"/>
      <c r="HPR27" s="915"/>
      <c r="HPS27" s="914"/>
      <c r="HPT27" s="914"/>
      <c r="HPU27" s="914"/>
      <c r="HPV27" s="914"/>
      <c r="HPW27" s="914"/>
      <c r="HPX27" s="914"/>
      <c r="HPY27" s="914"/>
      <c r="HPZ27" s="911"/>
      <c r="HQA27" s="911"/>
      <c r="HQB27" s="911"/>
      <c r="HQC27" s="915"/>
      <c r="HQD27" s="914"/>
      <c r="HQE27" s="914"/>
      <c r="HQF27" s="914"/>
      <c r="HQG27" s="914"/>
      <c r="HQH27" s="914"/>
      <c r="HQI27" s="914"/>
      <c r="HQJ27" s="914"/>
      <c r="HQK27" s="911"/>
      <c r="HQL27" s="911"/>
      <c r="HQM27" s="911"/>
      <c r="HQN27" s="915"/>
      <c r="HQO27" s="914"/>
      <c r="HQP27" s="914"/>
      <c r="HQQ27" s="914"/>
      <c r="HQR27" s="914"/>
      <c r="HQS27" s="914"/>
      <c r="HQT27" s="914"/>
      <c r="HQU27" s="914"/>
      <c r="HQV27" s="911"/>
      <c r="HQW27" s="911"/>
      <c r="HQX27" s="911"/>
      <c r="HQY27" s="915"/>
      <c r="HQZ27" s="914"/>
      <c r="HRA27" s="914"/>
      <c r="HRB27" s="914"/>
      <c r="HRC27" s="914"/>
      <c r="HRD27" s="914"/>
      <c r="HRE27" s="914"/>
      <c r="HRF27" s="914"/>
      <c r="HRG27" s="911"/>
      <c r="HRH27" s="911"/>
      <c r="HRI27" s="911"/>
      <c r="HRJ27" s="915"/>
      <c r="HRK27" s="914"/>
      <c r="HRL27" s="914"/>
      <c r="HRM27" s="914"/>
      <c r="HRN27" s="914"/>
      <c r="HRO27" s="914"/>
      <c r="HRP27" s="914"/>
      <c r="HRQ27" s="914"/>
      <c r="HRR27" s="911"/>
      <c r="HRS27" s="911"/>
      <c r="HRT27" s="911"/>
      <c r="HRU27" s="915"/>
      <c r="HRV27" s="914"/>
      <c r="HRW27" s="914"/>
      <c r="HRX27" s="914"/>
      <c r="HRY27" s="914"/>
      <c r="HRZ27" s="914"/>
      <c r="HSA27" s="914"/>
      <c r="HSB27" s="914"/>
      <c r="HSC27" s="911"/>
      <c r="HSD27" s="911"/>
      <c r="HSE27" s="911"/>
      <c r="HSF27" s="915"/>
      <c r="HSG27" s="914"/>
      <c r="HSH27" s="914"/>
      <c r="HSI27" s="914"/>
      <c r="HSJ27" s="914"/>
      <c r="HSK27" s="914"/>
      <c r="HSL27" s="914"/>
      <c r="HSM27" s="914"/>
      <c r="HSN27" s="911"/>
      <c r="HSO27" s="911"/>
      <c r="HSP27" s="911"/>
      <c r="HSQ27" s="915"/>
      <c r="HSR27" s="914"/>
      <c r="HSS27" s="914"/>
      <c r="HST27" s="914"/>
      <c r="HSU27" s="914"/>
      <c r="HSV27" s="914"/>
      <c r="HSW27" s="914"/>
      <c r="HSX27" s="914"/>
      <c r="HSY27" s="911"/>
      <c r="HSZ27" s="911"/>
      <c r="HTA27" s="911"/>
      <c r="HTB27" s="915"/>
      <c r="HTC27" s="914"/>
      <c r="HTD27" s="914"/>
      <c r="HTE27" s="914"/>
      <c r="HTF27" s="914"/>
      <c r="HTG27" s="914"/>
      <c r="HTH27" s="914"/>
      <c r="HTI27" s="914"/>
      <c r="HTJ27" s="911"/>
      <c r="HTK27" s="911"/>
      <c r="HTL27" s="911"/>
      <c r="HTM27" s="915"/>
      <c r="HTN27" s="914"/>
      <c r="HTO27" s="914"/>
      <c r="HTP27" s="914"/>
      <c r="HTQ27" s="914"/>
      <c r="HTR27" s="914"/>
      <c r="HTS27" s="914"/>
      <c r="HTT27" s="914"/>
      <c r="HTU27" s="911"/>
      <c r="HTV27" s="911"/>
      <c r="HTW27" s="911"/>
      <c r="HTX27" s="915"/>
      <c r="HTY27" s="914"/>
      <c r="HTZ27" s="914"/>
      <c r="HUA27" s="914"/>
      <c r="HUB27" s="914"/>
      <c r="HUC27" s="914"/>
      <c r="HUD27" s="914"/>
      <c r="HUE27" s="914"/>
      <c r="HUF27" s="911"/>
      <c r="HUG27" s="911"/>
      <c r="HUH27" s="911"/>
      <c r="HUI27" s="915"/>
      <c r="HUJ27" s="914"/>
      <c r="HUK27" s="914"/>
      <c r="HUL27" s="914"/>
      <c r="HUM27" s="914"/>
      <c r="HUN27" s="914"/>
      <c r="HUO27" s="914"/>
      <c r="HUP27" s="914"/>
      <c r="HUQ27" s="911"/>
      <c r="HUR27" s="911"/>
      <c r="HUS27" s="911"/>
      <c r="HUT27" s="915"/>
      <c r="HUU27" s="914"/>
      <c r="HUV27" s="914"/>
      <c r="HUW27" s="914"/>
      <c r="HUX27" s="914"/>
      <c r="HUY27" s="914"/>
      <c r="HUZ27" s="914"/>
      <c r="HVA27" s="914"/>
      <c r="HVB27" s="911"/>
      <c r="HVC27" s="911"/>
      <c r="HVD27" s="911"/>
      <c r="HVE27" s="915"/>
      <c r="HVF27" s="914"/>
      <c r="HVG27" s="914"/>
      <c r="HVH27" s="914"/>
      <c r="HVI27" s="914"/>
      <c r="HVJ27" s="914"/>
      <c r="HVK27" s="914"/>
      <c r="HVL27" s="914"/>
      <c r="HVM27" s="911"/>
      <c r="HVN27" s="911"/>
      <c r="HVO27" s="911"/>
      <c r="HVP27" s="915"/>
      <c r="HVQ27" s="914"/>
      <c r="HVR27" s="914"/>
      <c r="HVS27" s="914"/>
      <c r="HVT27" s="914"/>
      <c r="HVU27" s="914"/>
      <c r="HVV27" s="914"/>
      <c r="HVW27" s="914"/>
      <c r="HVX27" s="911"/>
      <c r="HVY27" s="911"/>
      <c r="HVZ27" s="911"/>
      <c r="HWA27" s="915"/>
      <c r="HWB27" s="914"/>
      <c r="HWC27" s="914"/>
      <c r="HWD27" s="914"/>
      <c r="HWE27" s="914"/>
      <c r="HWF27" s="914"/>
      <c r="HWG27" s="914"/>
      <c r="HWH27" s="914"/>
      <c r="HWI27" s="911"/>
      <c r="HWJ27" s="911"/>
      <c r="HWK27" s="911"/>
      <c r="HWL27" s="915"/>
      <c r="HWM27" s="914"/>
      <c r="HWN27" s="914"/>
      <c r="HWO27" s="914"/>
      <c r="HWP27" s="914"/>
      <c r="HWQ27" s="914"/>
      <c r="HWR27" s="914"/>
      <c r="HWS27" s="914"/>
      <c r="HWT27" s="911"/>
      <c r="HWU27" s="911"/>
      <c r="HWV27" s="911"/>
      <c r="HWW27" s="915"/>
      <c r="HWX27" s="914"/>
      <c r="HWY27" s="914"/>
      <c r="HWZ27" s="914"/>
      <c r="HXA27" s="914"/>
      <c r="HXB27" s="914"/>
      <c r="HXC27" s="914"/>
      <c r="HXD27" s="914"/>
      <c r="HXE27" s="911"/>
      <c r="HXF27" s="911"/>
      <c r="HXG27" s="911"/>
      <c r="HXH27" s="915"/>
      <c r="HXI27" s="914"/>
      <c r="HXJ27" s="914"/>
      <c r="HXK27" s="914"/>
      <c r="HXL27" s="914"/>
      <c r="HXM27" s="914"/>
      <c r="HXN27" s="914"/>
      <c r="HXO27" s="914"/>
      <c r="HXP27" s="911"/>
      <c r="HXQ27" s="911"/>
      <c r="HXR27" s="911"/>
      <c r="HXS27" s="915"/>
      <c r="HXT27" s="914"/>
      <c r="HXU27" s="914"/>
      <c r="HXV27" s="914"/>
      <c r="HXW27" s="914"/>
      <c r="HXX27" s="914"/>
      <c r="HXY27" s="914"/>
      <c r="HXZ27" s="914"/>
      <c r="HYA27" s="911"/>
      <c r="HYB27" s="911"/>
      <c r="HYC27" s="911"/>
      <c r="HYD27" s="915"/>
      <c r="HYE27" s="914"/>
      <c r="HYF27" s="914"/>
      <c r="HYG27" s="914"/>
      <c r="HYH27" s="914"/>
      <c r="HYI27" s="914"/>
      <c r="HYJ27" s="914"/>
      <c r="HYK27" s="914"/>
      <c r="HYL27" s="911"/>
      <c r="HYM27" s="911"/>
      <c r="HYN27" s="911"/>
      <c r="HYO27" s="915"/>
      <c r="HYP27" s="914"/>
      <c r="HYQ27" s="914"/>
      <c r="HYR27" s="914"/>
      <c r="HYS27" s="914"/>
      <c r="HYT27" s="914"/>
      <c r="HYU27" s="914"/>
      <c r="HYV27" s="914"/>
      <c r="HYW27" s="911"/>
      <c r="HYX27" s="911"/>
      <c r="HYY27" s="911"/>
      <c r="HYZ27" s="915"/>
      <c r="HZA27" s="914"/>
      <c r="HZB27" s="914"/>
      <c r="HZC27" s="914"/>
      <c r="HZD27" s="914"/>
      <c r="HZE27" s="914"/>
      <c r="HZF27" s="914"/>
      <c r="HZG27" s="914"/>
      <c r="HZH27" s="911"/>
      <c r="HZI27" s="911"/>
      <c r="HZJ27" s="911"/>
      <c r="HZK27" s="915"/>
      <c r="HZL27" s="914"/>
      <c r="HZM27" s="914"/>
      <c r="HZN27" s="914"/>
      <c r="HZO27" s="914"/>
      <c r="HZP27" s="914"/>
      <c r="HZQ27" s="914"/>
      <c r="HZR27" s="914"/>
      <c r="HZS27" s="911"/>
      <c r="HZT27" s="911"/>
      <c r="HZU27" s="911"/>
      <c r="HZV27" s="915"/>
      <c r="HZW27" s="914"/>
      <c r="HZX27" s="914"/>
      <c r="HZY27" s="914"/>
      <c r="HZZ27" s="914"/>
      <c r="IAA27" s="914"/>
      <c r="IAB27" s="914"/>
      <c r="IAC27" s="914"/>
      <c r="IAD27" s="911"/>
      <c r="IAE27" s="911"/>
      <c r="IAF27" s="911"/>
      <c r="IAG27" s="915"/>
      <c r="IAH27" s="914"/>
      <c r="IAI27" s="914"/>
      <c r="IAJ27" s="914"/>
      <c r="IAK27" s="914"/>
      <c r="IAL27" s="914"/>
      <c r="IAM27" s="914"/>
      <c r="IAN27" s="914"/>
      <c r="IAO27" s="911"/>
      <c r="IAP27" s="911"/>
      <c r="IAQ27" s="911"/>
      <c r="IAR27" s="915"/>
      <c r="IAS27" s="914"/>
      <c r="IAT27" s="914"/>
      <c r="IAU27" s="914"/>
      <c r="IAV27" s="914"/>
      <c r="IAW27" s="914"/>
      <c r="IAX27" s="914"/>
      <c r="IAY27" s="914"/>
      <c r="IAZ27" s="911"/>
      <c r="IBA27" s="911"/>
      <c r="IBB27" s="911"/>
      <c r="IBC27" s="915"/>
      <c r="IBD27" s="914"/>
      <c r="IBE27" s="914"/>
      <c r="IBF27" s="914"/>
      <c r="IBG27" s="914"/>
      <c r="IBH27" s="914"/>
      <c r="IBI27" s="914"/>
      <c r="IBJ27" s="914"/>
      <c r="IBK27" s="911"/>
      <c r="IBL27" s="911"/>
      <c r="IBM27" s="911"/>
      <c r="IBN27" s="915"/>
      <c r="IBO27" s="914"/>
      <c r="IBP27" s="914"/>
      <c r="IBQ27" s="914"/>
      <c r="IBR27" s="914"/>
      <c r="IBS27" s="914"/>
      <c r="IBT27" s="914"/>
      <c r="IBU27" s="914"/>
      <c r="IBV27" s="911"/>
      <c r="IBW27" s="911"/>
      <c r="IBX27" s="911"/>
      <c r="IBY27" s="915"/>
      <c r="IBZ27" s="914"/>
      <c r="ICA27" s="914"/>
      <c r="ICB27" s="914"/>
      <c r="ICC27" s="914"/>
      <c r="ICD27" s="914"/>
      <c r="ICE27" s="914"/>
      <c r="ICF27" s="914"/>
      <c r="ICG27" s="911"/>
      <c r="ICH27" s="911"/>
      <c r="ICI27" s="911"/>
      <c r="ICJ27" s="915"/>
      <c r="ICK27" s="914"/>
      <c r="ICL27" s="914"/>
      <c r="ICM27" s="914"/>
      <c r="ICN27" s="914"/>
      <c r="ICO27" s="914"/>
      <c r="ICP27" s="914"/>
      <c r="ICQ27" s="914"/>
      <c r="ICR27" s="911"/>
      <c r="ICS27" s="911"/>
      <c r="ICT27" s="911"/>
      <c r="ICU27" s="915"/>
      <c r="ICV27" s="914"/>
      <c r="ICW27" s="914"/>
      <c r="ICX27" s="914"/>
      <c r="ICY27" s="914"/>
      <c r="ICZ27" s="914"/>
      <c r="IDA27" s="914"/>
      <c r="IDB27" s="914"/>
      <c r="IDC27" s="911"/>
      <c r="IDD27" s="911"/>
      <c r="IDE27" s="911"/>
      <c r="IDF27" s="915"/>
      <c r="IDG27" s="914"/>
      <c r="IDH27" s="914"/>
      <c r="IDI27" s="914"/>
      <c r="IDJ27" s="914"/>
      <c r="IDK27" s="914"/>
      <c r="IDL27" s="914"/>
      <c r="IDM27" s="914"/>
      <c r="IDN27" s="911"/>
      <c r="IDO27" s="911"/>
      <c r="IDP27" s="911"/>
      <c r="IDQ27" s="915"/>
      <c r="IDR27" s="914"/>
      <c r="IDS27" s="914"/>
      <c r="IDT27" s="914"/>
      <c r="IDU27" s="914"/>
      <c r="IDV27" s="914"/>
      <c r="IDW27" s="914"/>
      <c r="IDX27" s="914"/>
      <c r="IDY27" s="911"/>
      <c r="IDZ27" s="911"/>
      <c r="IEA27" s="911"/>
      <c r="IEB27" s="915"/>
      <c r="IEC27" s="914"/>
      <c r="IED27" s="914"/>
      <c r="IEE27" s="914"/>
      <c r="IEF27" s="914"/>
      <c r="IEG27" s="914"/>
      <c r="IEH27" s="914"/>
      <c r="IEI27" s="914"/>
      <c r="IEJ27" s="911"/>
      <c r="IEK27" s="911"/>
      <c r="IEL27" s="911"/>
      <c r="IEM27" s="915"/>
      <c r="IEN27" s="914"/>
      <c r="IEO27" s="914"/>
      <c r="IEP27" s="914"/>
      <c r="IEQ27" s="914"/>
      <c r="IER27" s="914"/>
      <c r="IES27" s="914"/>
      <c r="IET27" s="914"/>
      <c r="IEU27" s="911"/>
      <c r="IEV27" s="911"/>
      <c r="IEW27" s="911"/>
      <c r="IEX27" s="915"/>
      <c r="IEY27" s="914"/>
      <c r="IEZ27" s="914"/>
      <c r="IFA27" s="914"/>
      <c r="IFB27" s="914"/>
      <c r="IFC27" s="914"/>
      <c r="IFD27" s="914"/>
      <c r="IFE27" s="914"/>
      <c r="IFF27" s="911"/>
      <c r="IFG27" s="911"/>
      <c r="IFH27" s="911"/>
      <c r="IFI27" s="915"/>
      <c r="IFJ27" s="914"/>
      <c r="IFK27" s="914"/>
      <c r="IFL27" s="914"/>
      <c r="IFM27" s="914"/>
      <c r="IFN27" s="914"/>
      <c r="IFO27" s="914"/>
      <c r="IFP27" s="914"/>
      <c r="IFQ27" s="911"/>
      <c r="IFR27" s="911"/>
      <c r="IFS27" s="911"/>
      <c r="IFT27" s="915"/>
      <c r="IFU27" s="914"/>
      <c r="IFV27" s="914"/>
      <c r="IFW27" s="914"/>
      <c r="IFX27" s="914"/>
      <c r="IFY27" s="914"/>
      <c r="IFZ27" s="914"/>
      <c r="IGA27" s="914"/>
      <c r="IGB27" s="911"/>
      <c r="IGC27" s="911"/>
      <c r="IGD27" s="911"/>
      <c r="IGE27" s="915"/>
      <c r="IGF27" s="914"/>
      <c r="IGG27" s="914"/>
      <c r="IGH27" s="914"/>
      <c r="IGI27" s="914"/>
      <c r="IGJ27" s="914"/>
      <c r="IGK27" s="914"/>
      <c r="IGL27" s="914"/>
      <c r="IGM27" s="911"/>
      <c r="IGN27" s="911"/>
      <c r="IGO27" s="911"/>
      <c r="IGP27" s="915"/>
      <c r="IGQ27" s="914"/>
      <c r="IGR27" s="914"/>
      <c r="IGS27" s="914"/>
      <c r="IGT27" s="914"/>
      <c r="IGU27" s="914"/>
      <c r="IGV27" s="914"/>
      <c r="IGW27" s="914"/>
      <c r="IGX27" s="911"/>
      <c r="IGY27" s="911"/>
      <c r="IGZ27" s="911"/>
      <c r="IHA27" s="915"/>
      <c r="IHB27" s="914"/>
      <c r="IHC27" s="914"/>
      <c r="IHD27" s="914"/>
      <c r="IHE27" s="914"/>
      <c r="IHF27" s="914"/>
      <c r="IHG27" s="914"/>
      <c r="IHH27" s="914"/>
      <c r="IHI27" s="911"/>
      <c r="IHJ27" s="911"/>
      <c r="IHK27" s="911"/>
      <c r="IHL27" s="915"/>
      <c r="IHM27" s="914"/>
      <c r="IHN27" s="914"/>
      <c r="IHO27" s="914"/>
      <c r="IHP27" s="914"/>
      <c r="IHQ27" s="914"/>
      <c r="IHR27" s="914"/>
      <c r="IHS27" s="914"/>
      <c r="IHT27" s="911"/>
      <c r="IHU27" s="911"/>
      <c r="IHV27" s="911"/>
      <c r="IHW27" s="915"/>
      <c r="IHX27" s="914"/>
      <c r="IHY27" s="914"/>
      <c r="IHZ27" s="914"/>
      <c r="IIA27" s="914"/>
      <c r="IIB27" s="914"/>
      <c r="IIC27" s="914"/>
      <c r="IID27" s="914"/>
      <c r="IIE27" s="911"/>
      <c r="IIF27" s="911"/>
      <c r="IIG27" s="911"/>
      <c r="IIH27" s="915"/>
      <c r="III27" s="914"/>
      <c r="IIJ27" s="914"/>
      <c r="IIK27" s="914"/>
      <c r="IIL27" s="914"/>
      <c r="IIM27" s="914"/>
      <c r="IIN27" s="914"/>
      <c r="IIO27" s="914"/>
      <c r="IIP27" s="911"/>
      <c r="IIQ27" s="911"/>
      <c r="IIR27" s="911"/>
      <c r="IIS27" s="915"/>
      <c r="IIT27" s="914"/>
      <c r="IIU27" s="914"/>
      <c r="IIV27" s="914"/>
      <c r="IIW27" s="914"/>
      <c r="IIX27" s="914"/>
      <c r="IIY27" s="914"/>
      <c r="IIZ27" s="914"/>
      <c r="IJA27" s="911"/>
      <c r="IJB27" s="911"/>
      <c r="IJC27" s="911"/>
      <c r="IJD27" s="915"/>
      <c r="IJE27" s="914"/>
      <c r="IJF27" s="914"/>
      <c r="IJG27" s="914"/>
      <c r="IJH27" s="914"/>
      <c r="IJI27" s="914"/>
      <c r="IJJ27" s="914"/>
      <c r="IJK27" s="914"/>
      <c r="IJL27" s="911"/>
      <c r="IJM27" s="911"/>
      <c r="IJN27" s="911"/>
      <c r="IJO27" s="915"/>
      <c r="IJP27" s="914"/>
      <c r="IJQ27" s="914"/>
      <c r="IJR27" s="914"/>
      <c r="IJS27" s="914"/>
      <c r="IJT27" s="914"/>
      <c r="IJU27" s="914"/>
      <c r="IJV27" s="914"/>
      <c r="IJW27" s="911"/>
      <c r="IJX27" s="911"/>
      <c r="IJY27" s="911"/>
      <c r="IJZ27" s="915"/>
      <c r="IKA27" s="914"/>
      <c r="IKB27" s="914"/>
      <c r="IKC27" s="914"/>
      <c r="IKD27" s="914"/>
      <c r="IKE27" s="914"/>
      <c r="IKF27" s="914"/>
      <c r="IKG27" s="914"/>
      <c r="IKH27" s="911"/>
      <c r="IKI27" s="911"/>
      <c r="IKJ27" s="911"/>
      <c r="IKK27" s="915"/>
      <c r="IKL27" s="914"/>
      <c r="IKM27" s="914"/>
      <c r="IKN27" s="914"/>
      <c r="IKO27" s="914"/>
      <c r="IKP27" s="914"/>
      <c r="IKQ27" s="914"/>
      <c r="IKR27" s="914"/>
      <c r="IKS27" s="911"/>
      <c r="IKT27" s="911"/>
      <c r="IKU27" s="911"/>
      <c r="IKV27" s="915"/>
      <c r="IKW27" s="914"/>
      <c r="IKX27" s="914"/>
      <c r="IKY27" s="914"/>
      <c r="IKZ27" s="914"/>
      <c r="ILA27" s="914"/>
      <c r="ILB27" s="914"/>
      <c r="ILC27" s="914"/>
      <c r="ILD27" s="911"/>
      <c r="ILE27" s="911"/>
      <c r="ILF27" s="911"/>
      <c r="ILG27" s="915"/>
      <c r="ILH27" s="914"/>
      <c r="ILI27" s="914"/>
      <c r="ILJ27" s="914"/>
      <c r="ILK27" s="914"/>
      <c r="ILL27" s="914"/>
      <c r="ILM27" s="914"/>
      <c r="ILN27" s="914"/>
      <c r="ILO27" s="911"/>
      <c r="ILP27" s="911"/>
      <c r="ILQ27" s="911"/>
      <c r="ILR27" s="915"/>
      <c r="ILS27" s="914"/>
      <c r="ILT27" s="914"/>
      <c r="ILU27" s="914"/>
      <c r="ILV27" s="914"/>
      <c r="ILW27" s="914"/>
      <c r="ILX27" s="914"/>
      <c r="ILY27" s="914"/>
      <c r="ILZ27" s="911"/>
      <c r="IMA27" s="911"/>
      <c r="IMB27" s="911"/>
      <c r="IMC27" s="915"/>
      <c r="IMD27" s="914"/>
      <c r="IME27" s="914"/>
      <c r="IMF27" s="914"/>
      <c r="IMG27" s="914"/>
      <c r="IMH27" s="914"/>
      <c r="IMI27" s="914"/>
      <c r="IMJ27" s="914"/>
      <c r="IMK27" s="911"/>
      <c r="IML27" s="911"/>
      <c r="IMM27" s="911"/>
      <c r="IMN27" s="915"/>
      <c r="IMO27" s="914"/>
      <c r="IMP27" s="914"/>
      <c r="IMQ27" s="914"/>
      <c r="IMR27" s="914"/>
      <c r="IMS27" s="914"/>
      <c r="IMT27" s="914"/>
      <c r="IMU27" s="914"/>
      <c r="IMV27" s="911"/>
      <c r="IMW27" s="911"/>
      <c r="IMX27" s="911"/>
      <c r="IMY27" s="915"/>
      <c r="IMZ27" s="914"/>
      <c r="INA27" s="914"/>
      <c r="INB27" s="914"/>
      <c r="INC27" s="914"/>
      <c r="IND27" s="914"/>
      <c r="INE27" s="914"/>
      <c r="INF27" s="914"/>
      <c r="ING27" s="911"/>
      <c r="INH27" s="911"/>
      <c r="INI27" s="911"/>
      <c r="INJ27" s="915"/>
      <c r="INK27" s="914"/>
      <c r="INL27" s="914"/>
      <c r="INM27" s="914"/>
      <c r="INN27" s="914"/>
      <c r="INO27" s="914"/>
      <c r="INP27" s="914"/>
      <c r="INQ27" s="914"/>
      <c r="INR27" s="911"/>
      <c r="INS27" s="911"/>
      <c r="INT27" s="911"/>
      <c r="INU27" s="915"/>
      <c r="INV27" s="914"/>
      <c r="INW27" s="914"/>
      <c r="INX27" s="914"/>
      <c r="INY27" s="914"/>
      <c r="INZ27" s="914"/>
      <c r="IOA27" s="914"/>
      <c r="IOB27" s="914"/>
      <c r="IOC27" s="911"/>
      <c r="IOD27" s="911"/>
      <c r="IOE27" s="911"/>
      <c r="IOF27" s="915"/>
      <c r="IOG27" s="914"/>
      <c r="IOH27" s="914"/>
      <c r="IOI27" s="914"/>
      <c r="IOJ27" s="914"/>
      <c r="IOK27" s="914"/>
      <c r="IOL27" s="914"/>
      <c r="IOM27" s="914"/>
      <c r="ION27" s="911"/>
      <c r="IOO27" s="911"/>
      <c r="IOP27" s="911"/>
      <c r="IOQ27" s="915"/>
      <c r="IOR27" s="914"/>
      <c r="IOS27" s="914"/>
      <c r="IOT27" s="914"/>
      <c r="IOU27" s="914"/>
      <c r="IOV27" s="914"/>
      <c r="IOW27" s="914"/>
      <c r="IOX27" s="914"/>
      <c r="IOY27" s="911"/>
      <c r="IOZ27" s="911"/>
      <c r="IPA27" s="911"/>
      <c r="IPB27" s="915"/>
      <c r="IPC27" s="914"/>
      <c r="IPD27" s="914"/>
      <c r="IPE27" s="914"/>
      <c r="IPF27" s="914"/>
      <c r="IPG27" s="914"/>
      <c r="IPH27" s="914"/>
      <c r="IPI27" s="914"/>
      <c r="IPJ27" s="911"/>
      <c r="IPK27" s="911"/>
      <c r="IPL27" s="911"/>
      <c r="IPM27" s="915"/>
      <c r="IPN27" s="914"/>
      <c r="IPO27" s="914"/>
      <c r="IPP27" s="914"/>
      <c r="IPQ27" s="914"/>
      <c r="IPR27" s="914"/>
      <c r="IPS27" s="914"/>
      <c r="IPT27" s="914"/>
      <c r="IPU27" s="911"/>
      <c r="IPV27" s="911"/>
      <c r="IPW27" s="911"/>
      <c r="IPX27" s="915"/>
      <c r="IPY27" s="914"/>
      <c r="IPZ27" s="914"/>
      <c r="IQA27" s="914"/>
      <c r="IQB27" s="914"/>
      <c r="IQC27" s="914"/>
      <c r="IQD27" s="914"/>
      <c r="IQE27" s="914"/>
      <c r="IQF27" s="911"/>
      <c r="IQG27" s="911"/>
      <c r="IQH27" s="911"/>
      <c r="IQI27" s="915"/>
      <c r="IQJ27" s="914"/>
      <c r="IQK27" s="914"/>
      <c r="IQL27" s="914"/>
      <c r="IQM27" s="914"/>
      <c r="IQN27" s="914"/>
      <c r="IQO27" s="914"/>
      <c r="IQP27" s="914"/>
      <c r="IQQ27" s="911"/>
      <c r="IQR27" s="911"/>
      <c r="IQS27" s="911"/>
      <c r="IQT27" s="915"/>
      <c r="IQU27" s="914"/>
      <c r="IQV27" s="914"/>
      <c r="IQW27" s="914"/>
      <c r="IQX27" s="914"/>
      <c r="IQY27" s="914"/>
      <c r="IQZ27" s="914"/>
      <c r="IRA27" s="914"/>
      <c r="IRB27" s="911"/>
      <c r="IRC27" s="911"/>
      <c r="IRD27" s="911"/>
      <c r="IRE27" s="915"/>
      <c r="IRF27" s="914"/>
      <c r="IRG27" s="914"/>
      <c r="IRH27" s="914"/>
      <c r="IRI27" s="914"/>
      <c r="IRJ27" s="914"/>
      <c r="IRK27" s="914"/>
      <c r="IRL27" s="914"/>
      <c r="IRM27" s="911"/>
      <c r="IRN27" s="911"/>
      <c r="IRO27" s="911"/>
      <c r="IRP27" s="915"/>
      <c r="IRQ27" s="914"/>
      <c r="IRR27" s="914"/>
      <c r="IRS27" s="914"/>
      <c r="IRT27" s="914"/>
      <c r="IRU27" s="914"/>
      <c r="IRV27" s="914"/>
      <c r="IRW27" s="914"/>
      <c r="IRX27" s="911"/>
      <c r="IRY27" s="911"/>
      <c r="IRZ27" s="911"/>
      <c r="ISA27" s="915"/>
      <c r="ISB27" s="914"/>
      <c r="ISC27" s="914"/>
      <c r="ISD27" s="914"/>
      <c r="ISE27" s="914"/>
      <c r="ISF27" s="914"/>
      <c r="ISG27" s="914"/>
      <c r="ISH27" s="914"/>
      <c r="ISI27" s="911"/>
      <c r="ISJ27" s="911"/>
      <c r="ISK27" s="911"/>
      <c r="ISL27" s="915"/>
      <c r="ISM27" s="914"/>
      <c r="ISN27" s="914"/>
      <c r="ISO27" s="914"/>
      <c r="ISP27" s="914"/>
      <c r="ISQ27" s="914"/>
      <c r="ISR27" s="914"/>
      <c r="ISS27" s="914"/>
      <c r="IST27" s="911"/>
      <c r="ISU27" s="911"/>
      <c r="ISV27" s="911"/>
      <c r="ISW27" s="915"/>
      <c r="ISX27" s="914"/>
      <c r="ISY27" s="914"/>
      <c r="ISZ27" s="914"/>
      <c r="ITA27" s="914"/>
      <c r="ITB27" s="914"/>
      <c r="ITC27" s="914"/>
      <c r="ITD27" s="914"/>
      <c r="ITE27" s="911"/>
      <c r="ITF27" s="911"/>
      <c r="ITG27" s="911"/>
      <c r="ITH27" s="915"/>
      <c r="ITI27" s="914"/>
      <c r="ITJ27" s="914"/>
      <c r="ITK27" s="914"/>
      <c r="ITL27" s="914"/>
      <c r="ITM27" s="914"/>
      <c r="ITN27" s="914"/>
      <c r="ITO27" s="914"/>
      <c r="ITP27" s="911"/>
      <c r="ITQ27" s="911"/>
      <c r="ITR27" s="911"/>
      <c r="ITS27" s="915"/>
      <c r="ITT27" s="914"/>
      <c r="ITU27" s="914"/>
      <c r="ITV27" s="914"/>
      <c r="ITW27" s="914"/>
      <c r="ITX27" s="914"/>
      <c r="ITY27" s="914"/>
      <c r="ITZ27" s="914"/>
      <c r="IUA27" s="911"/>
      <c r="IUB27" s="911"/>
      <c r="IUC27" s="911"/>
      <c r="IUD27" s="915"/>
      <c r="IUE27" s="914"/>
      <c r="IUF27" s="914"/>
      <c r="IUG27" s="914"/>
      <c r="IUH27" s="914"/>
      <c r="IUI27" s="914"/>
      <c r="IUJ27" s="914"/>
      <c r="IUK27" s="914"/>
      <c r="IUL27" s="911"/>
      <c r="IUM27" s="911"/>
      <c r="IUN27" s="911"/>
      <c r="IUO27" s="915"/>
      <c r="IUP27" s="914"/>
      <c r="IUQ27" s="914"/>
      <c r="IUR27" s="914"/>
      <c r="IUS27" s="914"/>
      <c r="IUT27" s="914"/>
      <c r="IUU27" s="914"/>
      <c r="IUV27" s="914"/>
      <c r="IUW27" s="911"/>
      <c r="IUX27" s="911"/>
      <c r="IUY27" s="911"/>
      <c r="IUZ27" s="915"/>
      <c r="IVA27" s="914"/>
      <c r="IVB27" s="914"/>
      <c r="IVC27" s="914"/>
      <c r="IVD27" s="914"/>
      <c r="IVE27" s="914"/>
      <c r="IVF27" s="914"/>
      <c r="IVG27" s="914"/>
      <c r="IVH27" s="911"/>
      <c r="IVI27" s="911"/>
      <c r="IVJ27" s="911"/>
      <c r="IVK27" s="915"/>
      <c r="IVL27" s="914"/>
      <c r="IVM27" s="914"/>
      <c r="IVN27" s="914"/>
      <c r="IVO27" s="914"/>
      <c r="IVP27" s="914"/>
      <c r="IVQ27" s="914"/>
      <c r="IVR27" s="914"/>
      <c r="IVS27" s="911"/>
      <c r="IVT27" s="911"/>
      <c r="IVU27" s="911"/>
      <c r="IVV27" s="915"/>
      <c r="IVW27" s="914"/>
      <c r="IVX27" s="914"/>
      <c r="IVY27" s="914"/>
      <c r="IVZ27" s="914"/>
      <c r="IWA27" s="914"/>
      <c r="IWB27" s="914"/>
      <c r="IWC27" s="914"/>
      <c r="IWD27" s="911"/>
      <c r="IWE27" s="911"/>
      <c r="IWF27" s="911"/>
      <c r="IWG27" s="915"/>
      <c r="IWH27" s="914"/>
      <c r="IWI27" s="914"/>
      <c r="IWJ27" s="914"/>
      <c r="IWK27" s="914"/>
      <c r="IWL27" s="914"/>
      <c r="IWM27" s="914"/>
      <c r="IWN27" s="914"/>
      <c r="IWO27" s="911"/>
      <c r="IWP27" s="911"/>
      <c r="IWQ27" s="911"/>
      <c r="IWR27" s="915"/>
      <c r="IWS27" s="914"/>
      <c r="IWT27" s="914"/>
      <c r="IWU27" s="914"/>
      <c r="IWV27" s="914"/>
      <c r="IWW27" s="914"/>
      <c r="IWX27" s="914"/>
      <c r="IWY27" s="914"/>
      <c r="IWZ27" s="911"/>
      <c r="IXA27" s="911"/>
      <c r="IXB27" s="911"/>
      <c r="IXC27" s="915"/>
      <c r="IXD27" s="914"/>
      <c r="IXE27" s="914"/>
      <c r="IXF27" s="914"/>
      <c r="IXG27" s="914"/>
      <c r="IXH27" s="914"/>
      <c r="IXI27" s="914"/>
      <c r="IXJ27" s="914"/>
      <c r="IXK27" s="911"/>
      <c r="IXL27" s="911"/>
      <c r="IXM27" s="911"/>
      <c r="IXN27" s="915"/>
      <c r="IXO27" s="914"/>
      <c r="IXP27" s="914"/>
      <c r="IXQ27" s="914"/>
      <c r="IXR27" s="914"/>
      <c r="IXS27" s="914"/>
      <c r="IXT27" s="914"/>
      <c r="IXU27" s="914"/>
      <c r="IXV27" s="911"/>
      <c r="IXW27" s="911"/>
      <c r="IXX27" s="911"/>
      <c r="IXY27" s="915"/>
      <c r="IXZ27" s="914"/>
      <c r="IYA27" s="914"/>
      <c r="IYB27" s="914"/>
      <c r="IYC27" s="914"/>
      <c r="IYD27" s="914"/>
      <c r="IYE27" s="914"/>
      <c r="IYF27" s="914"/>
      <c r="IYG27" s="911"/>
      <c r="IYH27" s="911"/>
      <c r="IYI27" s="911"/>
      <c r="IYJ27" s="915"/>
      <c r="IYK27" s="914"/>
      <c r="IYL27" s="914"/>
      <c r="IYM27" s="914"/>
      <c r="IYN27" s="914"/>
      <c r="IYO27" s="914"/>
      <c r="IYP27" s="914"/>
      <c r="IYQ27" s="914"/>
      <c r="IYR27" s="911"/>
      <c r="IYS27" s="911"/>
      <c r="IYT27" s="911"/>
      <c r="IYU27" s="915"/>
      <c r="IYV27" s="914"/>
      <c r="IYW27" s="914"/>
      <c r="IYX27" s="914"/>
      <c r="IYY27" s="914"/>
      <c r="IYZ27" s="914"/>
      <c r="IZA27" s="914"/>
      <c r="IZB27" s="914"/>
      <c r="IZC27" s="911"/>
      <c r="IZD27" s="911"/>
      <c r="IZE27" s="911"/>
      <c r="IZF27" s="915"/>
      <c r="IZG27" s="914"/>
      <c r="IZH27" s="914"/>
      <c r="IZI27" s="914"/>
      <c r="IZJ27" s="914"/>
      <c r="IZK27" s="914"/>
      <c r="IZL27" s="914"/>
      <c r="IZM27" s="914"/>
      <c r="IZN27" s="911"/>
      <c r="IZO27" s="911"/>
      <c r="IZP27" s="911"/>
      <c r="IZQ27" s="915"/>
      <c r="IZR27" s="914"/>
      <c r="IZS27" s="914"/>
      <c r="IZT27" s="914"/>
      <c r="IZU27" s="914"/>
      <c r="IZV27" s="914"/>
      <c r="IZW27" s="914"/>
      <c r="IZX27" s="914"/>
      <c r="IZY27" s="911"/>
      <c r="IZZ27" s="911"/>
      <c r="JAA27" s="911"/>
      <c r="JAB27" s="915"/>
      <c r="JAC27" s="914"/>
      <c r="JAD27" s="914"/>
      <c r="JAE27" s="914"/>
      <c r="JAF27" s="914"/>
      <c r="JAG27" s="914"/>
      <c r="JAH27" s="914"/>
      <c r="JAI27" s="914"/>
      <c r="JAJ27" s="911"/>
      <c r="JAK27" s="911"/>
      <c r="JAL27" s="911"/>
      <c r="JAM27" s="915"/>
      <c r="JAN27" s="914"/>
      <c r="JAO27" s="914"/>
      <c r="JAP27" s="914"/>
      <c r="JAQ27" s="914"/>
      <c r="JAR27" s="914"/>
      <c r="JAS27" s="914"/>
      <c r="JAT27" s="914"/>
      <c r="JAU27" s="911"/>
      <c r="JAV27" s="911"/>
      <c r="JAW27" s="911"/>
      <c r="JAX27" s="915"/>
      <c r="JAY27" s="914"/>
      <c r="JAZ27" s="914"/>
      <c r="JBA27" s="914"/>
      <c r="JBB27" s="914"/>
      <c r="JBC27" s="914"/>
      <c r="JBD27" s="914"/>
      <c r="JBE27" s="914"/>
      <c r="JBF27" s="911"/>
      <c r="JBG27" s="911"/>
      <c r="JBH27" s="911"/>
      <c r="JBI27" s="915"/>
      <c r="JBJ27" s="914"/>
      <c r="JBK27" s="914"/>
      <c r="JBL27" s="914"/>
      <c r="JBM27" s="914"/>
      <c r="JBN27" s="914"/>
      <c r="JBO27" s="914"/>
      <c r="JBP27" s="914"/>
      <c r="JBQ27" s="911"/>
      <c r="JBR27" s="911"/>
      <c r="JBS27" s="911"/>
      <c r="JBT27" s="915"/>
      <c r="JBU27" s="914"/>
      <c r="JBV27" s="914"/>
      <c r="JBW27" s="914"/>
      <c r="JBX27" s="914"/>
      <c r="JBY27" s="914"/>
      <c r="JBZ27" s="914"/>
      <c r="JCA27" s="914"/>
      <c r="JCB27" s="911"/>
      <c r="JCC27" s="911"/>
      <c r="JCD27" s="911"/>
      <c r="JCE27" s="915"/>
      <c r="JCF27" s="914"/>
      <c r="JCG27" s="914"/>
      <c r="JCH27" s="914"/>
      <c r="JCI27" s="914"/>
      <c r="JCJ27" s="914"/>
      <c r="JCK27" s="914"/>
      <c r="JCL27" s="914"/>
      <c r="JCM27" s="911"/>
      <c r="JCN27" s="911"/>
      <c r="JCO27" s="911"/>
      <c r="JCP27" s="915"/>
      <c r="JCQ27" s="914"/>
      <c r="JCR27" s="914"/>
      <c r="JCS27" s="914"/>
      <c r="JCT27" s="914"/>
      <c r="JCU27" s="914"/>
      <c r="JCV27" s="914"/>
      <c r="JCW27" s="914"/>
      <c r="JCX27" s="911"/>
      <c r="JCY27" s="911"/>
      <c r="JCZ27" s="911"/>
      <c r="JDA27" s="915"/>
      <c r="JDB27" s="914"/>
      <c r="JDC27" s="914"/>
      <c r="JDD27" s="914"/>
      <c r="JDE27" s="914"/>
      <c r="JDF27" s="914"/>
      <c r="JDG27" s="914"/>
      <c r="JDH27" s="914"/>
      <c r="JDI27" s="911"/>
      <c r="JDJ27" s="911"/>
      <c r="JDK27" s="911"/>
      <c r="JDL27" s="915"/>
      <c r="JDM27" s="914"/>
      <c r="JDN27" s="914"/>
      <c r="JDO27" s="914"/>
      <c r="JDP27" s="914"/>
      <c r="JDQ27" s="914"/>
      <c r="JDR27" s="914"/>
      <c r="JDS27" s="914"/>
      <c r="JDT27" s="911"/>
      <c r="JDU27" s="911"/>
      <c r="JDV27" s="911"/>
      <c r="JDW27" s="915"/>
      <c r="JDX27" s="914"/>
      <c r="JDY27" s="914"/>
      <c r="JDZ27" s="914"/>
      <c r="JEA27" s="914"/>
      <c r="JEB27" s="914"/>
      <c r="JEC27" s="914"/>
      <c r="JED27" s="914"/>
      <c r="JEE27" s="911"/>
      <c r="JEF27" s="911"/>
      <c r="JEG27" s="911"/>
      <c r="JEH27" s="915"/>
      <c r="JEI27" s="914"/>
      <c r="JEJ27" s="914"/>
      <c r="JEK27" s="914"/>
      <c r="JEL27" s="914"/>
      <c r="JEM27" s="914"/>
      <c r="JEN27" s="914"/>
      <c r="JEO27" s="914"/>
      <c r="JEP27" s="911"/>
      <c r="JEQ27" s="911"/>
      <c r="JER27" s="911"/>
      <c r="JES27" s="915"/>
      <c r="JET27" s="914"/>
      <c r="JEU27" s="914"/>
      <c r="JEV27" s="914"/>
      <c r="JEW27" s="914"/>
      <c r="JEX27" s="914"/>
      <c r="JEY27" s="914"/>
      <c r="JEZ27" s="914"/>
      <c r="JFA27" s="911"/>
      <c r="JFB27" s="911"/>
      <c r="JFC27" s="911"/>
      <c r="JFD27" s="915"/>
      <c r="JFE27" s="914"/>
      <c r="JFF27" s="914"/>
      <c r="JFG27" s="914"/>
      <c r="JFH27" s="914"/>
      <c r="JFI27" s="914"/>
      <c r="JFJ27" s="914"/>
      <c r="JFK27" s="914"/>
      <c r="JFL27" s="911"/>
      <c r="JFM27" s="911"/>
      <c r="JFN27" s="911"/>
      <c r="JFO27" s="915"/>
      <c r="JFP27" s="914"/>
      <c r="JFQ27" s="914"/>
      <c r="JFR27" s="914"/>
      <c r="JFS27" s="914"/>
      <c r="JFT27" s="914"/>
      <c r="JFU27" s="914"/>
      <c r="JFV27" s="914"/>
      <c r="JFW27" s="911"/>
      <c r="JFX27" s="911"/>
      <c r="JFY27" s="911"/>
      <c r="JFZ27" s="915"/>
      <c r="JGA27" s="914"/>
      <c r="JGB27" s="914"/>
      <c r="JGC27" s="914"/>
      <c r="JGD27" s="914"/>
      <c r="JGE27" s="914"/>
      <c r="JGF27" s="914"/>
      <c r="JGG27" s="914"/>
      <c r="JGH27" s="911"/>
      <c r="JGI27" s="911"/>
      <c r="JGJ27" s="911"/>
      <c r="JGK27" s="915"/>
      <c r="JGL27" s="914"/>
      <c r="JGM27" s="914"/>
      <c r="JGN27" s="914"/>
      <c r="JGO27" s="914"/>
      <c r="JGP27" s="914"/>
      <c r="JGQ27" s="914"/>
      <c r="JGR27" s="914"/>
      <c r="JGS27" s="911"/>
      <c r="JGT27" s="911"/>
      <c r="JGU27" s="911"/>
      <c r="JGV27" s="915"/>
      <c r="JGW27" s="914"/>
      <c r="JGX27" s="914"/>
      <c r="JGY27" s="914"/>
      <c r="JGZ27" s="914"/>
      <c r="JHA27" s="914"/>
      <c r="JHB27" s="914"/>
      <c r="JHC27" s="914"/>
      <c r="JHD27" s="911"/>
      <c r="JHE27" s="911"/>
      <c r="JHF27" s="911"/>
      <c r="JHG27" s="915"/>
      <c r="JHH27" s="914"/>
      <c r="JHI27" s="914"/>
      <c r="JHJ27" s="914"/>
      <c r="JHK27" s="914"/>
      <c r="JHL27" s="914"/>
      <c r="JHM27" s="914"/>
      <c r="JHN27" s="914"/>
      <c r="JHO27" s="911"/>
      <c r="JHP27" s="911"/>
      <c r="JHQ27" s="911"/>
      <c r="JHR27" s="915"/>
      <c r="JHS27" s="914"/>
      <c r="JHT27" s="914"/>
      <c r="JHU27" s="914"/>
      <c r="JHV27" s="914"/>
      <c r="JHW27" s="914"/>
      <c r="JHX27" s="914"/>
      <c r="JHY27" s="914"/>
      <c r="JHZ27" s="911"/>
      <c r="JIA27" s="911"/>
      <c r="JIB27" s="911"/>
      <c r="JIC27" s="915"/>
      <c r="JID27" s="914"/>
      <c r="JIE27" s="914"/>
      <c r="JIF27" s="914"/>
      <c r="JIG27" s="914"/>
      <c r="JIH27" s="914"/>
      <c r="JII27" s="914"/>
      <c r="JIJ27" s="914"/>
      <c r="JIK27" s="911"/>
      <c r="JIL27" s="911"/>
      <c r="JIM27" s="911"/>
      <c r="JIN27" s="915"/>
      <c r="JIO27" s="914"/>
      <c r="JIP27" s="914"/>
      <c r="JIQ27" s="914"/>
      <c r="JIR27" s="914"/>
      <c r="JIS27" s="914"/>
      <c r="JIT27" s="914"/>
      <c r="JIU27" s="914"/>
      <c r="JIV27" s="911"/>
      <c r="JIW27" s="911"/>
      <c r="JIX27" s="911"/>
      <c r="JIY27" s="915"/>
      <c r="JIZ27" s="914"/>
      <c r="JJA27" s="914"/>
      <c r="JJB27" s="914"/>
      <c r="JJC27" s="914"/>
      <c r="JJD27" s="914"/>
      <c r="JJE27" s="914"/>
      <c r="JJF27" s="914"/>
      <c r="JJG27" s="911"/>
      <c r="JJH27" s="911"/>
      <c r="JJI27" s="911"/>
      <c r="JJJ27" s="915"/>
      <c r="JJK27" s="914"/>
      <c r="JJL27" s="914"/>
      <c r="JJM27" s="914"/>
      <c r="JJN27" s="914"/>
      <c r="JJO27" s="914"/>
      <c r="JJP27" s="914"/>
      <c r="JJQ27" s="914"/>
      <c r="JJR27" s="911"/>
      <c r="JJS27" s="911"/>
      <c r="JJT27" s="911"/>
      <c r="JJU27" s="915"/>
      <c r="JJV27" s="914"/>
      <c r="JJW27" s="914"/>
      <c r="JJX27" s="914"/>
      <c r="JJY27" s="914"/>
      <c r="JJZ27" s="914"/>
      <c r="JKA27" s="914"/>
      <c r="JKB27" s="914"/>
      <c r="JKC27" s="911"/>
      <c r="JKD27" s="911"/>
      <c r="JKE27" s="911"/>
      <c r="JKF27" s="915"/>
      <c r="JKG27" s="914"/>
      <c r="JKH27" s="914"/>
      <c r="JKI27" s="914"/>
      <c r="JKJ27" s="914"/>
      <c r="JKK27" s="914"/>
      <c r="JKL27" s="914"/>
      <c r="JKM27" s="914"/>
      <c r="JKN27" s="911"/>
      <c r="JKO27" s="911"/>
      <c r="JKP27" s="911"/>
      <c r="JKQ27" s="915"/>
      <c r="JKR27" s="914"/>
      <c r="JKS27" s="914"/>
      <c r="JKT27" s="914"/>
      <c r="JKU27" s="914"/>
      <c r="JKV27" s="914"/>
      <c r="JKW27" s="914"/>
      <c r="JKX27" s="914"/>
      <c r="JKY27" s="911"/>
      <c r="JKZ27" s="911"/>
      <c r="JLA27" s="911"/>
      <c r="JLB27" s="915"/>
      <c r="JLC27" s="914"/>
      <c r="JLD27" s="914"/>
      <c r="JLE27" s="914"/>
      <c r="JLF27" s="914"/>
      <c r="JLG27" s="914"/>
      <c r="JLH27" s="914"/>
      <c r="JLI27" s="914"/>
      <c r="JLJ27" s="911"/>
      <c r="JLK27" s="911"/>
      <c r="JLL27" s="911"/>
      <c r="JLM27" s="915"/>
      <c r="JLN27" s="914"/>
      <c r="JLO27" s="914"/>
      <c r="JLP27" s="914"/>
      <c r="JLQ27" s="914"/>
      <c r="JLR27" s="914"/>
      <c r="JLS27" s="914"/>
      <c r="JLT27" s="914"/>
      <c r="JLU27" s="911"/>
      <c r="JLV27" s="911"/>
      <c r="JLW27" s="911"/>
      <c r="JLX27" s="915"/>
      <c r="JLY27" s="914"/>
      <c r="JLZ27" s="914"/>
      <c r="JMA27" s="914"/>
      <c r="JMB27" s="914"/>
      <c r="JMC27" s="914"/>
      <c r="JMD27" s="914"/>
      <c r="JME27" s="914"/>
      <c r="JMF27" s="911"/>
      <c r="JMG27" s="911"/>
      <c r="JMH27" s="911"/>
      <c r="JMI27" s="915"/>
      <c r="JMJ27" s="914"/>
      <c r="JMK27" s="914"/>
      <c r="JML27" s="914"/>
      <c r="JMM27" s="914"/>
      <c r="JMN27" s="914"/>
      <c r="JMO27" s="914"/>
      <c r="JMP27" s="914"/>
      <c r="JMQ27" s="911"/>
      <c r="JMR27" s="911"/>
      <c r="JMS27" s="911"/>
      <c r="JMT27" s="915"/>
      <c r="JMU27" s="914"/>
      <c r="JMV27" s="914"/>
      <c r="JMW27" s="914"/>
      <c r="JMX27" s="914"/>
      <c r="JMY27" s="914"/>
      <c r="JMZ27" s="914"/>
      <c r="JNA27" s="914"/>
      <c r="JNB27" s="911"/>
      <c r="JNC27" s="911"/>
      <c r="JND27" s="911"/>
      <c r="JNE27" s="915"/>
      <c r="JNF27" s="914"/>
      <c r="JNG27" s="914"/>
      <c r="JNH27" s="914"/>
      <c r="JNI27" s="914"/>
      <c r="JNJ27" s="914"/>
      <c r="JNK27" s="914"/>
      <c r="JNL27" s="914"/>
      <c r="JNM27" s="911"/>
      <c r="JNN27" s="911"/>
      <c r="JNO27" s="911"/>
      <c r="JNP27" s="915"/>
      <c r="JNQ27" s="914"/>
      <c r="JNR27" s="914"/>
      <c r="JNS27" s="914"/>
      <c r="JNT27" s="914"/>
      <c r="JNU27" s="914"/>
      <c r="JNV27" s="914"/>
      <c r="JNW27" s="914"/>
      <c r="JNX27" s="911"/>
      <c r="JNY27" s="911"/>
      <c r="JNZ27" s="911"/>
      <c r="JOA27" s="915"/>
      <c r="JOB27" s="914"/>
      <c r="JOC27" s="914"/>
      <c r="JOD27" s="914"/>
      <c r="JOE27" s="914"/>
      <c r="JOF27" s="914"/>
      <c r="JOG27" s="914"/>
      <c r="JOH27" s="914"/>
      <c r="JOI27" s="911"/>
      <c r="JOJ27" s="911"/>
      <c r="JOK27" s="911"/>
      <c r="JOL27" s="915"/>
      <c r="JOM27" s="914"/>
      <c r="JON27" s="914"/>
      <c r="JOO27" s="914"/>
      <c r="JOP27" s="914"/>
      <c r="JOQ27" s="914"/>
      <c r="JOR27" s="914"/>
      <c r="JOS27" s="914"/>
      <c r="JOT27" s="911"/>
      <c r="JOU27" s="911"/>
      <c r="JOV27" s="911"/>
      <c r="JOW27" s="915"/>
      <c r="JOX27" s="914"/>
      <c r="JOY27" s="914"/>
      <c r="JOZ27" s="914"/>
      <c r="JPA27" s="914"/>
      <c r="JPB27" s="914"/>
      <c r="JPC27" s="914"/>
      <c r="JPD27" s="914"/>
      <c r="JPE27" s="911"/>
      <c r="JPF27" s="911"/>
      <c r="JPG27" s="911"/>
      <c r="JPH27" s="915"/>
      <c r="JPI27" s="914"/>
      <c r="JPJ27" s="914"/>
      <c r="JPK27" s="914"/>
      <c r="JPL27" s="914"/>
      <c r="JPM27" s="914"/>
      <c r="JPN27" s="914"/>
      <c r="JPO27" s="914"/>
      <c r="JPP27" s="911"/>
      <c r="JPQ27" s="911"/>
      <c r="JPR27" s="911"/>
      <c r="JPS27" s="915"/>
      <c r="JPT27" s="914"/>
      <c r="JPU27" s="914"/>
      <c r="JPV27" s="914"/>
      <c r="JPW27" s="914"/>
      <c r="JPX27" s="914"/>
      <c r="JPY27" s="914"/>
      <c r="JPZ27" s="914"/>
      <c r="JQA27" s="911"/>
      <c r="JQB27" s="911"/>
      <c r="JQC27" s="911"/>
      <c r="JQD27" s="915"/>
      <c r="JQE27" s="914"/>
      <c r="JQF27" s="914"/>
      <c r="JQG27" s="914"/>
      <c r="JQH27" s="914"/>
      <c r="JQI27" s="914"/>
      <c r="JQJ27" s="914"/>
      <c r="JQK27" s="914"/>
      <c r="JQL27" s="911"/>
      <c r="JQM27" s="911"/>
      <c r="JQN27" s="911"/>
      <c r="JQO27" s="915"/>
      <c r="JQP27" s="914"/>
      <c r="JQQ27" s="914"/>
      <c r="JQR27" s="914"/>
      <c r="JQS27" s="914"/>
      <c r="JQT27" s="914"/>
      <c r="JQU27" s="914"/>
      <c r="JQV27" s="914"/>
      <c r="JQW27" s="911"/>
      <c r="JQX27" s="911"/>
      <c r="JQY27" s="911"/>
      <c r="JQZ27" s="915"/>
      <c r="JRA27" s="914"/>
      <c r="JRB27" s="914"/>
      <c r="JRC27" s="914"/>
      <c r="JRD27" s="914"/>
      <c r="JRE27" s="914"/>
      <c r="JRF27" s="914"/>
      <c r="JRG27" s="914"/>
      <c r="JRH27" s="911"/>
      <c r="JRI27" s="911"/>
      <c r="JRJ27" s="911"/>
      <c r="JRK27" s="915"/>
      <c r="JRL27" s="914"/>
      <c r="JRM27" s="914"/>
      <c r="JRN27" s="914"/>
      <c r="JRO27" s="914"/>
      <c r="JRP27" s="914"/>
      <c r="JRQ27" s="914"/>
      <c r="JRR27" s="914"/>
      <c r="JRS27" s="911"/>
      <c r="JRT27" s="911"/>
      <c r="JRU27" s="911"/>
      <c r="JRV27" s="915"/>
      <c r="JRW27" s="914"/>
      <c r="JRX27" s="914"/>
      <c r="JRY27" s="914"/>
      <c r="JRZ27" s="914"/>
      <c r="JSA27" s="914"/>
      <c r="JSB27" s="914"/>
      <c r="JSC27" s="914"/>
      <c r="JSD27" s="911"/>
      <c r="JSE27" s="911"/>
      <c r="JSF27" s="911"/>
      <c r="JSG27" s="915"/>
      <c r="JSH27" s="914"/>
      <c r="JSI27" s="914"/>
      <c r="JSJ27" s="914"/>
      <c r="JSK27" s="914"/>
      <c r="JSL27" s="914"/>
      <c r="JSM27" s="914"/>
      <c r="JSN27" s="914"/>
      <c r="JSO27" s="911"/>
      <c r="JSP27" s="911"/>
      <c r="JSQ27" s="911"/>
      <c r="JSR27" s="915"/>
      <c r="JSS27" s="914"/>
      <c r="JST27" s="914"/>
      <c r="JSU27" s="914"/>
      <c r="JSV27" s="914"/>
      <c r="JSW27" s="914"/>
      <c r="JSX27" s="914"/>
      <c r="JSY27" s="914"/>
      <c r="JSZ27" s="911"/>
      <c r="JTA27" s="911"/>
      <c r="JTB27" s="911"/>
      <c r="JTC27" s="915"/>
      <c r="JTD27" s="914"/>
      <c r="JTE27" s="914"/>
      <c r="JTF27" s="914"/>
      <c r="JTG27" s="914"/>
      <c r="JTH27" s="914"/>
      <c r="JTI27" s="914"/>
      <c r="JTJ27" s="914"/>
      <c r="JTK27" s="911"/>
      <c r="JTL27" s="911"/>
      <c r="JTM27" s="911"/>
      <c r="JTN27" s="915"/>
      <c r="JTO27" s="914"/>
      <c r="JTP27" s="914"/>
      <c r="JTQ27" s="914"/>
      <c r="JTR27" s="914"/>
      <c r="JTS27" s="914"/>
      <c r="JTT27" s="914"/>
      <c r="JTU27" s="914"/>
      <c r="JTV27" s="911"/>
      <c r="JTW27" s="911"/>
      <c r="JTX27" s="911"/>
      <c r="JTY27" s="915"/>
      <c r="JTZ27" s="914"/>
      <c r="JUA27" s="914"/>
      <c r="JUB27" s="914"/>
      <c r="JUC27" s="914"/>
      <c r="JUD27" s="914"/>
      <c r="JUE27" s="914"/>
      <c r="JUF27" s="914"/>
      <c r="JUG27" s="911"/>
      <c r="JUH27" s="911"/>
      <c r="JUI27" s="911"/>
      <c r="JUJ27" s="915"/>
      <c r="JUK27" s="914"/>
      <c r="JUL27" s="914"/>
      <c r="JUM27" s="914"/>
      <c r="JUN27" s="914"/>
      <c r="JUO27" s="914"/>
      <c r="JUP27" s="914"/>
      <c r="JUQ27" s="914"/>
      <c r="JUR27" s="911"/>
      <c r="JUS27" s="911"/>
      <c r="JUT27" s="911"/>
      <c r="JUU27" s="915"/>
      <c r="JUV27" s="914"/>
      <c r="JUW27" s="914"/>
      <c r="JUX27" s="914"/>
      <c r="JUY27" s="914"/>
      <c r="JUZ27" s="914"/>
      <c r="JVA27" s="914"/>
      <c r="JVB27" s="914"/>
      <c r="JVC27" s="911"/>
      <c r="JVD27" s="911"/>
      <c r="JVE27" s="911"/>
      <c r="JVF27" s="915"/>
      <c r="JVG27" s="914"/>
      <c r="JVH27" s="914"/>
      <c r="JVI27" s="914"/>
      <c r="JVJ27" s="914"/>
      <c r="JVK27" s="914"/>
      <c r="JVL27" s="914"/>
      <c r="JVM27" s="914"/>
      <c r="JVN27" s="911"/>
      <c r="JVO27" s="911"/>
      <c r="JVP27" s="911"/>
      <c r="JVQ27" s="915"/>
      <c r="JVR27" s="914"/>
      <c r="JVS27" s="914"/>
      <c r="JVT27" s="914"/>
      <c r="JVU27" s="914"/>
      <c r="JVV27" s="914"/>
      <c r="JVW27" s="914"/>
      <c r="JVX27" s="914"/>
      <c r="JVY27" s="911"/>
      <c r="JVZ27" s="911"/>
      <c r="JWA27" s="911"/>
      <c r="JWB27" s="915"/>
      <c r="JWC27" s="914"/>
      <c r="JWD27" s="914"/>
      <c r="JWE27" s="914"/>
      <c r="JWF27" s="914"/>
      <c r="JWG27" s="914"/>
      <c r="JWH27" s="914"/>
      <c r="JWI27" s="914"/>
      <c r="JWJ27" s="911"/>
      <c r="JWK27" s="911"/>
      <c r="JWL27" s="911"/>
      <c r="JWM27" s="915"/>
      <c r="JWN27" s="914"/>
      <c r="JWO27" s="914"/>
      <c r="JWP27" s="914"/>
      <c r="JWQ27" s="914"/>
      <c r="JWR27" s="914"/>
      <c r="JWS27" s="914"/>
      <c r="JWT27" s="914"/>
      <c r="JWU27" s="911"/>
      <c r="JWV27" s="911"/>
      <c r="JWW27" s="911"/>
      <c r="JWX27" s="915"/>
      <c r="JWY27" s="914"/>
      <c r="JWZ27" s="914"/>
      <c r="JXA27" s="914"/>
      <c r="JXB27" s="914"/>
      <c r="JXC27" s="914"/>
      <c r="JXD27" s="914"/>
      <c r="JXE27" s="914"/>
      <c r="JXF27" s="911"/>
      <c r="JXG27" s="911"/>
      <c r="JXH27" s="911"/>
      <c r="JXI27" s="915"/>
      <c r="JXJ27" s="914"/>
      <c r="JXK27" s="914"/>
      <c r="JXL27" s="914"/>
      <c r="JXM27" s="914"/>
      <c r="JXN27" s="914"/>
      <c r="JXO27" s="914"/>
      <c r="JXP27" s="914"/>
      <c r="JXQ27" s="911"/>
      <c r="JXR27" s="911"/>
      <c r="JXS27" s="911"/>
      <c r="JXT27" s="915"/>
      <c r="JXU27" s="914"/>
      <c r="JXV27" s="914"/>
      <c r="JXW27" s="914"/>
      <c r="JXX27" s="914"/>
      <c r="JXY27" s="914"/>
      <c r="JXZ27" s="914"/>
      <c r="JYA27" s="914"/>
      <c r="JYB27" s="911"/>
      <c r="JYC27" s="911"/>
      <c r="JYD27" s="911"/>
      <c r="JYE27" s="915"/>
      <c r="JYF27" s="914"/>
      <c r="JYG27" s="914"/>
      <c r="JYH27" s="914"/>
      <c r="JYI27" s="914"/>
      <c r="JYJ27" s="914"/>
      <c r="JYK27" s="914"/>
      <c r="JYL27" s="914"/>
      <c r="JYM27" s="911"/>
      <c r="JYN27" s="911"/>
      <c r="JYO27" s="911"/>
      <c r="JYP27" s="915"/>
      <c r="JYQ27" s="914"/>
      <c r="JYR27" s="914"/>
      <c r="JYS27" s="914"/>
      <c r="JYT27" s="914"/>
      <c r="JYU27" s="914"/>
      <c r="JYV27" s="914"/>
      <c r="JYW27" s="914"/>
      <c r="JYX27" s="911"/>
      <c r="JYY27" s="911"/>
      <c r="JYZ27" s="911"/>
      <c r="JZA27" s="915"/>
      <c r="JZB27" s="914"/>
      <c r="JZC27" s="914"/>
      <c r="JZD27" s="914"/>
      <c r="JZE27" s="914"/>
      <c r="JZF27" s="914"/>
      <c r="JZG27" s="914"/>
      <c r="JZH27" s="914"/>
      <c r="JZI27" s="911"/>
      <c r="JZJ27" s="911"/>
      <c r="JZK27" s="911"/>
      <c r="JZL27" s="915"/>
      <c r="JZM27" s="914"/>
      <c r="JZN27" s="914"/>
      <c r="JZO27" s="914"/>
      <c r="JZP27" s="914"/>
      <c r="JZQ27" s="914"/>
      <c r="JZR27" s="914"/>
      <c r="JZS27" s="914"/>
      <c r="JZT27" s="911"/>
      <c r="JZU27" s="911"/>
      <c r="JZV27" s="911"/>
      <c r="JZW27" s="915"/>
      <c r="JZX27" s="914"/>
      <c r="JZY27" s="914"/>
      <c r="JZZ27" s="914"/>
      <c r="KAA27" s="914"/>
      <c r="KAB27" s="914"/>
      <c r="KAC27" s="914"/>
      <c r="KAD27" s="914"/>
      <c r="KAE27" s="911"/>
      <c r="KAF27" s="911"/>
      <c r="KAG27" s="911"/>
      <c r="KAH27" s="915"/>
      <c r="KAI27" s="914"/>
      <c r="KAJ27" s="914"/>
      <c r="KAK27" s="914"/>
      <c r="KAL27" s="914"/>
      <c r="KAM27" s="914"/>
      <c r="KAN27" s="914"/>
      <c r="KAO27" s="914"/>
      <c r="KAP27" s="911"/>
      <c r="KAQ27" s="911"/>
      <c r="KAR27" s="911"/>
      <c r="KAS27" s="915"/>
      <c r="KAT27" s="914"/>
      <c r="KAU27" s="914"/>
      <c r="KAV27" s="914"/>
      <c r="KAW27" s="914"/>
      <c r="KAX27" s="914"/>
      <c r="KAY27" s="914"/>
      <c r="KAZ27" s="914"/>
      <c r="KBA27" s="911"/>
      <c r="KBB27" s="911"/>
      <c r="KBC27" s="911"/>
      <c r="KBD27" s="915"/>
      <c r="KBE27" s="914"/>
      <c r="KBF27" s="914"/>
      <c r="KBG27" s="914"/>
      <c r="KBH27" s="914"/>
      <c r="KBI27" s="914"/>
      <c r="KBJ27" s="914"/>
      <c r="KBK27" s="914"/>
      <c r="KBL27" s="911"/>
      <c r="KBM27" s="911"/>
      <c r="KBN27" s="911"/>
      <c r="KBO27" s="915"/>
      <c r="KBP27" s="914"/>
      <c r="KBQ27" s="914"/>
      <c r="KBR27" s="914"/>
      <c r="KBS27" s="914"/>
      <c r="KBT27" s="914"/>
      <c r="KBU27" s="914"/>
      <c r="KBV27" s="914"/>
      <c r="KBW27" s="911"/>
      <c r="KBX27" s="911"/>
      <c r="KBY27" s="911"/>
      <c r="KBZ27" s="915"/>
      <c r="KCA27" s="914"/>
      <c r="KCB27" s="914"/>
      <c r="KCC27" s="914"/>
      <c r="KCD27" s="914"/>
      <c r="KCE27" s="914"/>
      <c r="KCF27" s="914"/>
      <c r="KCG27" s="914"/>
      <c r="KCH27" s="911"/>
      <c r="KCI27" s="911"/>
      <c r="KCJ27" s="911"/>
      <c r="KCK27" s="915"/>
      <c r="KCL27" s="914"/>
      <c r="KCM27" s="914"/>
      <c r="KCN27" s="914"/>
      <c r="KCO27" s="914"/>
      <c r="KCP27" s="914"/>
      <c r="KCQ27" s="914"/>
      <c r="KCR27" s="914"/>
      <c r="KCS27" s="911"/>
      <c r="KCT27" s="911"/>
      <c r="KCU27" s="911"/>
      <c r="KCV27" s="915"/>
      <c r="KCW27" s="914"/>
      <c r="KCX27" s="914"/>
      <c r="KCY27" s="914"/>
      <c r="KCZ27" s="914"/>
      <c r="KDA27" s="914"/>
      <c r="KDB27" s="914"/>
      <c r="KDC27" s="914"/>
      <c r="KDD27" s="911"/>
      <c r="KDE27" s="911"/>
      <c r="KDF27" s="911"/>
      <c r="KDG27" s="915"/>
      <c r="KDH27" s="914"/>
      <c r="KDI27" s="914"/>
      <c r="KDJ27" s="914"/>
      <c r="KDK27" s="914"/>
      <c r="KDL27" s="914"/>
      <c r="KDM27" s="914"/>
      <c r="KDN27" s="914"/>
      <c r="KDO27" s="911"/>
      <c r="KDP27" s="911"/>
      <c r="KDQ27" s="911"/>
      <c r="KDR27" s="915"/>
      <c r="KDS27" s="914"/>
      <c r="KDT27" s="914"/>
      <c r="KDU27" s="914"/>
      <c r="KDV27" s="914"/>
      <c r="KDW27" s="914"/>
      <c r="KDX27" s="914"/>
      <c r="KDY27" s="914"/>
      <c r="KDZ27" s="911"/>
      <c r="KEA27" s="911"/>
      <c r="KEB27" s="911"/>
      <c r="KEC27" s="915"/>
      <c r="KED27" s="914"/>
      <c r="KEE27" s="914"/>
      <c r="KEF27" s="914"/>
      <c r="KEG27" s="914"/>
      <c r="KEH27" s="914"/>
      <c r="KEI27" s="914"/>
      <c r="KEJ27" s="914"/>
      <c r="KEK27" s="911"/>
      <c r="KEL27" s="911"/>
      <c r="KEM27" s="911"/>
      <c r="KEN27" s="915"/>
      <c r="KEO27" s="914"/>
      <c r="KEP27" s="914"/>
      <c r="KEQ27" s="914"/>
      <c r="KER27" s="914"/>
      <c r="KES27" s="914"/>
      <c r="KET27" s="914"/>
      <c r="KEU27" s="914"/>
      <c r="KEV27" s="911"/>
      <c r="KEW27" s="911"/>
      <c r="KEX27" s="911"/>
      <c r="KEY27" s="915"/>
      <c r="KEZ27" s="914"/>
      <c r="KFA27" s="914"/>
      <c r="KFB27" s="914"/>
      <c r="KFC27" s="914"/>
      <c r="KFD27" s="914"/>
      <c r="KFE27" s="914"/>
      <c r="KFF27" s="914"/>
      <c r="KFG27" s="911"/>
      <c r="KFH27" s="911"/>
      <c r="KFI27" s="911"/>
      <c r="KFJ27" s="915"/>
      <c r="KFK27" s="914"/>
      <c r="KFL27" s="914"/>
      <c r="KFM27" s="914"/>
      <c r="KFN27" s="914"/>
      <c r="KFO27" s="914"/>
      <c r="KFP27" s="914"/>
      <c r="KFQ27" s="914"/>
      <c r="KFR27" s="911"/>
      <c r="KFS27" s="911"/>
      <c r="KFT27" s="911"/>
      <c r="KFU27" s="915"/>
      <c r="KFV27" s="914"/>
      <c r="KFW27" s="914"/>
      <c r="KFX27" s="914"/>
      <c r="KFY27" s="914"/>
      <c r="KFZ27" s="914"/>
      <c r="KGA27" s="914"/>
      <c r="KGB27" s="914"/>
      <c r="KGC27" s="911"/>
      <c r="KGD27" s="911"/>
      <c r="KGE27" s="911"/>
      <c r="KGF27" s="915"/>
      <c r="KGG27" s="914"/>
      <c r="KGH27" s="914"/>
      <c r="KGI27" s="914"/>
      <c r="KGJ27" s="914"/>
      <c r="KGK27" s="914"/>
      <c r="KGL27" s="914"/>
      <c r="KGM27" s="914"/>
      <c r="KGN27" s="911"/>
      <c r="KGO27" s="911"/>
      <c r="KGP27" s="911"/>
      <c r="KGQ27" s="915"/>
      <c r="KGR27" s="914"/>
      <c r="KGS27" s="914"/>
      <c r="KGT27" s="914"/>
      <c r="KGU27" s="914"/>
      <c r="KGV27" s="914"/>
      <c r="KGW27" s="914"/>
      <c r="KGX27" s="914"/>
      <c r="KGY27" s="911"/>
      <c r="KGZ27" s="911"/>
      <c r="KHA27" s="911"/>
      <c r="KHB27" s="915"/>
      <c r="KHC27" s="914"/>
      <c r="KHD27" s="914"/>
      <c r="KHE27" s="914"/>
      <c r="KHF27" s="914"/>
      <c r="KHG27" s="914"/>
      <c r="KHH27" s="914"/>
      <c r="KHI27" s="914"/>
      <c r="KHJ27" s="911"/>
      <c r="KHK27" s="911"/>
      <c r="KHL27" s="911"/>
      <c r="KHM27" s="915"/>
      <c r="KHN27" s="914"/>
      <c r="KHO27" s="914"/>
      <c r="KHP27" s="914"/>
      <c r="KHQ27" s="914"/>
      <c r="KHR27" s="914"/>
      <c r="KHS27" s="914"/>
      <c r="KHT27" s="914"/>
      <c r="KHU27" s="911"/>
      <c r="KHV27" s="911"/>
      <c r="KHW27" s="911"/>
      <c r="KHX27" s="915"/>
      <c r="KHY27" s="914"/>
      <c r="KHZ27" s="914"/>
      <c r="KIA27" s="914"/>
      <c r="KIB27" s="914"/>
      <c r="KIC27" s="914"/>
      <c r="KID27" s="914"/>
      <c r="KIE27" s="914"/>
      <c r="KIF27" s="911"/>
      <c r="KIG27" s="911"/>
      <c r="KIH27" s="911"/>
      <c r="KII27" s="915"/>
      <c r="KIJ27" s="914"/>
      <c r="KIK27" s="914"/>
      <c r="KIL27" s="914"/>
      <c r="KIM27" s="914"/>
      <c r="KIN27" s="914"/>
      <c r="KIO27" s="914"/>
      <c r="KIP27" s="914"/>
      <c r="KIQ27" s="911"/>
      <c r="KIR27" s="911"/>
      <c r="KIS27" s="911"/>
      <c r="KIT27" s="915"/>
      <c r="KIU27" s="914"/>
      <c r="KIV27" s="914"/>
      <c r="KIW27" s="914"/>
      <c r="KIX27" s="914"/>
      <c r="KIY27" s="914"/>
      <c r="KIZ27" s="914"/>
      <c r="KJA27" s="914"/>
      <c r="KJB27" s="911"/>
      <c r="KJC27" s="911"/>
      <c r="KJD27" s="911"/>
      <c r="KJE27" s="915"/>
      <c r="KJF27" s="914"/>
      <c r="KJG27" s="914"/>
      <c r="KJH27" s="914"/>
      <c r="KJI27" s="914"/>
      <c r="KJJ27" s="914"/>
      <c r="KJK27" s="914"/>
      <c r="KJL27" s="914"/>
      <c r="KJM27" s="911"/>
      <c r="KJN27" s="911"/>
      <c r="KJO27" s="911"/>
      <c r="KJP27" s="915"/>
      <c r="KJQ27" s="914"/>
      <c r="KJR27" s="914"/>
      <c r="KJS27" s="914"/>
      <c r="KJT27" s="914"/>
      <c r="KJU27" s="914"/>
      <c r="KJV27" s="914"/>
      <c r="KJW27" s="914"/>
      <c r="KJX27" s="911"/>
      <c r="KJY27" s="911"/>
      <c r="KJZ27" s="911"/>
      <c r="KKA27" s="915"/>
      <c r="KKB27" s="914"/>
      <c r="KKC27" s="914"/>
      <c r="KKD27" s="914"/>
      <c r="KKE27" s="914"/>
      <c r="KKF27" s="914"/>
      <c r="KKG27" s="914"/>
      <c r="KKH27" s="914"/>
      <c r="KKI27" s="911"/>
      <c r="KKJ27" s="911"/>
      <c r="KKK27" s="911"/>
      <c r="KKL27" s="915"/>
      <c r="KKM27" s="914"/>
      <c r="KKN27" s="914"/>
      <c r="KKO27" s="914"/>
      <c r="KKP27" s="914"/>
      <c r="KKQ27" s="914"/>
      <c r="KKR27" s="914"/>
      <c r="KKS27" s="914"/>
      <c r="KKT27" s="911"/>
      <c r="KKU27" s="911"/>
      <c r="KKV27" s="911"/>
      <c r="KKW27" s="915"/>
      <c r="KKX27" s="914"/>
      <c r="KKY27" s="914"/>
      <c r="KKZ27" s="914"/>
      <c r="KLA27" s="914"/>
      <c r="KLB27" s="914"/>
      <c r="KLC27" s="914"/>
      <c r="KLD27" s="914"/>
      <c r="KLE27" s="911"/>
      <c r="KLF27" s="911"/>
      <c r="KLG27" s="911"/>
      <c r="KLH27" s="915"/>
      <c r="KLI27" s="914"/>
      <c r="KLJ27" s="914"/>
      <c r="KLK27" s="914"/>
      <c r="KLL27" s="914"/>
      <c r="KLM27" s="914"/>
      <c r="KLN27" s="914"/>
      <c r="KLO27" s="914"/>
      <c r="KLP27" s="911"/>
      <c r="KLQ27" s="911"/>
      <c r="KLR27" s="911"/>
      <c r="KLS27" s="915"/>
      <c r="KLT27" s="914"/>
      <c r="KLU27" s="914"/>
      <c r="KLV27" s="914"/>
      <c r="KLW27" s="914"/>
      <c r="KLX27" s="914"/>
      <c r="KLY27" s="914"/>
      <c r="KLZ27" s="914"/>
      <c r="KMA27" s="911"/>
      <c r="KMB27" s="911"/>
      <c r="KMC27" s="911"/>
      <c r="KMD27" s="915"/>
      <c r="KME27" s="914"/>
      <c r="KMF27" s="914"/>
      <c r="KMG27" s="914"/>
      <c r="KMH27" s="914"/>
      <c r="KMI27" s="914"/>
      <c r="KMJ27" s="914"/>
      <c r="KMK27" s="914"/>
      <c r="KML27" s="911"/>
      <c r="KMM27" s="911"/>
      <c r="KMN27" s="911"/>
      <c r="KMO27" s="915"/>
      <c r="KMP27" s="914"/>
      <c r="KMQ27" s="914"/>
      <c r="KMR27" s="914"/>
      <c r="KMS27" s="914"/>
      <c r="KMT27" s="914"/>
      <c r="KMU27" s="914"/>
      <c r="KMV27" s="914"/>
      <c r="KMW27" s="911"/>
      <c r="KMX27" s="911"/>
      <c r="KMY27" s="911"/>
      <c r="KMZ27" s="915"/>
      <c r="KNA27" s="914"/>
      <c r="KNB27" s="914"/>
      <c r="KNC27" s="914"/>
      <c r="KND27" s="914"/>
      <c r="KNE27" s="914"/>
      <c r="KNF27" s="914"/>
      <c r="KNG27" s="914"/>
      <c r="KNH27" s="911"/>
      <c r="KNI27" s="911"/>
      <c r="KNJ27" s="911"/>
      <c r="KNK27" s="915"/>
      <c r="KNL27" s="914"/>
      <c r="KNM27" s="914"/>
      <c r="KNN27" s="914"/>
      <c r="KNO27" s="914"/>
      <c r="KNP27" s="914"/>
      <c r="KNQ27" s="914"/>
      <c r="KNR27" s="914"/>
      <c r="KNS27" s="911"/>
      <c r="KNT27" s="911"/>
      <c r="KNU27" s="911"/>
      <c r="KNV27" s="915"/>
      <c r="KNW27" s="914"/>
      <c r="KNX27" s="914"/>
      <c r="KNY27" s="914"/>
      <c r="KNZ27" s="914"/>
      <c r="KOA27" s="914"/>
      <c r="KOB27" s="914"/>
      <c r="KOC27" s="914"/>
      <c r="KOD27" s="911"/>
      <c r="KOE27" s="911"/>
      <c r="KOF27" s="911"/>
      <c r="KOG27" s="915"/>
      <c r="KOH27" s="914"/>
      <c r="KOI27" s="914"/>
      <c r="KOJ27" s="914"/>
      <c r="KOK27" s="914"/>
      <c r="KOL27" s="914"/>
      <c r="KOM27" s="914"/>
      <c r="KON27" s="914"/>
      <c r="KOO27" s="911"/>
      <c r="KOP27" s="911"/>
      <c r="KOQ27" s="911"/>
      <c r="KOR27" s="915"/>
      <c r="KOS27" s="914"/>
      <c r="KOT27" s="914"/>
      <c r="KOU27" s="914"/>
      <c r="KOV27" s="914"/>
      <c r="KOW27" s="914"/>
      <c r="KOX27" s="914"/>
      <c r="KOY27" s="914"/>
      <c r="KOZ27" s="911"/>
      <c r="KPA27" s="911"/>
      <c r="KPB27" s="911"/>
      <c r="KPC27" s="915"/>
      <c r="KPD27" s="914"/>
      <c r="KPE27" s="914"/>
      <c r="KPF27" s="914"/>
      <c r="KPG27" s="914"/>
      <c r="KPH27" s="914"/>
      <c r="KPI27" s="914"/>
      <c r="KPJ27" s="914"/>
      <c r="KPK27" s="911"/>
      <c r="KPL27" s="911"/>
      <c r="KPM27" s="911"/>
      <c r="KPN27" s="915"/>
      <c r="KPO27" s="914"/>
      <c r="KPP27" s="914"/>
      <c r="KPQ27" s="914"/>
      <c r="KPR27" s="914"/>
      <c r="KPS27" s="914"/>
      <c r="KPT27" s="914"/>
      <c r="KPU27" s="914"/>
      <c r="KPV27" s="911"/>
      <c r="KPW27" s="911"/>
      <c r="KPX27" s="911"/>
      <c r="KPY27" s="915"/>
      <c r="KPZ27" s="914"/>
      <c r="KQA27" s="914"/>
      <c r="KQB27" s="914"/>
      <c r="KQC27" s="914"/>
      <c r="KQD27" s="914"/>
      <c r="KQE27" s="914"/>
      <c r="KQF27" s="914"/>
      <c r="KQG27" s="911"/>
      <c r="KQH27" s="911"/>
      <c r="KQI27" s="911"/>
      <c r="KQJ27" s="915"/>
      <c r="KQK27" s="914"/>
      <c r="KQL27" s="914"/>
      <c r="KQM27" s="914"/>
      <c r="KQN27" s="914"/>
      <c r="KQO27" s="914"/>
      <c r="KQP27" s="914"/>
      <c r="KQQ27" s="914"/>
      <c r="KQR27" s="911"/>
      <c r="KQS27" s="911"/>
      <c r="KQT27" s="911"/>
      <c r="KQU27" s="915"/>
      <c r="KQV27" s="914"/>
      <c r="KQW27" s="914"/>
      <c r="KQX27" s="914"/>
      <c r="KQY27" s="914"/>
      <c r="KQZ27" s="914"/>
      <c r="KRA27" s="914"/>
      <c r="KRB27" s="914"/>
      <c r="KRC27" s="911"/>
      <c r="KRD27" s="911"/>
      <c r="KRE27" s="911"/>
      <c r="KRF27" s="915"/>
      <c r="KRG27" s="914"/>
      <c r="KRH27" s="914"/>
      <c r="KRI27" s="914"/>
      <c r="KRJ27" s="914"/>
      <c r="KRK27" s="914"/>
      <c r="KRL27" s="914"/>
      <c r="KRM27" s="914"/>
      <c r="KRN27" s="911"/>
      <c r="KRO27" s="911"/>
      <c r="KRP27" s="911"/>
      <c r="KRQ27" s="915"/>
      <c r="KRR27" s="914"/>
      <c r="KRS27" s="914"/>
      <c r="KRT27" s="914"/>
      <c r="KRU27" s="914"/>
      <c r="KRV27" s="914"/>
      <c r="KRW27" s="914"/>
      <c r="KRX27" s="914"/>
      <c r="KRY27" s="911"/>
      <c r="KRZ27" s="911"/>
      <c r="KSA27" s="911"/>
      <c r="KSB27" s="915"/>
      <c r="KSC27" s="914"/>
      <c r="KSD27" s="914"/>
      <c r="KSE27" s="914"/>
      <c r="KSF27" s="914"/>
      <c r="KSG27" s="914"/>
      <c r="KSH27" s="914"/>
      <c r="KSI27" s="914"/>
      <c r="KSJ27" s="911"/>
      <c r="KSK27" s="911"/>
      <c r="KSL27" s="911"/>
      <c r="KSM27" s="915"/>
      <c r="KSN27" s="914"/>
      <c r="KSO27" s="914"/>
      <c r="KSP27" s="914"/>
      <c r="KSQ27" s="914"/>
      <c r="KSR27" s="914"/>
      <c r="KSS27" s="914"/>
      <c r="KST27" s="914"/>
      <c r="KSU27" s="911"/>
      <c r="KSV27" s="911"/>
      <c r="KSW27" s="911"/>
      <c r="KSX27" s="915"/>
      <c r="KSY27" s="914"/>
      <c r="KSZ27" s="914"/>
      <c r="KTA27" s="914"/>
      <c r="KTB27" s="914"/>
      <c r="KTC27" s="914"/>
      <c r="KTD27" s="914"/>
      <c r="KTE27" s="914"/>
      <c r="KTF27" s="911"/>
      <c r="KTG27" s="911"/>
      <c r="KTH27" s="911"/>
      <c r="KTI27" s="915"/>
      <c r="KTJ27" s="914"/>
      <c r="KTK27" s="914"/>
      <c r="KTL27" s="914"/>
      <c r="KTM27" s="914"/>
      <c r="KTN27" s="914"/>
      <c r="KTO27" s="914"/>
      <c r="KTP27" s="914"/>
      <c r="KTQ27" s="911"/>
      <c r="KTR27" s="911"/>
      <c r="KTS27" s="911"/>
      <c r="KTT27" s="915"/>
      <c r="KTU27" s="914"/>
      <c r="KTV27" s="914"/>
      <c r="KTW27" s="914"/>
      <c r="KTX27" s="914"/>
      <c r="KTY27" s="914"/>
      <c r="KTZ27" s="914"/>
      <c r="KUA27" s="914"/>
      <c r="KUB27" s="911"/>
      <c r="KUC27" s="911"/>
      <c r="KUD27" s="911"/>
      <c r="KUE27" s="915"/>
      <c r="KUF27" s="914"/>
      <c r="KUG27" s="914"/>
      <c r="KUH27" s="914"/>
      <c r="KUI27" s="914"/>
      <c r="KUJ27" s="914"/>
      <c r="KUK27" s="914"/>
      <c r="KUL27" s="914"/>
      <c r="KUM27" s="911"/>
      <c r="KUN27" s="911"/>
      <c r="KUO27" s="911"/>
      <c r="KUP27" s="915"/>
      <c r="KUQ27" s="914"/>
      <c r="KUR27" s="914"/>
      <c r="KUS27" s="914"/>
      <c r="KUT27" s="914"/>
      <c r="KUU27" s="914"/>
      <c r="KUV27" s="914"/>
      <c r="KUW27" s="914"/>
      <c r="KUX27" s="911"/>
      <c r="KUY27" s="911"/>
      <c r="KUZ27" s="911"/>
      <c r="KVA27" s="915"/>
      <c r="KVB27" s="914"/>
      <c r="KVC27" s="914"/>
      <c r="KVD27" s="914"/>
      <c r="KVE27" s="914"/>
      <c r="KVF27" s="914"/>
      <c r="KVG27" s="914"/>
      <c r="KVH27" s="914"/>
      <c r="KVI27" s="911"/>
      <c r="KVJ27" s="911"/>
      <c r="KVK27" s="911"/>
      <c r="KVL27" s="915"/>
      <c r="KVM27" s="914"/>
      <c r="KVN27" s="914"/>
      <c r="KVO27" s="914"/>
      <c r="KVP27" s="914"/>
      <c r="KVQ27" s="914"/>
      <c r="KVR27" s="914"/>
      <c r="KVS27" s="914"/>
      <c r="KVT27" s="911"/>
      <c r="KVU27" s="911"/>
      <c r="KVV27" s="911"/>
      <c r="KVW27" s="915"/>
      <c r="KVX27" s="914"/>
      <c r="KVY27" s="914"/>
      <c r="KVZ27" s="914"/>
      <c r="KWA27" s="914"/>
      <c r="KWB27" s="914"/>
      <c r="KWC27" s="914"/>
      <c r="KWD27" s="914"/>
      <c r="KWE27" s="911"/>
      <c r="KWF27" s="911"/>
      <c r="KWG27" s="911"/>
      <c r="KWH27" s="915"/>
      <c r="KWI27" s="914"/>
      <c r="KWJ27" s="914"/>
      <c r="KWK27" s="914"/>
      <c r="KWL27" s="914"/>
      <c r="KWM27" s="914"/>
      <c r="KWN27" s="914"/>
      <c r="KWO27" s="914"/>
      <c r="KWP27" s="911"/>
      <c r="KWQ27" s="911"/>
      <c r="KWR27" s="911"/>
      <c r="KWS27" s="915"/>
      <c r="KWT27" s="914"/>
      <c r="KWU27" s="914"/>
      <c r="KWV27" s="914"/>
      <c r="KWW27" s="914"/>
      <c r="KWX27" s="914"/>
      <c r="KWY27" s="914"/>
      <c r="KWZ27" s="914"/>
      <c r="KXA27" s="911"/>
      <c r="KXB27" s="911"/>
      <c r="KXC27" s="911"/>
      <c r="KXD27" s="915"/>
      <c r="KXE27" s="914"/>
      <c r="KXF27" s="914"/>
      <c r="KXG27" s="914"/>
      <c r="KXH27" s="914"/>
      <c r="KXI27" s="914"/>
      <c r="KXJ27" s="914"/>
      <c r="KXK27" s="914"/>
      <c r="KXL27" s="911"/>
      <c r="KXM27" s="911"/>
      <c r="KXN27" s="911"/>
      <c r="KXO27" s="915"/>
      <c r="KXP27" s="914"/>
      <c r="KXQ27" s="914"/>
      <c r="KXR27" s="914"/>
      <c r="KXS27" s="914"/>
      <c r="KXT27" s="914"/>
      <c r="KXU27" s="914"/>
      <c r="KXV27" s="914"/>
      <c r="KXW27" s="911"/>
      <c r="KXX27" s="911"/>
      <c r="KXY27" s="911"/>
      <c r="KXZ27" s="915"/>
      <c r="KYA27" s="914"/>
      <c r="KYB27" s="914"/>
      <c r="KYC27" s="914"/>
      <c r="KYD27" s="914"/>
      <c r="KYE27" s="914"/>
      <c r="KYF27" s="914"/>
      <c r="KYG27" s="914"/>
      <c r="KYH27" s="911"/>
      <c r="KYI27" s="911"/>
      <c r="KYJ27" s="911"/>
      <c r="KYK27" s="915"/>
      <c r="KYL27" s="914"/>
      <c r="KYM27" s="914"/>
      <c r="KYN27" s="914"/>
      <c r="KYO27" s="914"/>
      <c r="KYP27" s="914"/>
      <c r="KYQ27" s="914"/>
      <c r="KYR27" s="914"/>
      <c r="KYS27" s="911"/>
      <c r="KYT27" s="911"/>
      <c r="KYU27" s="911"/>
      <c r="KYV27" s="915"/>
      <c r="KYW27" s="914"/>
      <c r="KYX27" s="914"/>
      <c r="KYY27" s="914"/>
      <c r="KYZ27" s="914"/>
      <c r="KZA27" s="914"/>
      <c r="KZB27" s="914"/>
      <c r="KZC27" s="914"/>
      <c r="KZD27" s="911"/>
      <c r="KZE27" s="911"/>
      <c r="KZF27" s="911"/>
      <c r="KZG27" s="915"/>
      <c r="KZH27" s="914"/>
      <c r="KZI27" s="914"/>
      <c r="KZJ27" s="914"/>
      <c r="KZK27" s="914"/>
      <c r="KZL27" s="914"/>
      <c r="KZM27" s="914"/>
      <c r="KZN27" s="914"/>
      <c r="KZO27" s="911"/>
      <c r="KZP27" s="911"/>
      <c r="KZQ27" s="911"/>
      <c r="KZR27" s="915"/>
      <c r="KZS27" s="914"/>
      <c r="KZT27" s="914"/>
      <c r="KZU27" s="914"/>
      <c r="KZV27" s="914"/>
      <c r="KZW27" s="914"/>
      <c r="KZX27" s="914"/>
      <c r="KZY27" s="914"/>
      <c r="KZZ27" s="911"/>
      <c r="LAA27" s="911"/>
      <c r="LAB27" s="911"/>
      <c r="LAC27" s="915"/>
      <c r="LAD27" s="914"/>
      <c r="LAE27" s="914"/>
      <c r="LAF27" s="914"/>
      <c r="LAG27" s="914"/>
      <c r="LAH27" s="914"/>
      <c r="LAI27" s="914"/>
      <c r="LAJ27" s="914"/>
      <c r="LAK27" s="911"/>
      <c r="LAL27" s="911"/>
      <c r="LAM27" s="911"/>
      <c r="LAN27" s="915"/>
      <c r="LAO27" s="914"/>
      <c r="LAP27" s="914"/>
      <c r="LAQ27" s="914"/>
      <c r="LAR27" s="914"/>
      <c r="LAS27" s="914"/>
      <c r="LAT27" s="914"/>
      <c r="LAU27" s="914"/>
      <c r="LAV27" s="911"/>
      <c r="LAW27" s="911"/>
      <c r="LAX27" s="911"/>
      <c r="LAY27" s="915"/>
      <c r="LAZ27" s="914"/>
      <c r="LBA27" s="914"/>
      <c r="LBB27" s="914"/>
      <c r="LBC27" s="914"/>
      <c r="LBD27" s="914"/>
      <c r="LBE27" s="914"/>
      <c r="LBF27" s="914"/>
      <c r="LBG27" s="911"/>
      <c r="LBH27" s="911"/>
      <c r="LBI27" s="911"/>
      <c r="LBJ27" s="915"/>
      <c r="LBK27" s="914"/>
      <c r="LBL27" s="914"/>
      <c r="LBM27" s="914"/>
      <c r="LBN27" s="914"/>
      <c r="LBO27" s="914"/>
      <c r="LBP27" s="914"/>
      <c r="LBQ27" s="914"/>
      <c r="LBR27" s="911"/>
      <c r="LBS27" s="911"/>
      <c r="LBT27" s="911"/>
      <c r="LBU27" s="915"/>
      <c r="LBV27" s="914"/>
      <c r="LBW27" s="914"/>
      <c r="LBX27" s="914"/>
      <c r="LBY27" s="914"/>
      <c r="LBZ27" s="914"/>
      <c r="LCA27" s="914"/>
      <c r="LCB27" s="914"/>
      <c r="LCC27" s="911"/>
      <c r="LCD27" s="911"/>
      <c r="LCE27" s="911"/>
      <c r="LCF27" s="915"/>
      <c r="LCG27" s="914"/>
      <c r="LCH27" s="914"/>
      <c r="LCI27" s="914"/>
      <c r="LCJ27" s="914"/>
      <c r="LCK27" s="914"/>
      <c r="LCL27" s="914"/>
      <c r="LCM27" s="914"/>
      <c r="LCN27" s="911"/>
      <c r="LCO27" s="911"/>
      <c r="LCP27" s="911"/>
      <c r="LCQ27" s="915"/>
      <c r="LCR27" s="914"/>
      <c r="LCS27" s="914"/>
      <c r="LCT27" s="914"/>
      <c r="LCU27" s="914"/>
      <c r="LCV27" s="914"/>
      <c r="LCW27" s="914"/>
      <c r="LCX27" s="914"/>
      <c r="LCY27" s="911"/>
      <c r="LCZ27" s="911"/>
      <c r="LDA27" s="911"/>
      <c r="LDB27" s="915"/>
      <c r="LDC27" s="914"/>
      <c r="LDD27" s="914"/>
      <c r="LDE27" s="914"/>
      <c r="LDF27" s="914"/>
      <c r="LDG27" s="914"/>
      <c r="LDH27" s="914"/>
      <c r="LDI27" s="914"/>
      <c r="LDJ27" s="911"/>
      <c r="LDK27" s="911"/>
      <c r="LDL27" s="911"/>
      <c r="LDM27" s="915"/>
      <c r="LDN27" s="914"/>
      <c r="LDO27" s="914"/>
      <c r="LDP27" s="914"/>
      <c r="LDQ27" s="914"/>
      <c r="LDR27" s="914"/>
      <c r="LDS27" s="914"/>
      <c r="LDT27" s="914"/>
      <c r="LDU27" s="911"/>
      <c r="LDV27" s="911"/>
      <c r="LDW27" s="911"/>
      <c r="LDX27" s="915"/>
      <c r="LDY27" s="914"/>
      <c r="LDZ27" s="914"/>
      <c r="LEA27" s="914"/>
      <c r="LEB27" s="914"/>
      <c r="LEC27" s="914"/>
      <c r="LED27" s="914"/>
      <c r="LEE27" s="914"/>
      <c r="LEF27" s="911"/>
      <c r="LEG27" s="911"/>
      <c r="LEH27" s="911"/>
      <c r="LEI27" s="915"/>
      <c r="LEJ27" s="914"/>
      <c r="LEK27" s="914"/>
      <c r="LEL27" s="914"/>
      <c r="LEM27" s="914"/>
      <c r="LEN27" s="914"/>
      <c r="LEO27" s="914"/>
      <c r="LEP27" s="914"/>
      <c r="LEQ27" s="911"/>
      <c r="LER27" s="911"/>
      <c r="LES27" s="911"/>
      <c r="LET27" s="915"/>
      <c r="LEU27" s="914"/>
      <c r="LEV27" s="914"/>
      <c r="LEW27" s="914"/>
      <c r="LEX27" s="914"/>
      <c r="LEY27" s="914"/>
      <c r="LEZ27" s="914"/>
      <c r="LFA27" s="914"/>
      <c r="LFB27" s="911"/>
      <c r="LFC27" s="911"/>
      <c r="LFD27" s="911"/>
      <c r="LFE27" s="915"/>
      <c r="LFF27" s="914"/>
      <c r="LFG27" s="914"/>
      <c r="LFH27" s="914"/>
      <c r="LFI27" s="914"/>
      <c r="LFJ27" s="914"/>
      <c r="LFK27" s="914"/>
      <c r="LFL27" s="914"/>
      <c r="LFM27" s="911"/>
      <c r="LFN27" s="911"/>
      <c r="LFO27" s="911"/>
      <c r="LFP27" s="915"/>
      <c r="LFQ27" s="914"/>
      <c r="LFR27" s="914"/>
      <c r="LFS27" s="914"/>
      <c r="LFT27" s="914"/>
      <c r="LFU27" s="914"/>
      <c r="LFV27" s="914"/>
      <c r="LFW27" s="914"/>
      <c r="LFX27" s="911"/>
      <c r="LFY27" s="911"/>
      <c r="LFZ27" s="911"/>
      <c r="LGA27" s="915"/>
      <c r="LGB27" s="914"/>
      <c r="LGC27" s="914"/>
      <c r="LGD27" s="914"/>
      <c r="LGE27" s="914"/>
      <c r="LGF27" s="914"/>
      <c r="LGG27" s="914"/>
      <c r="LGH27" s="914"/>
      <c r="LGI27" s="911"/>
      <c r="LGJ27" s="911"/>
      <c r="LGK27" s="911"/>
      <c r="LGL27" s="915"/>
      <c r="LGM27" s="914"/>
      <c r="LGN27" s="914"/>
      <c r="LGO27" s="914"/>
      <c r="LGP27" s="914"/>
      <c r="LGQ27" s="914"/>
      <c r="LGR27" s="914"/>
      <c r="LGS27" s="914"/>
      <c r="LGT27" s="911"/>
      <c r="LGU27" s="911"/>
      <c r="LGV27" s="911"/>
      <c r="LGW27" s="915"/>
      <c r="LGX27" s="914"/>
      <c r="LGY27" s="914"/>
      <c r="LGZ27" s="914"/>
      <c r="LHA27" s="914"/>
      <c r="LHB27" s="914"/>
      <c r="LHC27" s="914"/>
      <c r="LHD27" s="914"/>
      <c r="LHE27" s="911"/>
      <c r="LHF27" s="911"/>
      <c r="LHG27" s="911"/>
      <c r="LHH27" s="915"/>
      <c r="LHI27" s="914"/>
      <c r="LHJ27" s="914"/>
      <c r="LHK27" s="914"/>
      <c r="LHL27" s="914"/>
      <c r="LHM27" s="914"/>
      <c r="LHN27" s="914"/>
      <c r="LHO27" s="914"/>
      <c r="LHP27" s="911"/>
      <c r="LHQ27" s="911"/>
      <c r="LHR27" s="911"/>
      <c r="LHS27" s="915"/>
      <c r="LHT27" s="914"/>
      <c r="LHU27" s="914"/>
      <c r="LHV27" s="914"/>
      <c r="LHW27" s="914"/>
      <c r="LHX27" s="914"/>
      <c r="LHY27" s="914"/>
      <c r="LHZ27" s="914"/>
      <c r="LIA27" s="911"/>
      <c r="LIB27" s="911"/>
      <c r="LIC27" s="911"/>
      <c r="LID27" s="915"/>
      <c r="LIE27" s="914"/>
      <c r="LIF27" s="914"/>
      <c r="LIG27" s="914"/>
      <c r="LIH27" s="914"/>
      <c r="LII27" s="914"/>
      <c r="LIJ27" s="914"/>
      <c r="LIK27" s="914"/>
      <c r="LIL27" s="911"/>
      <c r="LIM27" s="911"/>
      <c r="LIN27" s="911"/>
      <c r="LIO27" s="915"/>
      <c r="LIP27" s="914"/>
      <c r="LIQ27" s="914"/>
      <c r="LIR27" s="914"/>
      <c r="LIS27" s="914"/>
      <c r="LIT27" s="914"/>
      <c r="LIU27" s="914"/>
      <c r="LIV27" s="914"/>
      <c r="LIW27" s="911"/>
      <c r="LIX27" s="911"/>
      <c r="LIY27" s="911"/>
      <c r="LIZ27" s="915"/>
      <c r="LJA27" s="914"/>
      <c r="LJB27" s="914"/>
      <c r="LJC27" s="914"/>
      <c r="LJD27" s="914"/>
      <c r="LJE27" s="914"/>
      <c r="LJF27" s="914"/>
      <c r="LJG27" s="914"/>
      <c r="LJH27" s="911"/>
      <c r="LJI27" s="911"/>
      <c r="LJJ27" s="911"/>
      <c r="LJK27" s="915"/>
      <c r="LJL27" s="914"/>
      <c r="LJM27" s="914"/>
      <c r="LJN27" s="914"/>
      <c r="LJO27" s="914"/>
      <c r="LJP27" s="914"/>
      <c r="LJQ27" s="914"/>
      <c r="LJR27" s="914"/>
      <c r="LJS27" s="911"/>
      <c r="LJT27" s="911"/>
      <c r="LJU27" s="911"/>
      <c r="LJV27" s="915"/>
      <c r="LJW27" s="914"/>
      <c r="LJX27" s="914"/>
      <c r="LJY27" s="914"/>
      <c r="LJZ27" s="914"/>
      <c r="LKA27" s="914"/>
      <c r="LKB27" s="914"/>
      <c r="LKC27" s="914"/>
      <c r="LKD27" s="911"/>
      <c r="LKE27" s="911"/>
      <c r="LKF27" s="911"/>
      <c r="LKG27" s="915"/>
      <c r="LKH27" s="914"/>
      <c r="LKI27" s="914"/>
      <c r="LKJ27" s="914"/>
      <c r="LKK27" s="914"/>
      <c r="LKL27" s="914"/>
      <c r="LKM27" s="914"/>
      <c r="LKN27" s="914"/>
      <c r="LKO27" s="911"/>
      <c r="LKP27" s="911"/>
      <c r="LKQ27" s="911"/>
      <c r="LKR27" s="915"/>
      <c r="LKS27" s="914"/>
      <c r="LKT27" s="914"/>
      <c r="LKU27" s="914"/>
      <c r="LKV27" s="914"/>
      <c r="LKW27" s="914"/>
      <c r="LKX27" s="914"/>
      <c r="LKY27" s="914"/>
      <c r="LKZ27" s="911"/>
      <c r="LLA27" s="911"/>
      <c r="LLB27" s="911"/>
      <c r="LLC27" s="915"/>
      <c r="LLD27" s="914"/>
      <c r="LLE27" s="914"/>
      <c r="LLF27" s="914"/>
      <c r="LLG27" s="914"/>
      <c r="LLH27" s="914"/>
      <c r="LLI27" s="914"/>
      <c r="LLJ27" s="914"/>
      <c r="LLK27" s="911"/>
      <c r="LLL27" s="911"/>
      <c r="LLM27" s="911"/>
      <c r="LLN27" s="915"/>
      <c r="LLO27" s="914"/>
      <c r="LLP27" s="914"/>
      <c r="LLQ27" s="914"/>
      <c r="LLR27" s="914"/>
      <c r="LLS27" s="914"/>
      <c r="LLT27" s="914"/>
      <c r="LLU27" s="914"/>
      <c r="LLV27" s="911"/>
      <c r="LLW27" s="911"/>
      <c r="LLX27" s="911"/>
      <c r="LLY27" s="915"/>
      <c r="LLZ27" s="914"/>
      <c r="LMA27" s="914"/>
      <c r="LMB27" s="914"/>
      <c r="LMC27" s="914"/>
      <c r="LMD27" s="914"/>
      <c r="LME27" s="914"/>
      <c r="LMF27" s="914"/>
      <c r="LMG27" s="911"/>
      <c r="LMH27" s="911"/>
      <c r="LMI27" s="911"/>
      <c r="LMJ27" s="915"/>
      <c r="LMK27" s="914"/>
      <c r="LML27" s="914"/>
      <c r="LMM27" s="914"/>
      <c r="LMN27" s="914"/>
      <c r="LMO27" s="914"/>
      <c r="LMP27" s="914"/>
      <c r="LMQ27" s="914"/>
      <c r="LMR27" s="911"/>
      <c r="LMS27" s="911"/>
      <c r="LMT27" s="911"/>
      <c r="LMU27" s="915"/>
      <c r="LMV27" s="914"/>
      <c r="LMW27" s="914"/>
      <c r="LMX27" s="914"/>
      <c r="LMY27" s="914"/>
      <c r="LMZ27" s="914"/>
      <c r="LNA27" s="914"/>
      <c r="LNB27" s="914"/>
      <c r="LNC27" s="911"/>
      <c r="LND27" s="911"/>
      <c r="LNE27" s="911"/>
      <c r="LNF27" s="915"/>
      <c r="LNG27" s="914"/>
      <c r="LNH27" s="914"/>
      <c r="LNI27" s="914"/>
      <c r="LNJ27" s="914"/>
      <c r="LNK27" s="914"/>
      <c r="LNL27" s="914"/>
      <c r="LNM27" s="914"/>
      <c r="LNN27" s="911"/>
      <c r="LNO27" s="911"/>
      <c r="LNP27" s="911"/>
      <c r="LNQ27" s="915"/>
      <c r="LNR27" s="914"/>
      <c r="LNS27" s="914"/>
      <c r="LNT27" s="914"/>
      <c r="LNU27" s="914"/>
      <c r="LNV27" s="914"/>
      <c r="LNW27" s="914"/>
      <c r="LNX27" s="914"/>
      <c r="LNY27" s="911"/>
      <c r="LNZ27" s="911"/>
      <c r="LOA27" s="911"/>
      <c r="LOB27" s="915"/>
      <c r="LOC27" s="914"/>
      <c r="LOD27" s="914"/>
      <c r="LOE27" s="914"/>
      <c r="LOF27" s="914"/>
      <c r="LOG27" s="914"/>
      <c r="LOH27" s="914"/>
      <c r="LOI27" s="914"/>
      <c r="LOJ27" s="911"/>
      <c r="LOK27" s="911"/>
      <c r="LOL27" s="911"/>
      <c r="LOM27" s="915"/>
      <c r="LON27" s="914"/>
      <c r="LOO27" s="914"/>
      <c r="LOP27" s="914"/>
      <c r="LOQ27" s="914"/>
      <c r="LOR27" s="914"/>
      <c r="LOS27" s="914"/>
      <c r="LOT27" s="914"/>
      <c r="LOU27" s="911"/>
      <c r="LOV27" s="911"/>
      <c r="LOW27" s="911"/>
      <c r="LOX27" s="915"/>
      <c r="LOY27" s="914"/>
      <c r="LOZ27" s="914"/>
      <c r="LPA27" s="914"/>
      <c r="LPB27" s="914"/>
      <c r="LPC27" s="914"/>
      <c r="LPD27" s="914"/>
      <c r="LPE27" s="914"/>
      <c r="LPF27" s="911"/>
      <c r="LPG27" s="911"/>
      <c r="LPH27" s="911"/>
      <c r="LPI27" s="915"/>
      <c r="LPJ27" s="914"/>
      <c r="LPK27" s="914"/>
      <c r="LPL27" s="914"/>
      <c r="LPM27" s="914"/>
      <c r="LPN27" s="914"/>
      <c r="LPO27" s="914"/>
      <c r="LPP27" s="914"/>
      <c r="LPQ27" s="911"/>
      <c r="LPR27" s="911"/>
      <c r="LPS27" s="911"/>
      <c r="LPT27" s="915"/>
      <c r="LPU27" s="914"/>
      <c r="LPV27" s="914"/>
      <c r="LPW27" s="914"/>
      <c r="LPX27" s="914"/>
      <c r="LPY27" s="914"/>
      <c r="LPZ27" s="914"/>
      <c r="LQA27" s="914"/>
      <c r="LQB27" s="911"/>
      <c r="LQC27" s="911"/>
      <c r="LQD27" s="911"/>
      <c r="LQE27" s="915"/>
      <c r="LQF27" s="914"/>
      <c r="LQG27" s="914"/>
      <c r="LQH27" s="914"/>
      <c r="LQI27" s="914"/>
      <c r="LQJ27" s="914"/>
      <c r="LQK27" s="914"/>
      <c r="LQL27" s="914"/>
      <c r="LQM27" s="911"/>
      <c r="LQN27" s="911"/>
      <c r="LQO27" s="911"/>
      <c r="LQP27" s="915"/>
      <c r="LQQ27" s="914"/>
      <c r="LQR27" s="914"/>
      <c r="LQS27" s="914"/>
      <c r="LQT27" s="914"/>
      <c r="LQU27" s="914"/>
      <c r="LQV27" s="914"/>
      <c r="LQW27" s="914"/>
      <c r="LQX27" s="911"/>
      <c r="LQY27" s="911"/>
      <c r="LQZ27" s="911"/>
      <c r="LRA27" s="915"/>
      <c r="LRB27" s="914"/>
      <c r="LRC27" s="914"/>
      <c r="LRD27" s="914"/>
      <c r="LRE27" s="914"/>
      <c r="LRF27" s="914"/>
      <c r="LRG27" s="914"/>
      <c r="LRH27" s="914"/>
      <c r="LRI27" s="911"/>
      <c r="LRJ27" s="911"/>
      <c r="LRK27" s="911"/>
      <c r="LRL27" s="915"/>
      <c r="LRM27" s="914"/>
      <c r="LRN27" s="914"/>
      <c r="LRO27" s="914"/>
      <c r="LRP27" s="914"/>
      <c r="LRQ27" s="914"/>
      <c r="LRR27" s="914"/>
      <c r="LRS27" s="914"/>
      <c r="LRT27" s="911"/>
      <c r="LRU27" s="911"/>
      <c r="LRV27" s="911"/>
      <c r="LRW27" s="915"/>
      <c r="LRX27" s="914"/>
      <c r="LRY27" s="914"/>
      <c r="LRZ27" s="914"/>
      <c r="LSA27" s="914"/>
      <c r="LSB27" s="914"/>
      <c r="LSC27" s="914"/>
      <c r="LSD27" s="914"/>
      <c r="LSE27" s="911"/>
      <c r="LSF27" s="911"/>
      <c r="LSG27" s="911"/>
      <c r="LSH27" s="915"/>
      <c r="LSI27" s="914"/>
      <c r="LSJ27" s="914"/>
      <c r="LSK27" s="914"/>
      <c r="LSL27" s="914"/>
      <c r="LSM27" s="914"/>
      <c r="LSN27" s="914"/>
      <c r="LSO27" s="914"/>
      <c r="LSP27" s="911"/>
      <c r="LSQ27" s="911"/>
      <c r="LSR27" s="911"/>
      <c r="LSS27" s="915"/>
      <c r="LST27" s="914"/>
      <c r="LSU27" s="914"/>
      <c r="LSV27" s="914"/>
      <c r="LSW27" s="914"/>
      <c r="LSX27" s="914"/>
      <c r="LSY27" s="914"/>
      <c r="LSZ27" s="914"/>
      <c r="LTA27" s="911"/>
      <c r="LTB27" s="911"/>
      <c r="LTC27" s="911"/>
      <c r="LTD27" s="915"/>
      <c r="LTE27" s="914"/>
      <c r="LTF27" s="914"/>
      <c r="LTG27" s="914"/>
      <c r="LTH27" s="914"/>
      <c r="LTI27" s="914"/>
      <c r="LTJ27" s="914"/>
      <c r="LTK27" s="914"/>
      <c r="LTL27" s="911"/>
      <c r="LTM27" s="911"/>
      <c r="LTN27" s="911"/>
      <c r="LTO27" s="915"/>
      <c r="LTP27" s="914"/>
      <c r="LTQ27" s="914"/>
      <c r="LTR27" s="914"/>
      <c r="LTS27" s="914"/>
      <c r="LTT27" s="914"/>
      <c r="LTU27" s="914"/>
      <c r="LTV27" s="914"/>
      <c r="LTW27" s="911"/>
      <c r="LTX27" s="911"/>
      <c r="LTY27" s="911"/>
      <c r="LTZ27" s="915"/>
      <c r="LUA27" s="914"/>
      <c r="LUB27" s="914"/>
      <c r="LUC27" s="914"/>
      <c r="LUD27" s="914"/>
      <c r="LUE27" s="914"/>
      <c r="LUF27" s="914"/>
      <c r="LUG27" s="914"/>
      <c r="LUH27" s="911"/>
      <c r="LUI27" s="911"/>
      <c r="LUJ27" s="911"/>
      <c r="LUK27" s="915"/>
      <c r="LUL27" s="914"/>
      <c r="LUM27" s="914"/>
      <c r="LUN27" s="914"/>
      <c r="LUO27" s="914"/>
      <c r="LUP27" s="914"/>
      <c r="LUQ27" s="914"/>
      <c r="LUR27" s="914"/>
      <c r="LUS27" s="911"/>
      <c r="LUT27" s="911"/>
      <c r="LUU27" s="911"/>
      <c r="LUV27" s="915"/>
      <c r="LUW27" s="914"/>
      <c r="LUX27" s="914"/>
      <c r="LUY27" s="914"/>
      <c r="LUZ27" s="914"/>
      <c r="LVA27" s="914"/>
      <c r="LVB27" s="914"/>
      <c r="LVC27" s="914"/>
      <c r="LVD27" s="911"/>
      <c r="LVE27" s="911"/>
      <c r="LVF27" s="911"/>
      <c r="LVG27" s="915"/>
      <c r="LVH27" s="914"/>
      <c r="LVI27" s="914"/>
      <c r="LVJ27" s="914"/>
      <c r="LVK27" s="914"/>
      <c r="LVL27" s="914"/>
      <c r="LVM27" s="914"/>
      <c r="LVN27" s="914"/>
      <c r="LVO27" s="911"/>
      <c r="LVP27" s="911"/>
      <c r="LVQ27" s="911"/>
      <c r="LVR27" s="915"/>
      <c r="LVS27" s="914"/>
      <c r="LVT27" s="914"/>
      <c r="LVU27" s="914"/>
      <c r="LVV27" s="914"/>
      <c r="LVW27" s="914"/>
      <c r="LVX27" s="914"/>
      <c r="LVY27" s="914"/>
      <c r="LVZ27" s="911"/>
      <c r="LWA27" s="911"/>
      <c r="LWB27" s="911"/>
      <c r="LWC27" s="915"/>
      <c r="LWD27" s="914"/>
      <c r="LWE27" s="914"/>
      <c r="LWF27" s="914"/>
      <c r="LWG27" s="914"/>
      <c r="LWH27" s="914"/>
      <c r="LWI27" s="914"/>
      <c r="LWJ27" s="914"/>
      <c r="LWK27" s="911"/>
      <c r="LWL27" s="911"/>
      <c r="LWM27" s="911"/>
      <c r="LWN27" s="915"/>
      <c r="LWO27" s="914"/>
      <c r="LWP27" s="914"/>
      <c r="LWQ27" s="914"/>
      <c r="LWR27" s="914"/>
      <c r="LWS27" s="914"/>
      <c r="LWT27" s="914"/>
      <c r="LWU27" s="914"/>
      <c r="LWV27" s="911"/>
      <c r="LWW27" s="911"/>
      <c r="LWX27" s="911"/>
      <c r="LWY27" s="915"/>
      <c r="LWZ27" s="914"/>
      <c r="LXA27" s="914"/>
      <c r="LXB27" s="914"/>
      <c r="LXC27" s="914"/>
      <c r="LXD27" s="914"/>
      <c r="LXE27" s="914"/>
      <c r="LXF27" s="914"/>
      <c r="LXG27" s="911"/>
      <c r="LXH27" s="911"/>
      <c r="LXI27" s="911"/>
      <c r="LXJ27" s="915"/>
      <c r="LXK27" s="914"/>
      <c r="LXL27" s="914"/>
      <c r="LXM27" s="914"/>
      <c r="LXN27" s="914"/>
      <c r="LXO27" s="914"/>
      <c r="LXP27" s="914"/>
      <c r="LXQ27" s="914"/>
      <c r="LXR27" s="911"/>
      <c r="LXS27" s="911"/>
      <c r="LXT27" s="911"/>
      <c r="LXU27" s="915"/>
      <c r="LXV27" s="914"/>
      <c r="LXW27" s="914"/>
      <c r="LXX27" s="914"/>
      <c r="LXY27" s="914"/>
      <c r="LXZ27" s="914"/>
      <c r="LYA27" s="914"/>
      <c r="LYB27" s="914"/>
      <c r="LYC27" s="911"/>
      <c r="LYD27" s="911"/>
      <c r="LYE27" s="911"/>
      <c r="LYF27" s="915"/>
      <c r="LYG27" s="914"/>
      <c r="LYH27" s="914"/>
      <c r="LYI27" s="914"/>
      <c r="LYJ27" s="914"/>
      <c r="LYK27" s="914"/>
      <c r="LYL27" s="914"/>
      <c r="LYM27" s="914"/>
      <c r="LYN27" s="911"/>
      <c r="LYO27" s="911"/>
      <c r="LYP27" s="911"/>
      <c r="LYQ27" s="915"/>
      <c r="LYR27" s="914"/>
      <c r="LYS27" s="914"/>
      <c r="LYT27" s="914"/>
      <c r="LYU27" s="914"/>
      <c r="LYV27" s="914"/>
      <c r="LYW27" s="914"/>
      <c r="LYX27" s="914"/>
      <c r="LYY27" s="911"/>
      <c r="LYZ27" s="911"/>
      <c r="LZA27" s="911"/>
      <c r="LZB27" s="915"/>
      <c r="LZC27" s="914"/>
      <c r="LZD27" s="914"/>
      <c r="LZE27" s="914"/>
      <c r="LZF27" s="914"/>
      <c r="LZG27" s="914"/>
      <c r="LZH27" s="914"/>
      <c r="LZI27" s="914"/>
      <c r="LZJ27" s="911"/>
      <c r="LZK27" s="911"/>
      <c r="LZL27" s="911"/>
      <c r="LZM27" s="915"/>
      <c r="LZN27" s="914"/>
      <c r="LZO27" s="914"/>
      <c r="LZP27" s="914"/>
      <c r="LZQ27" s="914"/>
      <c r="LZR27" s="914"/>
      <c r="LZS27" s="914"/>
      <c r="LZT27" s="914"/>
      <c r="LZU27" s="911"/>
      <c r="LZV27" s="911"/>
      <c r="LZW27" s="911"/>
      <c r="LZX27" s="915"/>
      <c r="LZY27" s="914"/>
      <c r="LZZ27" s="914"/>
      <c r="MAA27" s="914"/>
      <c r="MAB27" s="914"/>
      <c r="MAC27" s="914"/>
      <c r="MAD27" s="914"/>
      <c r="MAE27" s="914"/>
      <c r="MAF27" s="911"/>
      <c r="MAG27" s="911"/>
      <c r="MAH27" s="911"/>
      <c r="MAI27" s="915"/>
      <c r="MAJ27" s="914"/>
      <c r="MAK27" s="914"/>
      <c r="MAL27" s="914"/>
      <c r="MAM27" s="914"/>
      <c r="MAN27" s="914"/>
      <c r="MAO27" s="914"/>
      <c r="MAP27" s="914"/>
      <c r="MAQ27" s="911"/>
      <c r="MAR27" s="911"/>
      <c r="MAS27" s="911"/>
      <c r="MAT27" s="915"/>
      <c r="MAU27" s="914"/>
      <c r="MAV27" s="914"/>
      <c r="MAW27" s="914"/>
      <c r="MAX27" s="914"/>
      <c r="MAY27" s="914"/>
      <c r="MAZ27" s="914"/>
      <c r="MBA27" s="914"/>
      <c r="MBB27" s="911"/>
      <c r="MBC27" s="911"/>
      <c r="MBD27" s="911"/>
      <c r="MBE27" s="915"/>
      <c r="MBF27" s="914"/>
      <c r="MBG27" s="914"/>
      <c r="MBH27" s="914"/>
      <c r="MBI27" s="914"/>
      <c r="MBJ27" s="914"/>
      <c r="MBK27" s="914"/>
      <c r="MBL27" s="914"/>
      <c r="MBM27" s="911"/>
      <c r="MBN27" s="911"/>
      <c r="MBO27" s="911"/>
      <c r="MBP27" s="915"/>
      <c r="MBQ27" s="914"/>
      <c r="MBR27" s="914"/>
      <c r="MBS27" s="914"/>
      <c r="MBT27" s="914"/>
      <c r="MBU27" s="914"/>
      <c r="MBV27" s="914"/>
      <c r="MBW27" s="914"/>
      <c r="MBX27" s="911"/>
      <c r="MBY27" s="911"/>
      <c r="MBZ27" s="911"/>
      <c r="MCA27" s="915"/>
      <c r="MCB27" s="914"/>
      <c r="MCC27" s="914"/>
      <c r="MCD27" s="914"/>
      <c r="MCE27" s="914"/>
      <c r="MCF27" s="914"/>
      <c r="MCG27" s="914"/>
      <c r="MCH27" s="914"/>
      <c r="MCI27" s="911"/>
      <c r="MCJ27" s="911"/>
      <c r="MCK27" s="911"/>
      <c r="MCL27" s="915"/>
      <c r="MCM27" s="914"/>
      <c r="MCN27" s="914"/>
      <c r="MCO27" s="914"/>
      <c r="MCP27" s="914"/>
      <c r="MCQ27" s="914"/>
      <c r="MCR27" s="914"/>
      <c r="MCS27" s="914"/>
      <c r="MCT27" s="911"/>
      <c r="MCU27" s="911"/>
      <c r="MCV27" s="911"/>
      <c r="MCW27" s="915"/>
      <c r="MCX27" s="914"/>
      <c r="MCY27" s="914"/>
      <c r="MCZ27" s="914"/>
      <c r="MDA27" s="914"/>
      <c r="MDB27" s="914"/>
      <c r="MDC27" s="914"/>
      <c r="MDD27" s="914"/>
      <c r="MDE27" s="911"/>
      <c r="MDF27" s="911"/>
      <c r="MDG27" s="911"/>
      <c r="MDH27" s="915"/>
      <c r="MDI27" s="914"/>
      <c r="MDJ27" s="914"/>
      <c r="MDK27" s="914"/>
      <c r="MDL27" s="914"/>
      <c r="MDM27" s="914"/>
      <c r="MDN27" s="914"/>
      <c r="MDO27" s="914"/>
      <c r="MDP27" s="911"/>
      <c r="MDQ27" s="911"/>
      <c r="MDR27" s="911"/>
      <c r="MDS27" s="915"/>
      <c r="MDT27" s="914"/>
      <c r="MDU27" s="914"/>
      <c r="MDV27" s="914"/>
      <c r="MDW27" s="914"/>
      <c r="MDX27" s="914"/>
      <c r="MDY27" s="914"/>
      <c r="MDZ27" s="914"/>
      <c r="MEA27" s="911"/>
      <c r="MEB27" s="911"/>
      <c r="MEC27" s="911"/>
      <c r="MED27" s="915"/>
      <c r="MEE27" s="914"/>
      <c r="MEF27" s="914"/>
      <c r="MEG27" s="914"/>
      <c r="MEH27" s="914"/>
      <c r="MEI27" s="914"/>
      <c r="MEJ27" s="914"/>
      <c r="MEK27" s="914"/>
      <c r="MEL27" s="911"/>
      <c r="MEM27" s="911"/>
      <c r="MEN27" s="911"/>
      <c r="MEO27" s="915"/>
      <c r="MEP27" s="914"/>
      <c r="MEQ27" s="914"/>
      <c r="MER27" s="914"/>
      <c r="MES27" s="914"/>
      <c r="MET27" s="914"/>
      <c r="MEU27" s="914"/>
      <c r="MEV27" s="914"/>
      <c r="MEW27" s="911"/>
      <c r="MEX27" s="911"/>
      <c r="MEY27" s="911"/>
      <c r="MEZ27" s="915"/>
      <c r="MFA27" s="914"/>
      <c r="MFB27" s="914"/>
      <c r="MFC27" s="914"/>
      <c r="MFD27" s="914"/>
      <c r="MFE27" s="914"/>
      <c r="MFF27" s="914"/>
      <c r="MFG27" s="914"/>
      <c r="MFH27" s="911"/>
      <c r="MFI27" s="911"/>
      <c r="MFJ27" s="911"/>
      <c r="MFK27" s="915"/>
      <c r="MFL27" s="914"/>
      <c r="MFM27" s="914"/>
      <c r="MFN27" s="914"/>
      <c r="MFO27" s="914"/>
      <c r="MFP27" s="914"/>
      <c r="MFQ27" s="914"/>
      <c r="MFR27" s="914"/>
      <c r="MFS27" s="911"/>
      <c r="MFT27" s="911"/>
      <c r="MFU27" s="911"/>
      <c r="MFV27" s="915"/>
      <c r="MFW27" s="914"/>
      <c r="MFX27" s="914"/>
      <c r="MFY27" s="914"/>
      <c r="MFZ27" s="914"/>
      <c r="MGA27" s="914"/>
      <c r="MGB27" s="914"/>
      <c r="MGC27" s="914"/>
      <c r="MGD27" s="911"/>
      <c r="MGE27" s="911"/>
      <c r="MGF27" s="911"/>
      <c r="MGG27" s="915"/>
      <c r="MGH27" s="914"/>
      <c r="MGI27" s="914"/>
      <c r="MGJ27" s="914"/>
      <c r="MGK27" s="914"/>
      <c r="MGL27" s="914"/>
      <c r="MGM27" s="914"/>
      <c r="MGN27" s="914"/>
      <c r="MGO27" s="911"/>
      <c r="MGP27" s="911"/>
      <c r="MGQ27" s="911"/>
      <c r="MGR27" s="915"/>
      <c r="MGS27" s="914"/>
      <c r="MGT27" s="914"/>
      <c r="MGU27" s="914"/>
      <c r="MGV27" s="914"/>
      <c r="MGW27" s="914"/>
      <c r="MGX27" s="914"/>
      <c r="MGY27" s="914"/>
      <c r="MGZ27" s="911"/>
      <c r="MHA27" s="911"/>
      <c r="MHB27" s="911"/>
      <c r="MHC27" s="915"/>
      <c r="MHD27" s="914"/>
      <c r="MHE27" s="914"/>
      <c r="MHF27" s="914"/>
      <c r="MHG27" s="914"/>
      <c r="MHH27" s="914"/>
      <c r="MHI27" s="914"/>
      <c r="MHJ27" s="914"/>
      <c r="MHK27" s="911"/>
      <c r="MHL27" s="911"/>
      <c r="MHM27" s="911"/>
      <c r="MHN27" s="915"/>
      <c r="MHO27" s="914"/>
      <c r="MHP27" s="914"/>
      <c r="MHQ27" s="914"/>
      <c r="MHR27" s="914"/>
      <c r="MHS27" s="914"/>
      <c r="MHT27" s="914"/>
      <c r="MHU27" s="914"/>
      <c r="MHV27" s="911"/>
      <c r="MHW27" s="911"/>
      <c r="MHX27" s="911"/>
      <c r="MHY27" s="915"/>
      <c r="MHZ27" s="914"/>
      <c r="MIA27" s="914"/>
      <c r="MIB27" s="914"/>
      <c r="MIC27" s="914"/>
      <c r="MID27" s="914"/>
      <c r="MIE27" s="914"/>
      <c r="MIF27" s="914"/>
      <c r="MIG27" s="911"/>
      <c r="MIH27" s="911"/>
      <c r="MII27" s="911"/>
      <c r="MIJ27" s="915"/>
      <c r="MIK27" s="914"/>
      <c r="MIL27" s="914"/>
      <c r="MIM27" s="914"/>
      <c r="MIN27" s="914"/>
      <c r="MIO27" s="914"/>
      <c r="MIP27" s="914"/>
      <c r="MIQ27" s="914"/>
      <c r="MIR27" s="911"/>
      <c r="MIS27" s="911"/>
      <c r="MIT27" s="911"/>
      <c r="MIU27" s="915"/>
      <c r="MIV27" s="914"/>
      <c r="MIW27" s="914"/>
      <c r="MIX27" s="914"/>
      <c r="MIY27" s="914"/>
      <c r="MIZ27" s="914"/>
      <c r="MJA27" s="914"/>
      <c r="MJB27" s="914"/>
      <c r="MJC27" s="911"/>
      <c r="MJD27" s="911"/>
      <c r="MJE27" s="911"/>
      <c r="MJF27" s="915"/>
      <c r="MJG27" s="914"/>
      <c r="MJH27" s="914"/>
      <c r="MJI27" s="914"/>
      <c r="MJJ27" s="914"/>
      <c r="MJK27" s="914"/>
      <c r="MJL27" s="914"/>
      <c r="MJM27" s="914"/>
      <c r="MJN27" s="911"/>
      <c r="MJO27" s="911"/>
      <c r="MJP27" s="911"/>
      <c r="MJQ27" s="915"/>
      <c r="MJR27" s="914"/>
      <c r="MJS27" s="914"/>
      <c r="MJT27" s="914"/>
      <c r="MJU27" s="914"/>
      <c r="MJV27" s="914"/>
      <c r="MJW27" s="914"/>
      <c r="MJX27" s="914"/>
      <c r="MJY27" s="911"/>
      <c r="MJZ27" s="911"/>
      <c r="MKA27" s="911"/>
      <c r="MKB27" s="915"/>
      <c r="MKC27" s="914"/>
      <c r="MKD27" s="914"/>
      <c r="MKE27" s="914"/>
      <c r="MKF27" s="914"/>
      <c r="MKG27" s="914"/>
      <c r="MKH27" s="914"/>
      <c r="MKI27" s="914"/>
      <c r="MKJ27" s="911"/>
      <c r="MKK27" s="911"/>
      <c r="MKL27" s="911"/>
      <c r="MKM27" s="915"/>
      <c r="MKN27" s="914"/>
      <c r="MKO27" s="914"/>
      <c r="MKP27" s="914"/>
      <c r="MKQ27" s="914"/>
      <c r="MKR27" s="914"/>
      <c r="MKS27" s="914"/>
      <c r="MKT27" s="914"/>
      <c r="MKU27" s="911"/>
      <c r="MKV27" s="911"/>
      <c r="MKW27" s="911"/>
      <c r="MKX27" s="915"/>
      <c r="MKY27" s="914"/>
      <c r="MKZ27" s="914"/>
      <c r="MLA27" s="914"/>
      <c r="MLB27" s="914"/>
      <c r="MLC27" s="914"/>
      <c r="MLD27" s="914"/>
      <c r="MLE27" s="914"/>
      <c r="MLF27" s="911"/>
      <c r="MLG27" s="911"/>
      <c r="MLH27" s="911"/>
      <c r="MLI27" s="915"/>
      <c r="MLJ27" s="914"/>
      <c r="MLK27" s="914"/>
      <c r="MLL27" s="914"/>
      <c r="MLM27" s="914"/>
      <c r="MLN27" s="914"/>
      <c r="MLO27" s="914"/>
      <c r="MLP27" s="914"/>
      <c r="MLQ27" s="911"/>
      <c r="MLR27" s="911"/>
      <c r="MLS27" s="911"/>
      <c r="MLT27" s="915"/>
      <c r="MLU27" s="914"/>
      <c r="MLV27" s="914"/>
      <c r="MLW27" s="914"/>
      <c r="MLX27" s="914"/>
      <c r="MLY27" s="914"/>
      <c r="MLZ27" s="914"/>
      <c r="MMA27" s="914"/>
      <c r="MMB27" s="911"/>
      <c r="MMC27" s="911"/>
      <c r="MMD27" s="911"/>
      <c r="MME27" s="915"/>
      <c r="MMF27" s="914"/>
      <c r="MMG27" s="914"/>
      <c r="MMH27" s="914"/>
      <c r="MMI27" s="914"/>
      <c r="MMJ27" s="914"/>
      <c r="MMK27" s="914"/>
      <c r="MML27" s="914"/>
      <c r="MMM27" s="911"/>
      <c r="MMN27" s="911"/>
      <c r="MMO27" s="911"/>
      <c r="MMP27" s="915"/>
      <c r="MMQ27" s="914"/>
      <c r="MMR27" s="914"/>
      <c r="MMS27" s="914"/>
      <c r="MMT27" s="914"/>
      <c r="MMU27" s="914"/>
      <c r="MMV27" s="914"/>
      <c r="MMW27" s="914"/>
      <c r="MMX27" s="911"/>
      <c r="MMY27" s="911"/>
      <c r="MMZ27" s="911"/>
      <c r="MNA27" s="915"/>
      <c r="MNB27" s="914"/>
      <c r="MNC27" s="914"/>
      <c r="MND27" s="914"/>
      <c r="MNE27" s="914"/>
      <c r="MNF27" s="914"/>
      <c r="MNG27" s="914"/>
      <c r="MNH27" s="914"/>
      <c r="MNI27" s="911"/>
      <c r="MNJ27" s="911"/>
      <c r="MNK27" s="911"/>
      <c r="MNL27" s="915"/>
      <c r="MNM27" s="914"/>
      <c r="MNN27" s="914"/>
      <c r="MNO27" s="914"/>
      <c r="MNP27" s="914"/>
      <c r="MNQ27" s="914"/>
      <c r="MNR27" s="914"/>
      <c r="MNS27" s="914"/>
      <c r="MNT27" s="911"/>
      <c r="MNU27" s="911"/>
      <c r="MNV27" s="911"/>
      <c r="MNW27" s="915"/>
      <c r="MNX27" s="914"/>
      <c r="MNY27" s="914"/>
      <c r="MNZ27" s="914"/>
      <c r="MOA27" s="914"/>
      <c r="MOB27" s="914"/>
      <c r="MOC27" s="914"/>
      <c r="MOD27" s="914"/>
      <c r="MOE27" s="911"/>
      <c r="MOF27" s="911"/>
      <c r="MOG27" s="911"/>
      <c r="MOH27" s="915"/>
      <c r="MOI27" s="914"/>
      <c r="MOJ27" s="914"/>
      <c r="MOK27" s="914"/>
      <c r="MOL27" s="914"/>
      <c r="MOM27" s="914"/>
      <c r="MON27" s="914"/>
      <c r="MOO27" s="914"/>
      <c r="MOP27" s="911"/>
      <c r="MOQ27" s="911"/>
      <c r="MOR27" s="911"/>
      <c r="MOS27" s="915"/>
      <c r="MOT27" s="914"/>
      <c r="MOU27" s="914"/>
      <c r="MOV27" s="914"/>
      <c r="MOW27" s="914"/>
      <c r="MOX27" s="914"/>
      <c r="MOY27" s="914"/>
      <c r="MOZ27" s="914"/>
      <c r="MPA27" s="911"/>
      <c r="MPB27" s="911"/>
      <c r="MPC27" s="911"/>
      <c r="MPD27" s="915"/>
      <c r="MPE27" s="914"/>
      <c r="MPF27" s="914"/>
      <c r="MPG27" s="914"/>
      <c r="MPH27" s="914"/>
      <c r="MPI27" s="914"/>
      <c r="MPJ27" s="914"/>
      <c r="MPK27" s="914"/>
      <c r="MPL27" s="911"/>
      <c r="MPM27" s="911"/>
      <c r="MPN27" s="911"/>
      <c r="MPO27" s="915"/>
      <c r="MPP27" s="914"/>
      <c r="MPQ27" s="914"/>
      <c r="MPR27" s="914"/>
      <c r="MPS27" s="914"/>
      <c r="MPT27" s="914"/>
      <c r="MPU27" s="914"/>
      <c r="MPV27" s="914"/>
      <c r="MPW27" s="911"/>
      <c r="MPX27" s="911"/>
      <c r="MPY27" s="911"/>
      <c r="MPZ27" s="915"/>
      <c r="MQA27" s="914"/>
      <c r="MQB27" s="914"/>
      <c r="MQC27" s="914"/>
      <c r="MQD27" s="914"/>
      <c r="MQE27" s="914"/>
      <c r="MQF27" s="914"/>
      <c r="MQG27" s="914"/>
      <c r="MQH27" s="911"/>
      <c r="MQI27" s="911"/>
      <c r="MQJ27" s="911"/>
      <c r="MQK27" s="915"/>
      <c r="MQL27" s="914"/>
      <c r="MQM27" s="914"/>
      <c r="MQN27" s="914"/>
      <c r="MQO27" s="914"/>
      <c r="MQP27" s="914"/>
      <c r="MQQ27" s="914"/>
      <c r="MQR27" s="914"/>
      <c r="MQS27" s="911"/>
      <c r="MQT27" s="911"/>
      <c r="MQU27" s="911"/>
      <c r="MQV27" s="915"/>
      <c r="MQW27" s="914"/>
      <c r="MQX27" s="914"/>
      <c r="MQY27" s="914"/>
      <c r="MQZ27" s="914"/>
      <c r="MRA27" s="914"/>
      <c r="MRB27" s="914"/>
      <c r="MRC27" s="914"/>
      <c r="MRD27" s="911"/>
      <c r="MRE27" s="911"/>
      <c r="MRF27" s="911"/>
      <c r="MRG27" s="915"/>
      <c r="MRH27" s="914"/>
      <c r="MRI27" s="914"/>
      <c r="MRJ27" s="914"/>
      <c r="MRK27" s="914"/>
      <c r="MRL27" s="914"/>
      <c r="MRM27" s="914"/>
      <c r="MRN27" s="914"/>
      <c r="MRO27" s="911"/>
      <c r="MRP27" s="911"/>
      <c r="MRQ27" s="911"/>
      <c r="MRR27" s="915"/>
      <c r="MRS27" s="914"/>
      <c r="MRT27" s="914"/>
      <c r="MRU27" s="914"/>
      <c r="MRV27" s="914"/>
      <c r="MRW27" s="914"/>
      <c r="MRX27" s="914"/>
      <c r="MRY27" s="914"/>
      <c r="MRZ27" s="911"/>
      <c r="MSA27" s="911"/>
      <c r="MSB27" s="911"/>
      <c r="MSC27" s="915"/>
      <c r="MSD27" s="914"/>
      <c r="MSE27" s="914"/>
      <c r="MSF27" s="914"/>
      <c r="MSG27" s="914"/>
      <c r="MSH27" s="914"/>
      <c r="MSI27" s="914"/>
      <c r="MSJ27" s="914"/>
      <c r="MSK27" s="911"/>
      <c r="MSL27" s="911"/>
      <c r="MSM27" s="911"/>
      <c r="MSN27" s="915"/>
      <c r="MSO27" s="914"/>
      <c r="MSP27" s="914"/>
      <c r="MSQ27" s="914"/>
      <c r="MSR27" s="914"/>
      <c r="MSS27" s="914"/>
      <c r="MST27" s="914"/>
      <c r="MSU27" s="914"/>
      <c r="MSV27" s="911"/>
      <c r="MSW27" s="911"/>
      <c r="MSX27" s="911"/>
      <c r="MSY27" s="915"/>
      <c r="MSZ27" s="914"/>
      <c r="MTA27" s="914"/>
      <c r="MTB27" s="914"/>
      <c r="MTC27" s="914"/>
      <c r="MTD27" s="914"/>
      <c r="MTE27" s="914"/>
      <c r="MTF27" s="914"/>
      <c r="MTG27" s="911"/>
      <c r="MTH27" s="911"/>
      <c r="MTI27" s="911"/>
      <c r="MTJ27" s="915"/>
      <c r="MTK27" s="914"/>
      <c r="MTL27" s="914"/>
      <c r="MTM27" s="914"/>
      <c r="MTN27" s="914"/>
      <c r="MTO27" s="914"/>
      <c r="MTP27" s="914"/>
      <c r="MTQ27" s="914"/>
      <c r="MTR27" s="911"/>
      <c r="MTS27" s="911"/>
      <c r="MTT27" s="911"/>
      <c r="MTU27" s="915"/>
      <c r="MTV27" s="914"/>
      <c r="MTW27" s="914"/>
      <c r="MTX27" s="914"/>
      <c r="MTY27" s="914"/>
      <c r="MTZ27" s="914"/>
      <c r="MUA27" s="914"/>
      <c r="MUB27" s="914"/>
      <c r="MUC27" s="911"/>
      <c r="MUD27" s="911"/>
      <c r="MUE27" s="911"/>
      <c r="MUF27" s="915"/>
      <c r="MUG27" s="914"/>
      <c r="MUH27" s="914"/>
      <c r="MUI27" s="914"/>
      <c r="MUJ27" s="914"/>
      <c r="MUK27" s="914"/>
      <c r="MUL27" s="914"/>
      <c r="MUM27" s="914"/>
      <c r="MUN27" s="911"/>
      <c r="MUO27" s="911"/>
      <c r="MUP27" s="911"/>
      <c r="MUQ27" s="915"/>
      <c r="MUR27" s="914"/>
      <c r="MUS27" s="914"/>
      <c r="MUT27" s="914"/>
      <c r="MUU27" s="914"/>
      <c r="MUV27" s="914"/>
      <c r="MUW27" s="914"/>
      <c r="MUX27" s="914"/>
      <c r="MUY27" s="911"/>
      <c r="MUZ27" s="911"/>
      <c r="MVA27" s="911"/>
      <c r="MVB27" s="915"/>
      <c r="MVC27" s="914"/>
      <c r="MVD27" s="914"/>
      <c r="MVE27" s="914"/>
      <c r="MVF27" s="914"/>
      <c r="MVG27" s="914"/>
      <c r="MVH27" s="914"/>
      <c r="MVI27" s="914"/>
      <c r="MVJ27" s="911"/>
      <c r="MVK27" s="911"/>
      <c r="MVL27" s="911"/>
      <c r="MVM27" s="915"/>
      <c r="MVN27" s="914"/>
      <c r="MVO27" s="914"/>
      <c r="MVP27" s="914"/>
      <c r="MVQ27" s="914"/>
      <c r="MVR27" s="914"/>
      <c r="MVS27" s="914"/>
      <c r="MVT27" s="914"/>
      <c r="MVU27" s="911"/>
      <c r="MVV27" s="911"/>
      <c r="MVW27" s="911"/>
      <c r="MVX27" s="915"/>
      <c r="MVY27" s="914"/>
      <c r="MVZ27" s="914"/>
      <c r="MWA27" s="914"/>
      <c r="MWB27" s="914"/>
      <c r="MWC27" s="914"/>
      <c r="MWD27" s="914"/>
      <c r="MWE27" s="914"/>
      <c r="MWF27" s="911"/>
      <c r="MWG27" s="911"/>
      <c r="MWH27" s="911"/>
      <c r="MWI27" s="915"/>
      <c r="MWJ27" s="914"/>
      <c r="MWK27" s="914"/>
      <c r="MWL27" s="914"/>
      <c r="MWM27" s="914"/>
      <c r="MWN27" s="914"/>
      <c r="MWO27" s="914"/>
      <c r="MWP27" s="914"/>
      <c r="MWQ27" s="911"/>
      <c r="MWR27" s="911"/>
      <c r="MWS27" s="911"/>
      <c r="MWT27" s="915"/>
      <c r="MWU27" s="914"/>
      <c r="MWV27" s="914"/>
      <c r="MWW27" s="914"/>
      <c r="MWX27" s="914"/>
      <c r="MWY27" s="914"/>
      <c r="MWZ27" s="914"/>
      <c r="MXA27" s="914"/>
      <c r="MXB27" s="911"/>
      <c r="MXC27" s="911"/>
      <c r="MXD27" s="911"/>
      <c r="MXE27" s="915"/>
      <c r="MXF27" s="914"/>
      <c r="MXG27" s="914"/>
      <c r="MXH27" s="914"/>
      <c r="MXI27" s="914"/>
      <c r="MXJ27" s="914"/>
      <c r="MXK27" s="914"/>
      <c r="MXL27" s="914"/>
      <c r="MXM27" s="911"/>
      <c r="MXN27" s="911"/>
      <c r="MXO27" s="911"/>
      <c r="MXP27" s="915"/>
      <c r="MXQ27" s="914"/>
      <c r="MXR27" s="914"/>
      <c r="MXS27" s="914"/>
      <c r="MXT27" s="914"/>
      <c r="MXU27" s="914"/>
      <c r="MXV27" s="914"/>
      <c r="MXW27" s="914"/>
      <c r="MXX27" s="911"/>
      <c r="MXY27" s="911"/>
      <c r="MXZ27" s="911"/>
      <c r="MYA27" s="915"/>
      <c r="MYB27" s="914"/>
      <c r="MYC27" s="914"/>
      <c r="MYD27" s="914"/>
      <c r="MYE27" s="914"/>
      <c r="MYF27" s="914"/>
      <c r="MYG27" s="914"/>
      <c r="MYH27" s="914"/>
      <c r="MYI27" s="911"/>
      <c r="MYJ27" s="911"/>
      <c r="MYK27" s="911"/>
      <c r="MYL27" s="915"/>
      <c r="MYM27" s="914"/>
      <c r="MYN27" s="914"/>
      <c r="MYO27" s="914"/>
      <c r="MYP27" s="914"/>
      <c r="MYQ27" s="914"/>
      <c r="MYR27" s="914"/>
      <c r="MYS27" s="914"/>
      <c r="MYT27" s="911"/>
      <c r="MYU27" s="911"/>
      <c r="MYV27" s="911"/>
      <c r="MYW27" s="915"/>
      <c r="MYX27" s="914"/>
      <c r="MYY27" s="914"/>
      <c r="MYZ27" s="914"/>
      <c r="MZA27" s="914"/>
      <c r="MZB27" s="914"/>
      <c r="MZC27" s="914"/>
      <c r="MZD27" s="914"/>
      <c r="MZE27" s="911"/>
      <c r="MZF27" s="911"/>
      <c r="MZG27" s="911"/>
      <c r="MZH27" s="915"/>
      <c r="MZI27" s="914"/>
      <c r="MZJ27" s="914"/>
      <c r="MZK27" s="914"/>
      <c r="MZL27" s="914"/>
      <c r="MZM27" s="914"/>
      <c r="MZN27" s="914"/>
      <c r="MZO27" s="914"/>
      <c r="MZP27" s="911"/>
      <c r="MZQ27" s="911"/>
      <c r="MZR27" s="911"/>
      <c r="MZS27" s="915"/>
      <c r="MZT27" s="914"/>
      <c r="MZU27" s="914"/>
      <c r="MZV27" s="914"/>
      <c r="MZW27" s="914"/>
      <c r="MZX27" s="914"/>
      <c r="MZY27" s="914"/>
      <c r="MZZ27" s="914"/>
      <c r="NAA27" s="911"/>
      <c r="NAB27" s="911"/>
      <c r="NAC27" s="911"/>
      <c r="NAD27" s="915"/>
      <c r="NAE27" s="914"/>
      <c r="NAF27" s="914"/>
      <c r="NAG27" s="914"/>
      <c r="NAH27" s="914"/>
      <c r="NAI27" s="914"/>
      <c r="NAJ27" s="914"/>
      <c r="NAK27" s="914"/>
      <c r="NAL27" s="911"/>
      <c r="NAM27" s="911"/>
      <c r="NAN27" s="911"/>
      <c r="NAO27" s="915"/>
      <c r="NAP27" s="914"/>
      <c r="NAQ27" s="914"/>
      <c r="NAR27" s="914"/>
      <c r="NAS27" s="914"/>
      <c r="NAT27" s="914"/>
      <c r="NAU27" s="914"/>
      <c r="NAV27" s="914"/>
      <c r="NAW27" s="911"/>
      <c r="NAX27" s="911"/>
      <c r="NAY27" s="911"/>
      <c r="NAZ27" s="915"/>
      <c r="NBA27" s="914"/>
      <c r="NBB27" s="914"/>
      <c r="NBC27" s="914"/>
      <c r="NBD27" s="914"/>
      <c r="NBE27" s="914"/>
      <c r="NBF27" s="914"/>
      <c r="NBG27" s="914"/>
      <c r="NBH27" s="911"/>
      <c r="NBI27" s="911"/>
      <c r="NBJ27" s="911"/>
      <c r="NBK27" s="915"/>
      <c r="NBL27" s="914"/>
      <c r="NBM27" s="914"/>
      <c r="NBN27" s="914"/>
      <c r="NBO27" s="914"/>
      <c r="NBP27" s="914"/>
      <c r="NBQ27" s="914"/>
      <c r="NBR27" s="914"/>
      <c r="NBS27" s="911"/>
      <c r="NBT27" s="911"/>
      <c r="NBU27" s="911"/>
      <c r="NBV27" s="915"/>
      <c r="NBW27" s="914"/>
      <c r="NBX27" s="914"/>
      <c r="NBY27" s="914"/>
      <c r="NBZ27" s="914"/>
      <c r="NCA27" s="914"/>
      <c r="NCB27" s="914"/>
      <c r="NCC27" s="914"/>
      <c r="NCD27" s="911"/>
      <c r="NCE27" s="911"/>
      <c r="NCF27" s="911"/>
      <c r="NCG27" s="915"/>
      <c r="NCH27" s="914"/>
      <c r="NCI27" s="914"/>
      <c r="NCJ27" s="914"/>
      <c r="NCK27" s="914"/>
      <c r="NCL27" s="914"/>
      <c r="NCM27" s="914"/>
      <c r="NCN27" s="914"/>
      <c r="NCO27" s="911"/>
      <c r="NCP27" s="911"/>
      <c r="NCQ27" s="911"/>
      <c r="NCR27" s="915"/>
      <c r="NCS27" s="914"/>
      <c r="NCT27" s="914"/>
      <c r="NCU27" s="914"/>
      <c r="NCV27" s="914"/>
      <c r="NCW27" s="914"/>
      <c r="NCX27" s="914"/>
      <c r="NCY27" s="914"/>
      <c r="NCZ27" s="911"/>
      <c r="NDA27" s="911"/>
      <c r="NDB27" s="911"/>
      <c r="NDC27" s="915"/>
      <c r="NDD27" s="914"/>
      <c r="NDE27" s="914"/>
      <c r="NDF27" s="914"/>
      <c r="NDG27" s="914"/>
      <c r="NDH27" s="914"/>
      <c r="NDI27" s="914"/>
      <c r="NDJ27" s="914"/>
      <c r="NDK27" s="911"/>
      <c r="NDL27" s="911"/>
      <c r="NDM27" s="911"/>
      <c r="NDN27" s="915"/>
      <c r="NDO27" s="914"/>
      <c r="NDP27" s="914"/>
      <c r="NDQ27" s="914"/>
      <c r="NDR27" s="914"/>
      <c r="NDS27" s="914"/>
      <c r="NDT27" s="914"/>
      <c r="NDU27" s="914"/>
      <c r="NDV27" s="911"/>
      <c r="NDW27" s="911"/>
      <c r="NDX27" s="911"/>
      <c r="NDY27" s="915"/>
      <c r="NDZ27" s="914"/>
      <c r="NEA27" s="914"/>
      <c r="NEB27" s="914"/>
      <c r="NEC27" s="914"/>
      <c r="NED27" s="914"/>
      <c r="NEE27" s="914"/>
      <c r="NEF27" s="914"/>
      <c r="NEG27" s="911"/>
      <c r="NEH27" s="911"/>
      <c r="NEI27" s="911"/>
      <c r="NEJ27" s="915"/>
      <c r="NEK27" s="914"/>
      <c r="NEL27" s="914"/>
      <c r="NEM27" s="914"/>
      <c r="NEN27" s="914"/>
      <c r="NEO27" s="914"/>
      <c r="NEP27" s="914"/>
      <c r="NEQ27" s="914"/>
      <c r="NER27" s="911"/>
      <c r="NES27" s="911"/>
      <c r="NET27" s="911"/>
      <c r="NEU27" s="915"/>
      <c r="NEV27" s="914"/>
      <c r="NEW27" s="914"/>
      <c r="NEX27" s="914"/>
      <c r="NEY27" s="914"/>
      <c r="NEZ27" s="914"/>
      <c r="NFA27" s="914"/>
      <c r="NFB27" s="914"/>
      <c r="NFC27" s="911"/>
      <c r="NFD27" s="911"/>
      <c r="NFE27" s="911"/>
      <c r="NFF27" s="915"/>
      <c r="NFG27" s="914"/>
      <c r="NFH27" s="914"/>
      <c r="NFI27" s="914"/>
      <c r="NFJ27" s="914"/>
      <c r="NFK27" s="914"/>
      <c r="NFL27" s="914"/>
      <c r="NFM27" s="914"/>
      <c r="NFN27" s="911"/>
      <c r="NFO27" s="911"/>
      <c r="NFP27" s="911"/>
      <c r="NFQ27" s="915"/>
      <c r="NFR27" s="914"/>
      <c r="NFS27" s="914"/>
      <c r="NFT27" s="914"/>
      <c r="NFU27" s="914"/>
      <c r="NFV27" s="914"/>
      <c r="NFW27" s="914"/>
      <c r="NFX27" s="914"/>
      <c r="NFY27" s="911"/>
      <c r="NFZ27" s="911"/>
      <c r="NGA27" s="911"/>
      <c r="NGB27" s="915"/>
      <c r="NGC27" s="914"/>
      <c r="NGD27" s="914"/>
      <c r="NGE27" s="914"/>
      <c r="NGF27" s="914"/>
      <c r="NGG27" s="914"/>
      <c r="NGH27" s="914"/>
      <c r="NGI27" s="914"/>
      <c r="NGJ27" s="911"/>
      <c r="NGK27" s="911"/>
      <c r="NGL27" s="911"/>
      <c r="NGM27" s="915"/>
      <c r="NGN27" s="914"/>
      <c r="NGO27" s="914"/>
      <c r="NGP27" s="914"/>
      <c r="NGQ27" s="914"/>
      <c r="NGR27" s="914"/>
      <c r="NGS27" s="914"/>
      <c r="NGT27" s="914"/>
      <c r="NGU27" s="911"/>
      <c r="NGV27" s="911"/>
      <c r="NGW27" s="911"/>
      <c r="NGX27" s="915"/>
      <c r="NGY27" s="914"/>
      <c r="NGZ27" s="914"/>
      <c r="NHA27" s="914"/>
      <c r="NHB27" s="914"/>
      <c r="NHC27" s="914"/>
      <c r="NHD27" s="914"/>
      <c r="NHE27" s="914"/>
      <c r="NHF27" s="911"/>
      <c r="NHG27" s="911"/>
      <c r="NHH27" s="911"/>
      <c r="NHI27" s="915"/>
      <c r="NHJ27" s="914"/>
      <c r="NHK27" s="914"/>
      <c r="NHL27" s="914"/>
      <c r="NHM27" s="914"/>
      <c r="NHN27" s="914"/>
      <c r="NHO27" s="914"/>
      <c r="NHP27" s="914"/>
      <c r="NHQ27" s="911"/>
      <c r="NHR27" s="911"/>
      <c r="NHS27" s="911"/>
      <c r="NHT27" s="915"/>
      <c r="NHU27" s="914"/>
      <c r="NHV27" s="914"/>
      <c r="NHW27" s="914"/>
      <c r="NHX27" s="914"/>
      <c r="NHY27" s="914"/>
      <c r="NHZ27" s="914"/>
      <c r="NIA27" s="914"/>
      <c r="NIB27" s="911"/>
      <c r="NIC27" s="911"/>
      <c r="NID27" s="911"/>
      <c r="NIE27" s="915"/>
      <c r="NIF27" s="914"/>
      <c r="NIG27" s="914"/>
      <c r="NIH27" s="914"/>
      <c r="NII27" s="914"/>
      <c r="NIJ27" s="914"/>
      <c r="NIK27" s="914"/>
      <c r="NIL27" s="914"/>
      <c r="NIM27" s="911"/>
      <c r="NIN27" s="911"/>
      <c r="NIO27" s="911"/>
      <c r="NIP27" s="915"/>
      <c r="NIQ27" s="914"/>
      <c r="NIR27" s="914"/>
      <c r="NIS27" s="914"/>
      <c r="NIT27" s="914"/>
      <c r="NIU27" s="914"/>
      <c r="NIV27" s="914"/>
      <c r="NIW27" s="914"/>
      <c r="NIX27" s="911"/>
      <c r="NIY27" s="911"/>
      <c r="NIZ27" s="911"/>
      <c r="NJA27" s="915"/>
      <c r="NJB27" s="914"/>
      <c r="NJC27" s="914"/>
      <c r="NJD27" s="914"/>
      <c r="NJE27" s="914"/>
      <c r="NJF27" s="914"/>
      <c r="NJG27" s="914"/>
      <c r="NJH27" s="914"/>
      <c r="NJI27" s="911"/>
      <c r="NJJ27" s="911"/>
      <c r="NJK27" s="911"/>
      <c r="NJL27" s="915"/>
      <c r="NJM27" s="914"/>
      <c r="NJN27" s="914"/>
      <c r="NJO27" s="914"/>
      <c r="NJP27" s="914"/>
      <c r="NJQ27" s="914"/>
      <c r="NJR27" s="914"/>
      <c r="NJS27" s="914"/>
      <c r="NJT27" s="911"/>
      <c r="NJU27" s="911"/>
      <c r="NJV27" s="911"/>
      <c r="NJW27" s="915"/>
      <c r="NJX27" s="914"/>
      <c r="NJY27" s="914"/>
      <c r="NJZ27" s="914"/>
      <c r="NKA27" s="914"/>
      <c r="NKB27" s="914"/>
      <c r="NKC27" s="914"/>
      <c r="NKD27" s="914"/>
      <c r="NKE27" s="911"/>
      <c r="NKF27" s="911"/>
      <c r="NKG27" s="911"/>
      <c r="NKH27" s="915"/>
      <c r="NKI27" s="914"/>
      <c r="NKJ27" s="914"/>
      <c r="NKK27" s="914"/>
      <c r="NKL27" s="914"/>
      <c r="NKM27" s="914"/>
      <c r="NKN27" s="914"/>
      <c r="NKO27" s="914"/>
      <c r="NKP27" s="911"/>
      <c r="NKQ27" s="911"/>
      <c r="NKR27" s="911"/>
      <c r="NKS27" s="915"/>
      <c r="NKT27" s="914"/>
      <c r="NKU27" s="914"/>
      <c r="NKV27" s="914"/>
      <c r="NKW27" s="914"/>
      <c r="NKX27" s="914"/>
      <c r="NKY27" s="914"/>
      <c r="NKZ27" s="914"/>
      <c r="NLA27" s="911"/>
      <c r="NLB27" s="911"/>
      <c r="NLC27" s="911"/>
      <c r="NLD27" s="915"/>
      <c r="NLE27" s="914"/>
      <c r="NLF27" s="914"/>
      <c r="NLG27" s="914"/>
      <c r="NLH27" s="914"/>
      <c r="NLI27" s="914"/>
      <c r="NLJ27" s="914"/>
      <c r="NLK27" s="914"/>
      <c r="NLL27" s="911"/>
      <c r="NLM27" s="911"/>
      <c r="NLN27" s="911"/>
      <c r="NLO27" s="915"/>
      <c r="NLP27" s="914"/>
      <c r="NLQ27" s="914"/>
      <c r="NLR27" s="914"/>
      <c r="NLS27" s="914"/>
      <c r="NLT27" s="914"/>
      <c r="NLU27" s="914"/>
      <c r="NLV27" s="914"/>
      <c r="NLW27" s="911"/>
      <c r="NLX27" s="911"/>
      <c r="NLY27" s="911"/>
      <c r="NLZ27" s="915"/>
      <c r="NMA27" s="914"/>
      <c r="NMB27" s="914"/>
      <c r="NMC27" s="914"/>
      <c r="NMD27" s="914"/>
      <c r="NME27" s="914"/>
      <c r="NMF27" s="914"/>
      <c r="NMG27" s="914"/>
      <c r="NMH27" s="911"/>
      <c r="NMI27" s="911"/>
      <c r="NMJ27" s="911"/>
      <c r="NMK27" s="915"/>
      <c r="NML27" s="914"/>
      <c r="NMM27" s="914"/>
      <c r="NMN27" s="914"/>
      <c r="NMO27" s="914"/>
      <c r="NMP27" s="914"/>
      <c r="NMQ27" s="914"/>
      <c r="NMR27" s="914"/>
      <c r="NMS27" s="911"/>
      <c r="NMT27" s="911"/>
      <c r="NMU27" s="911"/>
      <c r="NMV27" s="915"/>
      <c r="NMW27" s="914"/>
      <c r="NMX27" s="914"/>
      <c r="NMY27" s="914"/>
      <c r="NMZ27" s="914"/>
      <c r="NNA27" s="914"/>
      <c r="NNB27" s="914"/>
      <c r="NNC27" s="914"/>
      <c r="NND27" s="911"/>
      <c r="NNE27" s="911"/>
      <c r="NNF27" s="911"/>
      <c r="NNG27" s="915"/>
      <c r="NNH27" s="914"/>
      <c r="NNI27" s="914"/>
      <c r="NNJ27" s="914"/>
      <c r="NNK27" s="914"/>
      <c r="NNL27" s="914"/>
      <c r="NNM27" s="914"/>
      <c r="NNN27" s="914"/>
      <c r="NNO27" s="911"/>
      <c r="NNP27" s="911"/>
      <c r="NNQ27" s="911"/>
      <c r="NNR27" s="915"/>
      <c r="NNS27" s="914"/>
      <c r="NNT27" s="914"/>
      <c r="NNU27" s="914"/>
      <c r="NNV27" s="914"/>
      <c r="NNW27" s="914"/>
      <c r="NNX27" s="914"/>
      <c r="NNY27" s="914"/>
      <c r="NNZ27" s="911"/>
      <c r="NOA27" s="911"/>
      <c r="NOB27" s="911"/>
      <c r="NOC27" s="915"/>
      <c r="NOD27" s="914"/>
      <c r="NOE27" s="914"/>
      <c r="NOF27" s="914"/>
      <c r="NOG27" s="914"/>
      <c r="NOH27" s="914"/>
      <c r="NOI27" s="914"/>
      <c r="NOJ27" s="914"/>
      <c r="NOK27" s="911"/>
      <c r="NOL27" s="911"/>
      <c r="NOM27" s="911"/>
      <c r="NON27" s="915"/>
      <c r="NOO27" s="914"/>
      <c r="NOP27" s="914"/>
      <c r="NOQ27" s="914"/>
      <c r="NOR27" s="914"/>
      <c r="NOS27" s="914"/>
      <c r="NOT27" s="914"/>
      <c r="NOU27" s="914"/>
      <c r="NOV27" s="911"/>
      <c r="NOW27" s="911"/>
      <c r="NOX27" s="911"/>
      <c r="NOY27" s="915"/>
      <c r="NOZ27" s="914"/>
      <c r="NPA27" s="914"/>
      <c r="NPB27" s="914"/>
      <c r="NPC27" s="914"/>
      <c r="NPD27" s="914"/>
      <c r="NPE27" s="914"/>
      <c r="NPF27" s="914"/>
      <c r="NPG27" s="911"/>
      <c r="NPH27" s="911"/>
      <c r="NPI27" s="911"/>
      <c r="NPJ27" s="915"/>
      <c r="NPK27" s="914"/>
      <c r="NPL27" s="914"/>
      <c r="NPM27" s="914"/>
      <c r="NPN27" s="914"/>
      <c r="NPO27" s="914"/>
      <c r="NPP27" s="914"/>
      <c r="NPQ27" s="914"/>
      <c r="NPR27" s="911"/>
      <c r="NPS27" s="911"/>
      <c r="NPT27" s="911"/>
      <c r="NPU27" s="915"/>
      <c r="NPV27" s="914"/>
      <c r="NPW27" s="914"/>
      <c r="NPX27" s="914"/>
      <c r="NPY27" s="914"/>
      <c r="NPZ27" s="914"/>
      <c r="NQA27" s="914"/>
      <c r="NQB27" s="914"/>
      <c r="NQC27" s="911"/>
      <c r="NQD27" s="911"/>
      <c r="NQE27" s="911"/>
      <c r="NQF27" s="915"/>
      <c r="NQG27" s="914"/>
      <c r="NQH27" s="914"/>
      <c r="NQI27" s="914"/>
      <c r="NQJ27" s="914"/>
      <c r="NQK27" s="914"/>
      <c r="NQL27" s="914"/>
      <c r="NQM27" s="914"/>
      <c r="NQN27" s="911"/>
      <c r="NQO27" s="911"/>
      <c r="NQP27" s="911"/>
      <c r="NQQ27" s="915"/>
      <c r="NQR27" s="914"/>
      <c r="NQS27" s="914"/>
      <c r="NQT27" s="914"/>
      <c r="NQU27" s="914"/>
      <c r="NQV27" s="914"/>
      <c r="NQW27" s="914"/>
      <c r="NQX27" s="914"/>
      <c r="NQY27" s="911"/>
      <c r="NQZ27" s="911"/>
      <c r="NRA27" s="911"/>
      <c r="NRB27" s="915"/>
      <c r="NRC27" s="914"/>
      <c r="NRD27" s="914"/>
      <c r="NRE27" s="914"/>
      <c r="NRF27" s="914"/>
      <c r="NRG27" s="914"/>
      <c r="NRH27" s="914"/>
      <c r="NRI27" s="914"/>
      <c r="NRJ27" s="911"/>
      <c r="NRK27" s="911"/>
      <c r="NRL27" s="911"/>
      <c r="NRM27" s="915"/>
      <c r="NRN27" s="914"/>
      <c r="NRO27" s="914"/>
      <c r="NRP27" s="914"/>
      <c r="NRQ27" s="914"/>
      <c r="NRR27" s="914"/>
      <c r="NRS27" s="914"/>
      <c r="NRT27" s="914"/>
      <c r="NRU27" s="911"/>
      <c r="NRV27" s="911"/>
      <c r="NRW27" s="911"/>
      <c r="NRX27" s="915"/>
      <c r="NRY27" s="914"/>
      <c r="NRZ27" s="914"/>
      <c r="NSA27" s="914"/>
      <c r="NSB27" s="914"/>
      <c r="NSC27" s="914"/>
      <c r="NSD27" s="914"/>
      <c r="NSE27" s="914"/>
      <c r="NSF27" s="911"/>
      <c r="NSG27" s="911"/>
      <c r="NSH27" s="911"/>
      <c r="NSI27" s="915"/>
      <c r="NSJ27" s="914"/>
      <c r="NSK27" s="914"/>
      <c r="NSL27" s="914"/>
      <c r="NSM27" s="914"/>
      <c r="NSN27" s="914"/>
      <c r="NSO27" s="914"/>
      <c r="NSP27" s="914"/>
      <c r="NSQ27" s="911"/>
      <c r="NSR27" s="911"/>
      <c r="NSS27" s="911"/>
      <c r="NST27" s="915"/>
      <c r="NSU27" s="914"/>
      <c r="NSV27" s="914"/>
      <c r="NSW27" s="914"/>
      <c r="NSX27" s="914"/>
      <c r="NSY27" s="914"/>
      <c r="NSZ27" s="914"/>
      <c r="NTA27" s="914"/>
      <c r="NTB27" s="911"/>
      <c r="NTC27" s="911"/>
      <c r="NTD27" s="911"/>
      <c r="NTE27" s="915"/>
      <c r="NTF27" s="914"/>
      <c r="NTG27" s="914"/>
      <c r="NTH27" s="914"/>
      <c r="NTI27" s="914"/>
      <c r="NTJ27" s="914"/>
      <c r="NTK27" s="914"/>
      <c r="NTL27" s="914"/>
      <c r="NTM27" s="911"/>
      <c r="NTN27" s="911"/>
      <c r="NTO27" s="911"/>
      <c r="NTP27" s="915"/>
      <c r="NTQ27" s="914"/>
      <c r="NTR27" s="914"/>
      <c r="NTS27" s="914"/>
      <c r="NTT27" s="914"/>
      <c r="NTU27" s="914"/>
      <c r="NTV27" s="914"/>
      <c r="NTW27" s="914"/>
      <c r="NTX27" s="911"/>
      <c r="NTY27" s="911"/>
      <c r="NTZ27" s="911"/>
      <c r="NUA27" s="915"/>
      <c r="NUB27" s="914"/>
      <c r="NUC27" s="914"/>
      <c r="NUD27" s="914"/>
      <c r="NUE27" s="914"/>
      <c r="NUF27" s="914"/>
      <c r="NUG27" s="914"/>
      <c r="NUH27" s="914"/>
      <c r="NUI27" s="911"/>
      <c r="NUJ27" s="911"/>
      <c r="NUK27" s="911"/>
      <c r="NUL27" s="915"/>
      <c r="NUM27" s="914"/>
      <c r="NUN27" s="914"/>
      <c r="NUO27" s="914"/>
      <c r="NUP27" s="914"/>
      <c r="NUQ27" s="914"/>
      <c r="NUR27" s="914"/>
      <c r="NUS27" s="914"/>
      <c r="NUT27" s="911"/>
      <c r="NUU27" s="911"/>
      <c r="NUV27" s="911"/>
      <c r="NUW27" s="915"/>
      <c r="NUX27" s="914"/>
      <c r="NUY27" s="914"/>
      <c r="NUZ27" s="914"/>
      <c r="NVA27" s="914"/>
      <c r="NVB27" s="914"/>
      <c r="NVC27" s="914"/>
      <c r="NVD27" s="914"/>
      <c r="NVE27" s="911"/>
      <c r="NVF27" s="911"/>
      <c r="NVG27" s="911"/>
      <c r="NVH27" s="915"/>
      <c r="NVI27" s="914"/>
      <c r="NVJ27" s="914"/>
      <c r="NVK27" s="914"/>
      <c r="NVL27" s="914"/>
      <c r="NVM27" s="914"/>
      <c r="NVN27" s="914"/>
      <c r="NVO27" s="914"/>
      <c r="NVP27" s="911"/>
      <c r="NVQ27" s="911"/>
      <c r="NVR27" s="911"/>
      <c r="NVS27" s="915"/>
      <c r="NVT27" s="914"/>
      <c r="NVU27" s="914"/>
      <c r="NVV27" s="914"/>
      <c r="NVW27" s="914"/>
      <c r="NVX27" s="914"/>
      <c r="NVY27" s="914"/>
      <c r="NVZ27" s="914"/>
      <c r="NWA27" s="911"/>
      <c r="NWB27" s="911"/>
      <c r="NWC27" s="911"/>
      <c r="NWD27" s="915"/>
      <c r="NWE27" s="914"/>
      <c r="NWF27" s="914"/>
      <c r="NWG27" s="914"/>
      <c r="NWH27" s="914"/>
      <c r="NWI27" s="914"/>
      <c r="NWJ27" s="914"/>
      <c r="NWK27" s="914"/>
      <c r="NWL27" s="911"/>
      <c r="NWM27" s="911"/>
      <c r="NWN27" s="911"/>
      <c r="NWO27" s="915"/>
      <c r="NWP27" s="914"/>
      <c r="NWQ27" s="914"/>
      <c r="NWR27" s="914"/>
      <c r="NWS27" s="914"/>
      <c r="NWT27" s="914"/>
      <c r="NWU27" s="914"/>
      <c r="NWV27" s="914"/>
      <c r="NWW27" s="911"/>
      <c r="NWX27" s="911"/>
      <c r="NWY27" s="911"/>
      <c r="NWZ27" s="915"/>
      <c r="NXA27" s="914"/>
      <c r="NXB27" s="914"/>
      <c r="NXC27" s="914"/>
      <c r="NXD27" s="914"/>
      <c r="NXE27" s="914"/>
      <c r="NXF27" s="914"/>
      <c r="NXG27" s="914"/>
      <c r="NXH27" s="911"/>
      <c r="NXI27" s="911"/>
      <c r="NXJ27" s="911"/>
      <c r="NXK27" s="915"/>
      <c r="NXL27" s="914"/>
      <c r="NXM27" s="914"/>
      <c r="NXN27" s="914"/>
      <c r="NXO27" s="914"/>
      <c r="NXP27" s="914"/>
      <c r="NXQ27" s="914"/>
      <c r="NXR27" s="914"/>
      <c r="NXS27" s="911"/>
      <c r="NXT27" s="911"/>
      <c r="NXU27" s="911"/>
      <c r="NXV27" s="915"/>
      <c r="NXW27" s="914"/>
      <c r="NXX27" s="914"/>
      <c r="NXY27" s="914"/>
      <c r="NXZ27" s="914"/>
      <c r="NYA27" s="914"/>
      <c r="NYB27" s="914"/>
      <c r="NYC27" s="914"/>
      <c r="NYD27" s="911"/>
      <c r="NYE27" s="911"/>
      <c r="NYF27" s="911"/>
      <c r="NYG27" s="915"/>
      <c r="NYH27" s="914"/>
      <c r="NYI27" s="914"/>
      <c r="NYJ27" s="914"/>
      <c r="NYK27" s="914"/>
      <c r="NYL27" s="914"/>
      <c r="NYM27" s="914"/>
      <c r="NYN27" s="914"/>
      <c r="NYO27" s="911"/>
      <c r="NYP27" s="911"/>
      <c r="NYQ27" s="911"/>
      <c r="NYR27" s="915"/>
      <c r="NYS27" s="914"/>
      <c r="NYT27" s="914"/>
      <c r="NYU27" s="914"/>
      <c r="NYV27" s="914"/>
      <c r="NYW27" s="914"/>
      <c r="NYX27" s="914"/>
      <c r="NYY27" s="914"/>
      <c r="NYZ27" s="911"/>
      <c r="NZA27" s="911"/>
      <c r="NZB27" s="911"/>
      <c r="NZC27" s="915"/>
      <c r="NZD27" s="914"/>
      <c r="NZE27" s="914"/>
      <c r="NZF27" s="914"/>
      <c r="NZG27" s="914"/>
      <c r="NZH27" s="914"/>
      <c r="NZI27" s="914"/>
      <c r="NZJ27" s="914"/>
      <c r="NZK27" s="911"/>
      <c r="NZL27" s="911"/>
      <c r="NZM27" s="911"/>
      <c r="NZN27" s="915"/>
      <c r="NZO27" s="914"/>
      <c r="NZP27" s="914"/>
      <c r="NZQ27" s="914"/>
      <c r="NZR27" s="914"/>
      <c r="NZS27" s="914"/>
      <c r="NZT27" s="914"/>
      <c r="NZU27" s="914"/>
      <c r="NZV27" s="911"/>
      <c r="NZW27" s="911"/>
      <c r="NZX27" s="911"/>
      <c r="NZY27" s="915"/>
      <c r="NZZ27" s="914"/>
      <c r="OAA27" s="914"/>
      <c r="OAB27" s="914"/>
      <c r="OAC27" s="914"/>
      <c r="OAD27" s="914"/>
      <c r="OAE27" s="914"/>
      <c r="OAF27" s="914"/>
      <c r="OAG27" s="911"/>
      <c r="OAH27" s="911"/>
      <c r="OAI27" s="911"/>
      <c r="OAJ27" s="915"/>
      <c r="OAK27" s="914"/>
      <c r="OAL27" s="914"/>
      <c r="OAM27" s="914"/>
      <c r="OAN27" s="914"/>
      <c r="OAO27" s="914"/>
      <c r="OAP27" s="914"/>
      <c r="OAQ27" s="914"/>
      <c r="OAR27" s="911"/>
      <c r="OAS27" s="911"/>
      <c r="OAT27" s="911"/>
      <c r="OAU27" s="915"/>
      <c r="OAV27" s="914"/>
      <c r="OAW27" s="914"/>
      <c r="OAX27" s="914"/>
      <c r="OAY27" s="914"/>
      <c r="OAZ27" s="914"/>
      <c r="OBA27" s="914"/>
      <c r="OBB27" s="914"/>
      <c r="OBC27" s="911"/>
      <c r="OBD27" s="911"/>
      <c r="OBE27" s="911"/>
      <c r="OBF27" s="915"/>
      <c r="OBG27" s="914"/>
      <c r="OBH27" s="914"/>
      <c r="OBI27" s="914"/>
      <c r="OBJ27" s="914"/>
      <c r="OBK27" s="914"/>
      <c r="OBL27" s="914"/>
      <c r="OBM27" s="914"/>
      <c r="OBN27" s="911"/>
      <c r="OBO27" s="911"/>
      <c r="OBP27" s="911"/>
      <c r="OBQ27" s="915"/>
      <c r="OBR27" s="914"/>
      <c r="OBS27" s="914"/>
      <c r="OBT27" s="914"/>
      <c r="OBU27" s="914"/>
      <c r="OBV27" s="914"/>
      <c r="OBW27" s="914"/>
      <c r="OBX27" s="914"/>
      <c r="OBY27" s="911"/>
      <c r="OBZ27" s="911"/>
      <c r="OCA27" s="911"/>
      <c r="OCB27" s="915"/>
      <c r="OCC27" s="914"/>
      <c r="OCD27" s="914"/>
      <c r="OCE27" s="914"/>
      <c r="OCF27" s="914"/>
      <c r="OCG27" s="914"/>
      <c r="OCH27" s="914"/>
      <c r="OCI27" s="914"/>
      <c r="OCJ27" s="911"/>
      <c r="OCK27" s="911"/>
      <c r="OCL27" s="911"/>
      <c r="OCM27" s="915"/>
      <c r="OCN27" s="914"/>
      <c r="OCO27" s="914"/>
      <c r="OCP27" s="914"/>
      <c r="OCQ27" s="914"/>
      <c r="OCR27" s="914"/>
      <c r="OCS27" s="914"/>
      <c r="OCT27" s="914"/>
      <c r="OCU27" s="911"/>
      <c r="OCV27" s="911"/>
      <c r="OCW27" s="911"/>
      <c r="OCX27" s="915"/>
      <c r="OCY27" s="914"/>
      <c r="OCZ27" s="914"/>
      <c r="ODA27" s="914"/>
      <c r="ODB27" s="914"/>
      <c r="ODC27" s="914"/>
      <c r="ODD27" s="914"/>
      <c r="ODE27" s="914"/>
      <c r="ODF27" s="911"/>
      <c r="ODG27" s="911"/>
      <c r="ODH27" s="911"/>
      <c r="ODI27" s="915"/>
      <c r="ODJ27" s="914"/>
      <c r="ODK27" s="914"/>
      <c r="ODL27" s="914"/>
      <c r="ODM27" s="914"/>
      <c r="ODN27" s="914"/>
      <c r="ODO27" s="914"/>
      <c r="ODP27" s="914"/>
      <c r="ODQ27" s="911"/>
      <c r="ODR27" s="911"/>
      <c r="ODS27" s="911"/>
      <c r="ODT27" s="915"/>
      <c r="ODU27" s="914"/>
      <c r="ODV27" s="914"/>
      <c r="ODW27" s="914"/>
      <c r="ODX27" s="914"/>
      <c r="ODY27" s="914"/>
      <c r="ODZ27" s="914"/>
      <c r="OEA27" s="914"/>
      <c r="OEB27" s="911"/>
      <c r="OEC27" s="911"/>
      <c r="OED27" s="911"/>
      <c r="OEE27" s="915"/>
      <c r="OEF27" s="914"/>
      <c r="OEG27" s="914"/>
      <c r="OEH27" s="914"/>
      <c r="OEI27" s="914"/>
      <c r="OEJ27" s="914"/>
      <c r="OEK27" s="914"/>
      <c r="OEL27" s="914"/>
      <c r="OEM27" s="911"/>
      <c r="OEN27" s="911"/>
      <c r="OEO27" s="911"/>
      <c r="OEP27" s="915"/>
      <c r="OEQ27" s="914"/>
      <c r="OER27" s="914"/>
      <c r="OES27" s="914"/>
      <c r="OET27" s="914"/>
      <c r="OEU27" s="914"/>
      <c r="OEV27" s="914"/>
      <c r="OEW27" s="914"/>
      <c r="OEX27" s="911"/>
      <c r="OEY27" s="911"/>
      <c r="OEZ27" s="911"/>
      <c r="OFA27" s="915"/>
      <c r="OFB27" s="914"/>
      <c r="OFC27" s="914"/>
      <c r="OFD27" s="914"/>
      <c r="OFE27" s="914"/>
      <c r="OFF27" s="914"/>
      <c r="OFG27" s="914"/>
      <c r="OFH27" s="914"/>
      <c r="OFI27" s="911"/>
      <c r="OFJ27" s="911"/>
      <c r="OFK27" s="911"/>
      <c r="OFL27" s="915"/>
      <c r="OFM27" s="914"/>
      <c r="OFN27" s="914"/>
      <c r="OFO27" s="914"/>
      <c r="OFP27" s="914"/>
      <c r="OFQ27" s="914"/>
      <c r="OFR27" s="914"/>
      <c r="OFS27" s="914"/>
      <c r="OFT27" s="911"/>
      <c r="OFU27" s="911"/>
      <c r="OFV27" s="911"/>
      <c r="OFW27" s="915"/>
      <c r="OFX27" s="914"/>
      <c r="OFY27" s="914"/>
      <c r="OFZ27" s="914"/>
      <c r="OGA27" s="914"/>
      <c r="OGB27" s="914"/>
      <c r="OGC27" s="914"/>
      <c r="OGD27" s="914"/>
      <c r="OGE27" s="911"/>
      <c r="OGF27" s="911"/>
      <c r="OGG27" s="911"/>
      <c r="OGH27" s="915"/>
      <c r="OGI27" s="914"/>
      <c r="OGJ27" s="914"/>
      <c r="OGK27" s="914"/>
      <c r="OGL27" s="914"/>
      <c r="OGM27" s="914"/>
      <c r="OGN27" s="914"/>
      <c r="OGO27" s="914"/>
      <c r="OGP27" s="911"/>
      <c r="OGQ27" s="911"/>
      <c r="OGR27" s="911"/>
      <c r="OGS27" s="915"/>
      <c r="OGT27" s="914"/>
      <c r="OGU27" s="914"/>
      <c r="OGV27" s="914"/>
      <c r="OGW27" s="914"/>
      <c r="OGX27" s="914"/>
      <c r="OGY27" s="914"/>
      <c r="OGZ27" s="914"/>
      <c r="OHA27" s="911"/>
      <c r="OHB27" s="911"/>
      <c r="OHC27" s="911"/>
      <c r="OHD27" s="915"/>
      <c r="OHE27" s="914"/>
      <c r="OHF27" s="914"/>
      <c r="OHG27" s="914"/>
      <c r="OHH27" s="914"/>
      <c r="OHI27" s="914"/>
      <c r="OHJ27" s="914"/>
      <c r="OHK27" s="914"/>
      <c r="OHL27" s="911"/>
      <c r="OHM27" s="911"/>
      <c r="OHN27" s="911"/>
      <c r="OHO27" s="915"/>
      <c r="OHP27" s="914"/>
      <c r="OHQ27" s="914"/>
      <c r="OHR27" s="914"/>
      <c r="OHS27" s="914"/>
      <c r="OHT27" s="914"/>
      <c r="OHU27" s="914"/>
      <c r="OHV27" s="914"/>
      <c r="OHW27" s="911"/>
      <c r="OHX27" s="911"/>
      <c r="OHY27" s="911"/>
      <c r="OHZ27" s="915"/>
      <c r="OIA27" s="914"/>
      <c r="OIB27" s="914"/>
      <c r="OIC27" s="914"/>
      <c r="OID27" s="914"/>
      <c r="OIE27" s="914"/>
      <c r="OIF27" s="914"/>
      <c r="OIG27" s="914"/>
      <c r="OIH27" s="911"/>
      <c r="OII27" s="911"/>
      <c r="OIJ27" s="911"/>
      <c r="OIK27" s="915"/>
      <c r="OIL27" s="914"/>
      <c r="OIM27" s="914"/>
      <c r="OIN27" s="914"/>
      <c r="OIO27" s="914"/>
      <c r="OIP27" s="914"/>
      <c r="OIQ27" s="914"/>
      <c r="OIR27" s="914"/>
      <c r="OIS27" s="911"/>
      <c r="OIT27" s="911"/>
      <c r="OIU27" s="911"/>
      <c r="OIV27" s="915"/>
      <c r="OIW27" s="914"/>
      <c r="OIX27" s="914"/>
      <c r="OIY27" s="914"/>
      <c r="OIZ27" s="914"/>
      <c r="OJA27" s="914"/>
      <c r="OJB27" s="914"/>
      <c r="OJC27" s="914"/>
      <c r="OJD27" s="911"/>
      <c r="OJE27" s="911"/>
      <c r="OJF27" s="911"/>
      <c r="OJG27" s="915"/>
      <c r="OJH27" s="914"/>
      <c r="OJI27" s="914"/>
      <c r="OJJ27" s="914"/>
      <c r="OJK27" s="914"/>
      <c r="OJL27" s="914"/>
      <c r="OJM27" s="914"/>
      <c r="OJN27" s="914"/>
      <c r="OJO27" s="911"/>
      <c r="OJP27" s="911"/>
      <c r="OJQ27" s="911"/>
      <c r="OJR27" s="915"/>
      <c r="OJS27" s="914"/>
      <c r="OJT27" s="914"/>
      <c r="OJU27" s="914"/>
      <c r="OJV27" s="914"/>
      <c r="OJW27" s="914"/>
      <c r="OJX27" s="914"/>
      <c r="OJY27" s="914"/>
      <c r="OJZ27" s="911"/>
      <c r="OKA27" s="911"/>
      <c r="OKB27" s="911"/>
      <c r="OKC27" s="915"/>
      <c r="OKD27" s="914"/>
      <c r="OKE27" s="914"/>
      <c r="OKF27" s="914"/>
      <c r="OKG27" s="914"/>
      <c r="OKH27" s="914"/>
      <c r="OKI27" s="914"/>
      <c r="OKJ27" s="914"/>
      <c r="OKK27" s="911"/>
      <c r="OKL27" s="911"/>
      <c r="OKM27" s="911"/>
      <c r="OKN27" s="915"/>
      <c r="OKO27" s="914"/>
      <c r="OKP27" s="914"/>
      <c r="OKQ27" s="914"/>
      <c r="OKR27" s="914"/>
      <c r="OKS27" s="914"/>
      <c r="OKT27" s="914"/>
      <c r="OKU27" s="914"/>
      <c r="OKV27" s="911"/>
      <c r="OKW27" s="911"/>
      <c r="OKX27" s="911"/>
      <c r="OKY27" s="915"/>
      <c r="OKZ27" s="914"/>
      <c r="OLA27" s="914"/>
      <c r="OLB27" s="914"/>
      <c r="OLC27" s="914"/>
      <c r="OLD27" s="914"/>
      <c r="OLE27" s="914"/>
      <c r="OLF27" s="914"/>
      <c r="OLG27" s="911"/>
      <c r="OLH27" s="911"/>
      <c r="OLI27" s="911"/>
      <c r="OLJ27" s="915"/>
      <c r="OLK27" s="914"/>
      <c r="OLL27" s="914"/>
      <c r="OLM27" s="914"/>
      <c r="OLN27" s="914"/>
      <c r="OLO27" s="914"/>
      <c r="OLP27" s="914"/>
      <c r="OLQ27" s="914"/>
      <c r="OLR27" s="911"/>
      <c r="OLS27" s="911"/>
      <c r="OLT27" s="911"/>
      <c r="OLU27" s="915"/>
      <c r="OLV27" s="914"/>
      <c r="OLW27" s="914"/>
      <c r="OLX27" s="914"/>
      <c r="OLY27" s="914"/>
      <c r="OLZ27" s="914"/>
      <c r="OMA27" s="914"/>
      <c r="OMB27" s="914"/>
      <c r="OMC27" s="911"/>
      <c r="OMD27" s="911"/>
      <c r="OME27" s="911"/>
      <c r="OMF27" s="915"/>
      <c r="OMG27" s="914"/>
      <c r="OMH27" s="914"/>
      <c r="OMI27" s="914"/>
      <c r="OMJ27" s="914"/>
      <c r="OMK27" s="914"/>
      <c r="OML27" s="914"/>
      <c r="OMM27" s="914"/>
      <c r="OMN27" s="911"/>
      <c r="OMO27" s="911"/>
      <c r="OMP27" s="911"/>
      <c r="OMQ27" s="915"/>
      <c r="OMR27" s="914"/>
      <c r="OMS27" s="914"/>
      <c r="OMT27" s="914"/>
      <c r="OMU27" s="914"/>
      <c r="OMV27" s="914"/>
      <c r="OMW27" s="914"/>
      <c r="OMX27" s="914"/>
      <c r="OMY27" s="911"/>
      <c r="OMZ27" s="911"/>
      <c r="ONA27" s="911"/>
      <c r="ONB27" s="915"/>
      <c r="ONC27" s="914"/>
      <c r="OND27" s="914"/>
      <c r="ONE27" s="914"/>
      <c r="ONF27" s="914"/>
      <c r="ONG27" s="914"/>
      <c r="ONH27" s="914"/>
      <c r="ONI27" s="914"/>
      <c r="ONJ27" s="911"/>
      <c r="ONK27" s="911"/>
      <c r="ONL27" s="911"/>
      <c r="ONM27" s="915"/>
      <c r="ONN27" s="914"/>
      <c r="ONO27" s="914"/>
      <c r="ONP27" s="914"/>
      <c r="ONQ27" s="914"/>
      <c r="ONR27" s="914"/>
      <c r="ONS27" s="914"/>
      <c r="ONT27" s="914"/>
      <c r="ONU27" s="911"/>
      <c r="ONV27" s="911"/>
      <c r="ONW27" s="911"/>
      <c r="ONX27" s="915"/>
      <c r="ONY27" s="914"/>
      <c r="ONZ27" s="914"/>
      <c r="OOA27" s="914"/>
      <c r="OOB27" s="914"/>
      <c r="OOC27" s="914"/>
      <c r="OOD27" s="914"/>
      <c r="OOE27" s="914"/>
      <c r="OOF27" s="911"/>
      <c r="OOG27" s="911"/>
      <c r="OOH27" s="911"/>
      <c r="OOI27" s="915"/>
      <c r="OOJ27" s="914"/>
      <c r="OOK27" s="914"/>
      <c r="OOL27" s="914"/>
      <c r="OOM27" s="914"/>
      <c r="OON27" s="914"/>
      <c r="OOO27" s="914"/>
      <c r="OOP27" s="914"/>
      <c r="OOQ27" s="911"/>
      <c r="OOR27" s="911"/>
      <c r="OOS27" s="911"/>
      <c r="OOT27" s="915"/>
      <c r="OOU27" s="914"/>
      <c r="OOV27" s="914"/>
      <c r="OOW27" s="914"/>
      <c r="OOX27" s="914"/>
      <c r="OOY27" s="914"/>
      <c r="OOZ27" s="914"/>
      <c r="OPA27" s="914"/>
      <c r="OPB27" s="911"/>
      <c r="OPC27" s="911"/>
      <c r="OPD27" s="911"/>
      <c r="OPE27" s="915"/>
      <c r="OPF27" s="914"/>
      <c r="OPG27" s="914"/>
      <c r="OPH27" s="914"/>
      <c r="OPI27" s="914"/>
      <c r="OPJ27" s="914"/>
      <c r="OPK27" s="914"/>
      <c r="OPL27" s="914"/>
      <c r="OPM27" s="911"/>
      <c r="OPN27" s="911"/>
      <c r="OPO27" s="911"/>
      <c r="OPP27" s="915"/>
      <c r="OPQ27" s="914"/>
      <c r="OPR27" s="914"/>
      <c r="OPS27" s="914"/>
      <c r="OPT27" s="914"/>
      <c r="OPU27" s="914"/>
      <c r="OPV27" s="914"/>
      <c r="OPW27" s="914"/>
      <c r="OPX27" s="911"/>
      <c r="OPY27" s="911"/>
      <c r="OPZ27" s="911"/>
      <c r="OQA27" s="915"/>
      <c r="OQB27" s="914"/>
      <c r="OQC27" s="914"/>
      <c r="OQD27" s="914"/>
      <c r="OQE27" s="914"/>
      <c r="OQF27" s="914"/>
      <c r="OQG27" s="914"/>
      <c r="OQH27" s="914"/>
      <c r="OQI27" s="911"/>
      <c r="OQJ27" s="911"/>
      <c r="OQK27" s="911"/>
      <c r="OQL27" s="915"/>
      <c r="OQM27" s="914"/>
      <c r="OQN27" s="914"/>
      <c r="OQO27" s="914"/>
      <c r="OQP27" s="914"/>
      <c r="OQQ27" s="914"/>
      <c r="OQR27" s="914"/>
      <c r="OQS27" s="914"/>
      <c r="OQT27" s="911"/>
      <c r="OQU27" s="911"/>
      <c r="OQV27" s="911"/>
      <c r="OQW27" s="915"/>
      <c r="OQX27" s="914"/>
      <c r="OQY27" s="914"/>
      <c r="OQZ27" s="914"/>
      <c r="ORA27" s="914"/>
      <c r="ORB27" s="914"/>
      <c r="ORC27" s="914"/>
      <c r="ORD27" s="914"/>
      <c r="ORE27" s="911"/>
      <c r="ORF27" s="911"/>
      <c r="ORG27" s="911"/>
      <c r="ORH27" s="915"/>
      <c r="ORI27" s="914"/>
      <c r="ORJ27" s="914"/>
      <c r="ORK27" s="914"/>
      <c r="ORL27" s="914"/>
      <c r="ORM27" s="914"/>
      <c r="ORN27" s="914"/>
      <c r="ORO27" s="914"/>
      <c r="ORP27" s="911"/>
      <c r="ORQ27" s="911"/>
      <c r="ORR27" s="911"/>
      <c r="ORS27" s="915"/>
      <c r="ORT27" s="914"/>
      <c r="ORU27" s="914"/>
      <c r="ORV27" s="914"/>
      <c r="ORW27" s="914"/>
      <c r="ORX27" s="914"/>
      <c r="ORY27" s="914"/>
      <c r="ORZ27" s="914"/>
      <c r="OSA27" s="911"/>
      <c r="OSB27" s="911"/>
      <c r="OSC27" s="911"/>
      <c r="OSD27" s="915"/>
      <c r="OSE27" s="914"/>
      <c r="OSF27" s="914"/>
      <c r="OSG27" s="914"/>
      <c r="OSH27" s="914"/>
      <c r="OSI27" s="914"/>
      <c r="OSJ27" s="914"/>
      <c r="OSK27" s="914"/>
      <c r="OSL27" s="911"/>
      <c r="OSM27" s="911"/>
      <c r="OSN27" s="911"/>
      <c r="OSO27" s="915"/>
      <c r="OSP27" s="914"/>
      <c r="OSQ27" s="914"/>
      <c r="OSR27" s="914"/>
      <c r="OSS27" s="914"/>
      <c r="OST27" s="914"/>
      <c r="OSU27" s="914"/>
      <c r="OSV27" s="914"/>
      <c r="OSW27" s="911"/>
      <c r="OSX27" s="911"/>
      <c r="OSY27" s="911"/>
      <c r="OSZ27" s="915"/>
      <c r="OTA27" s="914"/>
      <c r="OTB27" s="914"/>
      <c r="OTC27" s="914"/>
      <c r="OTD27" s="914"/>
      <c r="OTE27" s="914"/>
      <c r="OTF27" s="914"/>
      <c r="OTG27" s="914"/>
      <c r="OTH27" s="911"/>
      <c r="OTI27" s="911"/>
      <c r="OTJ27" s="911"/>
      <c r="OTK27" s="915"/>
      <c r="OTL27" s="914"/>
      <c r="OTM27" s="914"/>
      <c r="OTN27" s="914"/>
      <c r="OTO27" s="914"/>
      <c r="OTP27" s="914"/>
      <c r="OTQ27" s="914"/>
      <c r="OTR27" s="914"/>
      <c r="OTS27" s="911"/>
      <c r="OTT27" s="911"/>
      <c r="OTU27" s="911"/>
      <c r="OTV27" s="915"/>
      <c r="OTW27" s="914"/>
      <c r="OTX27" s="914"/>
      <c r="OTY27" s="914"/>
      <c r="OTZ27" s="914"/>
      <c r="OUA27" s="914"/>
      <c r="OUB27" s="914"/>
      <c r="OUC27" s="914"/>
      <c r="OUD27" s="911"/>
      <c r="OUE27" s="911"/>
      <c r="OUF27" s="911"/>
      <c r="OUG27" s="915"/>
      <c r="OUH27" s="914"/>
      <c r="OUI27" s="914"/>
      <c r="OUJ27" s="914"/>
      <c r="OUK27" s="914"/>
      <c r="OUL27" s="914"/>
      <c r="OUM27" s="914"/>
      <c r="OUN27" s="914"/>
      <c r="OUO27" s="911"/>
      <c r="OUP27" s="911"/>
      <c r="OUQ27" s="911"/>
      <c r="OUR27" s="915"/>
      <c r="OUS27" s="914"/>
      <c r="OUT27" s="914"/>
      <c r="OUU27" s="914"/>
      <c r="OUV27" s="914"/>
      <c r="OUW27" s="914"/>
      <c r="OUX27" s="914"/>
      <c r="OUY27" s="914"/>
      <c r="OUZ27" s="911"/>
      <c r="OVA27" s="911"/>
      <c r="OVB27" s="911"/>
      <c r="OVC27" s="915"/>
      <c r="OVD27" s="914"/>
      <c r="OVE27" s="914"/>
      <c r="OVF27" s="914"/>
      <c r="OVG27" s="914"/>
      <c r="OVH27" s="914"/>
      <c r="OVI27" s="914"/>
      <c r="OVJ27" s="914"/>
      <c r="OVK27" s="911"/>
      <c r="OVL27" s="911"/>
      <c r="OVM27" s="911"/>
      <c r="OVN27" s="915"/>
      <c r="OVO27" s="914"/>
      <c r="OVP27" s="914"/>
      <c r="OVQ27" s="914"/>
      <c r="OVR27" s="914"/>
      <c r="OVS27" s="914"/>
      <c r="OVT27" s="914"/>
      <c r="OVU27" s="914"/>
      <c r="OVV27" s="911"/>
      <c r="OVW27" s="911"/>
      <c r="OVX27" s="911"/>
      <c r="OVY27" s="915"/>
      <c r="OVZ27" s="914"/>
      <c r="OWA27" s="914"/>
      <c r="OWB27" s="914"/>
      <c r="OWC27" s="914"/>
      <c r="OWD27" s="914"/>
      <c r="OWE27" s="914"/>
      <c r="OWF27" s="914"/>
      <c r="OWG27" s="911"/>
      <c r="OWH27" s="911"/>
      <c r="OWI27" s="911"/>
      <c r="OWJ27" s="915"/>
      <c r="OWK27" s="914"/>
      <c r="OWL27" s="914"/>
      <c r="OWM27" s="914"/>
      <c r="OWN27" s="914"/>
      <c r="OWO27" s="914"/>
      <c r="OWP27" s="914"/>
      <c r="OWQ27" s="914"/>
      <c r="OWR27" s="911"/>
      <c r="OWS27" s="911"/>
      <c r="OWT27" s="911"/>
      <c r="OWU27" s="915"/>
      <c r="OWV27" s="914"/>
      <c r="OWW27" s="914"/>
      <c r="OWX27" s="914"/>
      <c r="OWY27" s="914"/>
      <c r="OWZ27" s="914"/>
      <c r="OXA27" s="914"/>
      <c r="OXB27" s="914"/>
      <c r="OXC27" s="911"/>
      <c r="OXD27" s="911"/>
      <c r="OXE27" s="911"/>
      <c r="OXF27" s="915"/>
      <c r="OXG27" s="914"/>
      <c r="OXH27" s="914"/>
      <c r="OXI27" s="914"/>
      <c r="OXJ27" s="914"/>
      <c r="OXK27" s="914"/>
      <c r="OXL27" s="914"/>
      <c r="OXM27" s="914"/>
      <c r="OXN27" s="911"/>
      <c r="OXO27" s="911"/>
      <c r="OXP27" s="911"/>
      <c r="OXQ27" s="915"/>
      <c r="OXR27" s="914"/>
      <c r="OXS27" s="914"/>
      <c r="OXT27" s="914"/>
      <c r="OXU27" s="914"/>
      <c r="OXV27" s="914"/>
      <c r="OXW27" s="914"/>
      <c r="OXX27" s="914"/>
      <c r="OXY27" s="911"/>
      <c r="OXZ27" s="911"/>
      <c r="OYA27" s="911"/>
      <c r="OYB27" s="915"/>
      <c r="OYC27" s="914"/>
      <c r="OYD27" s="914"/>
      <c r="OYE27" s="914"/>
      <c r="OYF27" s="914"/>
      <c r="OYG27" s="914"/>
      <c r="OYH27" s="914"/>
      <c r="OYI27" s="914"/>
      <c r="OYJ27" s="911"/>
      <c r="OYK27" s="911"/>
      <c r="OYL27" s="911"/>
      <c r="OYM27" s="915"/>
      <c r="OYN27" s="914"/>
      <c r="OYO27" s="914"/>
      <c r="OYP27" s="914"/>
      <c r="OYQ27" s="914"/>
      <c r="OYR27" s="914"/>
      <c r="OYS27" s="914"/>
      <c r="OYT27" s="914"/>
      <c r="OYU27" s="911"/>
      <c r="OYV27" s="911"/>
      <c r="OYW27" s="911"/>
      <c r="OYX27" s="915"/>
      <c r="OYY27" s="914"/>
      <c r="OYZ27" s="914"/>
      <c r="OZA27" s="914"/>
      <c r="OZB27" s="914"/>
      <c r="OZC27" s="914"/>
      <c r="OZD27" s="914"/>
      <c r="OZE27" s="914"/>
      <c r="OZF27" s="911"/>
      <c r="OZG27" s="911"/>
      <c r="OZH27" s="911"/>
      <c r="OZI27" s="915"/>
      <c r="OZJ27" s="914"/>
      <c r="OZK27" s="914"/>
      <c r="OZL27" s="914"/>
      <c r="OZM27" s="914"/>
      <c r="OZN27" s="914"/>
      <c r="OZO27" s="914"/>
      <c r="OZP27" s="914"/>
      <c r="OZQ27" s="911"/>
      <c r="OZR27" s="911"/>
      <c r="OZS27" s="911"/>
      <c r="OZT27" s="915"/>
      <c r="OZU27" s="914"/>
      <c r="OZV27" s="914"/>
      <c r="OZW27" s="914"/>
      <c r="OZX27" s="914"/>
      <c r="OZY27" s="914"/>
      <c r="OZZ27" s="914"/>
      <c r="PAA27" s="914"/>
      <c r="PAB27" s="911"/>
      <c r="PAC27" s="911"/>
      <c r="PAD27" s="911"/>
      <c r="PAE27" s="915"/>
      <c r="PAF27" s="914"/>
      <c r="PAG27" s="914"/>
      <c r="PAH27" s="914"/>
      <c r="PAI27" s="914"/>
      <c r="PAJ27" s="914"/>
      <c r="PAK27" s="914"/>
      <c r="PAL27" s="914"/>
      <c r="PAM27" s="911"/>
      <c r="PAN27" s="911"/>
      <c r="PAO27" s="911"/>
      <c r="PAP27" s="915"/>
      <c r="PAQ27" s="914"/>
      <c r="PAR27" s="914"/>
      <c r="PAS27" s="914"/>
      <c r="PAT27" s="914"/>
      <c r="PAU27" s="914"/>
      <c r="PAV27" s="914"/>
      <c r="PAW27" s="914"/>
      <c r="PAX27" s="911"/>
      <c r="PAY27" s="911"/>
      <c r="PAZ27" s="911"/>
      <c r="PBA27" s="915"/>
      <c r="PBB27" s="914"/>
      <c r="PBC27" s="914"/>
      <c r="PBD27" s="914"/>
      <c r="PBE27" s="914"/>
      <c r="PBF27" s="914"/>
      <c r="PBG27" s="914"/>
      <c r="PBH27" s="914"/>
      <c r="PBI27" s="911"/>
      <c r="PBJ27" s="911"/>
      <c r="PBK27" s="911"/>
      <c r="PBL27" s="915"/>
      <c r="PBM27" s="914"/>
      <c r="PBN27" s="914"/>
      <c r="PBO27" s="914"/>
      <c r="PBP27" s="914"/>
      <c r="PBQ27" s="914"/>
      <c r="PBR27" s="914"/>
      <c r="PBS27" s="914"/>
      <c r="PBT27" s="911"/>
      <c r="PBU27" s="911"/>
      <c r="PBV27" s="911"/>
      <c r="PBW27" s="915"/>
      <c r="PBX27" s="914"/>
      <c r="PBY27" s="914"/>
      <c r="PBZ27" s="914"/>
      <c r="PCA27" s="914"/>
      <c r="PCB27" s="914"/>
      <c r="PCC27" s="914"/>
      <c r="PCD27" s="914"/>
      <c r="PCE27" s="911"/>
      <c r="PCF27" s="911"/>
      <c r="PCG27" s="911"/>
      <c r="PCH27" s="915"/>
      <c r="PCI27" s="914"/>
      <c r="PCJ27" s="914"/>
      <c r="PCK27" s="914"/>
      <c r="PCL27" s="914"/>
      <c r="PCM27" s="914"/>
      <c r="PCN27" s="914"/>
      <c r="PCO27" s="914"/>
      <c r="PCP27" s="911"/>
      <c r="PCQ27" s="911"/>
      <c r="PCR27" s="911"/>
      <c r="PCS27" s="915"/>
      <c r="PCT27" s="914"/>
      <c r="PCU27" s="914"/>
      <c r="PCV27" s="914"/>
      <c r="PCW27" s="914"/>
      <c r="PCX27" s="914"/>
      <c r="PCY27" s="914"/>
      <c r="PCZ27" s="914"/>
      <c r="PDA27" s="911"/>
      <c r="PDB27" s="911"/>
      <c r="PDC27" s="911"/>
      <c r="PDD27" s="915"/>
      <c r="PDE27" s="914"/>
      <c r="PDF27" s="914"/>
      <c r="PDG27" s="914"/>
      <c r="PDH27" s="914"/>
      <c r="PDI27" s="914"/>
      <c r="PDJ27" s="914"/>
      <c r="PDK27" s="914"/>
      <c r="PDL27" s="911"/>
      <c r="PDM27" s="911"/>
      <c r="PDN27" s="911"/>
      <c r="PDO27" s="915"/>
      <c r="PDP27" s="914"/>
      <c r="PDQ27" s="914"/>
      <c r="PDR27" s="914"/>
      <c r="PDS27" s="914"/>
      <c r="PDT27" s="914"/>
      <c r="PDU27" s="914"/>
      <c r="PDV27" s="914"/>
      <c r="PDW27" s="911"/>
      <c r="PDX27" s="911"/>
      <c r="PDY27" s="911"/>
      <c r="PDZ27" s="915"/>
      <c r="PEA27" s="914"/>
      <c r="PEB27" s="914"/>
      <c r="PEC27" s="914"/>
      <c r="PED27" s="914"/>
      <c r="PEE27" s="914"/>
      <c r="PEF27" s="914"/>
      <c r="PEG27" s="914"/>
      <c r="PEH27" s="911"/>
      <c r="PEI27" s="911"/>
      <c r="PEJ27" s="911"/>
      <c r="PEK27" s="915"/>
      <c r="PEL27" s="914"/>
      <c r="PEM27" s="914"/>
      <c r="PEN27" s="914"/>
      <c r="PEO27" s="914"/>
      <c r="PEP27" s="914"/>
      <c r="PEQ27" s="914"/>
      <c r="PER27" s="914"/>
      <c r="PES27" s="911"/>
      <c r="PET27" s="911"/>
      <c r="PEU27" s="911"/>
      <c r="PEV27" s="915"/>
      <c r="PEW27" s="914"/>
      <c r="PEX27" s="914"/>
      <c r="PEY27" s="914"/>
      <c r="PEZ27" s="914"/>
      <c r="PFA27" s="914"/>
      <c r="PFB27" s="914"/>
      <c r="PFC27" s="914"/>
      <c r="PFD27" s="911"/>
      <c r="PFE27" s="911"/>
      <c r="PFF27" s="911"/>
      <c r="PFG27" s="915"/>
      <c r="PFH27" s="914"/>
      <c r="PFI27" s="914"/>
      <c r="PFJ27" s="914"/>
      <c r="PFK27" s="914"/>
      <c r="PFL27" s="914"/>
      <c r="PFM27" s="914"/>
      <c r="PFN27" s="914"/>
      <c r="PFO27" s="911"/>
      <c r="PFP27" s="911"/>
      <c r="PFQ27" s="911"/>
      <c r="PFR27" s="915"/>
      <c r="PFS27" s="914"/>
      <c r="PFT27" s="914"/>
      <c r="PFU27" s="914"/>
      <c r="PFV27" s="914"/>
      <c r="PFW27" s="914"/>
      <c r="PFX27" s="914"/>
      <c r="PFY27" s="914"/>
      <c r="PFZ27" s="911"/>
      <c r="PGA27" s="911"/>
      <c r="PGB27" s="911"/>
      <c r="PGC27" s="915"/>
      <c r="PGD27" s="914"/>
      <c r="PGE27" s="914"/>
      <c r="PGF27" s="914"/>
      <c r="PGG27" s="914"/>
      <c r="PGH27" s="914"/>
      <c r="PGI27" s="914"/>
      <c r="PGJ27" s="914"/>
      <c r="PGK27" s="911"/>
      <c r="PGL27" s="911"/>
      <c r="PGM27" s="911"/>
      <c r="PGN27" s="915"/>
      <c r="PGO27" s="914"/>
      <c r="PGP27" s="914"/>
      <c r="PGQ27" s="914"/>
      <c r="PGR27" s="914"/>
      <c r="PGS27" s="914"/>
      <c r="PGT27" s="914"/>
      <c r="PGU27" s="914"/>
      <c r="PGV27" s="911"/>
      <c r="PGW27" s="911"/>
      <c r="PGX27" s="911"/>
      <c r="PGY27" s="915"/>
      <c r="PGZ27" s="914"/>
      <c r="PHA27" s="914"/>
      <c r="PHB27" s="914"/>
      <c r="PHC27" s="914"/>
      <c r="PHD27" s="914"/>
      <c r="PHE27" s="914"/>
      <c r="PHF27" s="914"/>
      <c r="PHG27" s="911"/>
      <c r="PHH27" s="911"/>
      <c r="PHI27" s="911"/>
      <c r="PHJ27" s="915"/>
      <c r="PHK27" s="914"/>
      <c r="PHL27" s="914"/>
      <c r="PHM27" s="914"/>
      <c r="PHN27" s="914"/>
      <c r="PHO27" s="914"/>
      <c r="PHP27" s="914"/>
      <c r="PHQ27" s="914"/>
      <c r="PHR27" s="911"/>
      <c r="PHS27" s="911"/>
      <c r="PHT27" s="911"/>
      <c r="PHU27" s="915"/>
      <c r="PHV27" s="914"/>
      <c r="PHW27" s="914"/>
      <c r="PHX27" s="914"/>
      <c r="PHY27" s="914"/>
      <c r="PHZ27" s="914"/>
      <c r="PIA27" s="914"/>
      <c r="PIB27" s="914"/>
      <c r="PIC27" s="911"/>
      <c r="PID27" s="911"/>
      <c r="PIE27" s="911"/>
      <c r="PIF27" s="915"/>
      <c r="PIG27" s="914"/>
      <c r="PIH27" s="914"/>
      <c r="PII27" s="914"/>
      <c r="PIJ27" s="914"/>
      <c r="PIK27" s="914"/>
      <c r="PIL27" s="914"/>
      <c r="PIM27" s="914"/>
      <c r="PIN27" s="911"/>
      <c r="PIO27" s="911"/>
      <c r="PIP27" s="911"/>
      <c r="PIQ27" s="915"/>
      <c r="PIR27" s="914"/>
      <c r="PIS27" s="914"/>
      <c r="PIT27" s="914"/>
      <c r="PIU27" s="914"/>
      <c r="PIV27" s="914"/>
      <c r="PIW27" s="914"/>
      <c r="PIX27" s="914"/>
      <c r="PIY27" s="911"/>
      <c r="PIZ27" s="911"/>
      <c r="PJA27" s="911"/>
      <c r="PJB27" s="915"/>
      <c r="PJC27" s="914"/>
      <c r="PJD27" s="914"/>
      <c r="PJE27" s="914"/>
      <c r="PJF27" s="914"/>
      <c r="PJG27" s="914"/>
      <c r="PJH27" s="914"/>
      <c r="PJI27" s="914"/>
      <c r="PJJ27" s="911"/>
      <c r="PJK27" s="911"/>
      <c r="PJL27" s="911"/>
      <c r="PJM27" s="915"/>
      <c r="PJN27" s="914"/>
      <c r="PJO27" s="914"/>
      <c r="PJP27" s="914"/>
      <c r="PJQ27" s="914"/>
      <c r="PJR27" s="914"/>
      <c r="PJS27" s="914"/>
      <c r="PJT27" s="914"/>
      <c r="PJU27" s="911"/>
      <c r="PJV27" s="911"/>
      <c r="PJW27" s="911"/>
      <c r="PJX27" s="915"/>
      <c r="PJY27" s="914"/>
      <c r="PJZ27" s="914"/>
      <c r="PKA27" s="914"/>
      <c r="PKB27" s="914"/>
      <c r="PKC27" s="914"/>
      <c r="PKD27" s="914"/>
      <c r="PKE27" s="914"/>
      <c r="PKF27" s="911"/>
      <c r="PKG27" s="911"/>
      <c r="PKH27" s="911"/>
      <c r="PKI27" s="915"/>
      <c r="PKJ27" s="914"/>
      <c r="PKK27" s="914"/>
      <c r="PKL27" s="914"/>
      <c r="PKM27" s="914"/>
      <c r="PKN27" s="914"/>
      <c r="PKO27" s="914"/>
      <c r="PKP27" s="914"/>
      <c r="PKQ27" s="911"/>
      <c r="PKR27" s="911"/>
      <c r="PKS27" s="911"/>
      <c r="PKT27" s="915"/>
      <c r="PKU27" s="914"/>
      <c r="PKV27" s="914"/>
      <c r="PKW27" s="914"/>
      <c r="PKX27" s="914"/>
      <c r="PKY27" s="914"/>
      <c r="PKZ27" s="914"/>
      <c r="PLA27" s="914"/>
      <c r="PLB27" s="911"/>
      <c r="PLC27" s="911"/>
      <c r="PLD27" s="911"/>
      <c r="PLE27" s="915"/>
      <c r="PLF27" s="914"/>
      <c r="PLG27" s="914"/>
      <c r="PLH27" s="914"/>
      <c r="PLI27" s="914"/>
      <c r="PLJ27" s="914"/>
      <c r="PLK27" s="914"/>
      <c r="PLL27" s="914"/>
      <c r="PLM27" s="911"/>
      <c r="PLN27" s="911"/>
      <c r="PLO27" s="911"/>
      <c r="PLP27" s="915"/>
      <c r="PLQ27" s="914"/>
      <c r="PLR27" s="914"/>
      <c r="PLS27" s="914"/>
      <c r="PLT27" s="914"/>
      <c r="PLU27" s="914"/>
      <c r="PLV27" s="914"/>
      <c r="PLW27" s="914"/>
      <c r="PLX27" s="911"/>
      <c r="PLY27" s="911"/>
      <c r="PLZ27" s="911"/>
      <c r="PMA27" s="915"/>
      <c r="PMB27" s="914"/>
      <c r="PMC27" s="914"/>
      <c r="PMD27" s="914"/>
      <c r="PME27" s="914"/>
      <c r="PMF27" s="914"/>
      <c r="PMG27" s="914"/>
      <c r="PMH27" s="914"/>
      <c r="PMI27" s="911"/>
      <c r="PMJ27" s="911"/>
      <c r="PMK27" s="911"/>
      <c r="PML27" s="915"/>
      <c r="PMM27" s="914"/>
      <c r="PMN27" s="914"/>
      <c r="PMO27" s="914"/>
      <c r="PMP27" s="914"/>
      <c r="PMQ27" s="914"/>
      <c r="PMR27" s="914"/>
      <c r="PMS27" s="914"/>
      <c r="PMT27" s="911"/>
      <c r="PMU27" s="911"/>
      <c r="PMV27" s="911"/>
      <c r="PMW27" s="915"/>
      <c r="PMX27" s="914"/>
      <c r="PMY27" s="914"/>
      <c r="PMZ27" s="914"/>
      <c r="PNA27" s="914"/>
      <c r="PNB27" s="914"/>
      <c r="PNC27" s="914"/>
      <c r="PND27" s="914"/>
      <c r="PNE27" s="911"/>
      <c r="PNF27" s="911"/>
      <c r="PNG27" s="911"/>
      <c r="PNH27" s="915"/>
      <c r="PNI27" s="914"/>
      <c r="PNJ27" s="914"/>
      <c r="PNK27" s="914"/>
      <c r="PNL27" s="914"/>
      <c r="PNM27" s="914"/>
      <c r="PNN27" s="914"/>
      <c r="PNO27" s="914"/>
      <c r="PNP27" s="911"/>
      <c r="PNQ27" s="911"/>
      <c r="PNR27" s="911"/>
      <c r="PNS27" s="915"/>
      <c r="PNT27" s="914"/>
      <c r="PNU27" s="914"/>
      <c r="PNV27" s="914"/>
      <c r="PNW27" s="914"/>
      <c r="PNX27" s="914"/>
      <c r="PNY27" s="914"/>
      <c r="PNZ27" s="914"/>
      <c r="POA27" s="911"/>
      <c r="POB27" s="911"/>
      <c r="POC27" s="911"/>
      <c r="POD27" s="915"/>
      <c r="POE27" s="914"/>
      <c r="POF27" s="914"/>
      <c r="POG27" s="914"/>
      <c r="POH27" s="914"/>
      <c r="POI27" s="914"/>
      <c r="POJ27" s="914"/>
      <c r="POK27" s="914"/>
      <c r="POL27" s="911"/>
      <c r="POM27" s="911"/>
      <c r="PON27" s="911"/>
      <c r="POO27" s="915"/>
      <c r="POP27" s="914"/>
      <c r="POQ27" s="914"/>
      <c r="POR27" s="914"/>
      <c r="POS27" s="914"/>
      <c r="POT27" s="914"/>
      <c r="POU27" s="914"/>
      <c r="POV27" s="914"/>
      <c r="POW27" s="911"/>
      <c r="POX27" s="911"/>
      <c r="POY27" s="911"/>
      <c r="POZ27" s="915"/>
      <c r="PPA27" s="914"/>
      <c r="PPB27" s="914"/>
      <c r="PPC27" s="914"/>
      <c r="PPD27" s="914"/>
      <c r="PPE27" s="914"/>
      <c r="PPF27" s="914"/>
      <c r="PPG27" s="914"/>
      <c r="PPH27" s="911"/>
      <c r="PPI27" s="911"/>
      <c r="PPJ27" s="911"/>
      <c r="PPK27" s="915"/>
      <c r="PPL27" s="914"/>
      <c r="PPM27" s="914"/>
      <c r="PPN27" s="914"/>
      <c r="PPO27" s="914"/>
      <c r="PPP27" s="914"/>
      <c r="PPQ27" s="914"/>
      <c r="PPR27" s="914"/>
      <c r="PPS27" s="911"/>
      <c r="PPT27" s="911"/>
      <c r="PPU27" s="911"/>
      <c r="PPV27" s="915"/>
      <c r="PPW27" s="914"/>
      <c r="PPX27" s="914"/>
      <c r="PPY27" s="914"/>
      <c r="PPZ27" s="914"/>
      <c r="PQA27" s="914"/>
      <c r="PQB27" s="914"/>
      <c r="PQC27" s="914"/>
      <c r="PQD27" s="911"/>
      <c r="PQE27" s="911"/>
      <c r="PQF27" s="911"/>
      <c r="PQG27" s="915"/>
      <c r="PQH27" s="914"/>
      <c r="PQI27" s="914"/>
      <c r="PQJ27" s="914"/>
      <c r="PQK27" s="914"/>
      <c r="PQL27" s="914"/>
      <c r="PQM27" s="914"/>
      <c r="PQN27" s="914"/>
      <c r="PQO27" s="911"/>
      <c r="PQP27" s="911"/>
      <c r="PQQ27" s="911"/>
      <c r="PQR27" s="915"/>
      <c r="PQS27" s="914"/>
      <c r="PQT27" s="914"/>
      <c r="PQU27" s="914"/>
      <c r="PQV27" s="914"/>
      <c r="PQW27" s="914"/>
      <c r="PQX27" s="914"/>
      <c r="PQY27" s="914"/>
      <c r="PQZ27" s="911"/>
      <c r="PRA27" s="911"/>
      <c r="PRB27" s="911"/>
      <c r="PRC27" s="915"/>
      <c r="PRD27" s="914"/>
      <c r="PRE27" s="914"/>
      <c r="PRF27" s="914"/>
      <c r="PRG27" s="914"/>
      <c r="PRH27" s="914"/>
      <c r="PRI27" s="914"/>
      <c r="PRJ27" s="914"/>
      <c r="PRK27" s="911"/>
      <c r="PRL27" s="911"/>
      <c r="PRM27" s="911"/>
      <c r="PRN27" s="915"/>
      <c r="PRO27" s="914"/>
      <c r="PRP27" s="914"/>
      <c r="PRQ27" s="914"/>
      <c r="PRR27" s="914"/>
      <c r="PRS27" s="914"/>
      <c r="PRT27" s="914"/>
      <c r="PRU27" s="914"/>
      <c r="PRV27" s="911"/>
      <c r="PRW27" s="911"/>
      <c r="PRX27" s="911"/>
      <c r="PRY27" s="915"/>
      <c r="PRZ27" s="914"/>
      <c r="PSA27" s="914"/>
      <c r="PSB27" s="914"/>
      <c r="PSC27" s="914"/>
      <c r="PSD27" s="914"/>
      <c r="PSE27" s="914"/>
      <c r="PSF27" s="914"/>
      <c r="PSG27" s="911"/>
      <c r="PSH27" s="911"/>
      <c r="PSI27" s="911"/>
      <c r="PSJ27" s="915"/>
      <c r="PSK27" s="914"/>
      <c r="PSL27" s="914"/>
      <c r="PSM27" s="914"/>
      <c r="PSN27" s="914"/>
      <c r="PSO27" s="914"/>
      <c r="PSP27" s="914"/>
      <c r="PSQ27" s="914"/>
      <c r="PSR27" s="911"/>
      <c r="PSS27" s="911"/>
      <c r="PST27" s="911"/>
      <c r="PSU27" s="915"/>
      <c r="PSV27" s="914"/>
      <c r="PSW27" s="914"/>
      <c r="PSX27" s="914"/>
      <c r="PSY27" s="914"/>
      <c r="PSZ27" s="914"/>
      <c r="PTA27" s="914"/>
      <c r="PTB27" s="914"/>
      <c r="PTC27" s="911"/>
      <c r="PTD27" s="911"/>
      <c r="PTE27" s="911"/>
      <c r="PTF27" s="915"/>
      <c r="PTG27" s="914"/>
      <c r="PTH27" s="914"/>
      <c r="PTI27" s="914"/>
      <c r="PTJ27" s="914"/>
      <c r="PTK27" s="914"/>
      <c r="PTL27" s="914"/>
      <c r="PTM27" s="914"/>
      <c r="PTN27" s="911"/>
      <c r="PTO27" s="911"/>
      <c r="PTP27" s="911"/>
      <c r="PTQ27" s="915"/>
      <c r="PTR27" s="914"/>
      <c r="PTS27" s="914"/>
      <c r="PTT27" s="914"/>
      <c r="PTU27" s="914"/>
      <c r="PTV27" s="914"/>
      <c r="PTW27" s="914"/>
      <c r="PTX27" s="914"/>
      <c r="PTY27" s="911"/>
      <c r="PTZ27" s="911"/>
      <c r="PUA27" s="911"/>
      <c r="PUB27" s="915"/>
      <c r="PUC27" s="914"/>
      <c r="PUD27" s="914"/>
      <c r="PUE27" s="914"/>
      <c r="PUF27" s="914"/>
      <c r="PUG27" s="914"/>
      <c r="PUH27" s="914"/>
      <c r="PUI27" s="914"/>
      <c r="PUJ27" s="911"/>
      <c r="PUK27" s="911"/>
      <c r="PUL27" s="911"/>
      <c r="PUM27" s="915"/>
      <c r="PUN27" s="914"/>
      <c r="PUO27" s="914"/>
      <c r="PUP27" s="914"/>
      <c r="PUQ27" s="914"/>
      <c r="PUR27" s="914"/>
      <c r="PUS27" s="914"/>
      <c r="PUT27" s="914"/>
      <c r="PUU27" s="911"/>
      <c r="PUV27" s="911"/>
      <c r="PUW27" s="911"/>
      <c r="PUX27" s="915"/>
      <c r="PUY27" s="914"/>
      <c r="PUZ27" s="914"/>
      <c r="PVA27" s="914"/>
      <c r="PVB27" s="914"/>
      <c r="PVC27" s="914"/>
      <c r="PVD27" s="914"/>
      <c r="PVE27" s="914"/>
      <c r="PVF27" s="911"/>
      <c r="PVG27" s="911"/>
      <c r="PVH27" s="911"/>
      <c r="PVI27" s="915"/>
      <c r="PVJ27" s="914"/>
      <c r="PVK27" s="914"/>
      <c r="PVL27" s="914"/>
      <c r="PVM27" s="914"/>
      <c r="PVN27" s="914"/>
      <c r="PVO27" s="914"/>
      <c r="PVP27" s="914"/>
      <c r="PVQ27" s="911"/>
      <c r="PVR27" s="911"/>
      <c r="PVS27" s="911"/>
      <c r="PVT27" s="915"/>
      <c r="PVU27" s="914"/>
      <c r="PVV27" s="914"/>
      <c r="PVW27" s="914"/>
      <c r="PVX27" s="914"/>
      <c r="PVY27" s="914"/>
      <c r="PVZ27" s="914"/>
      <c r="PWA27" s="914"/>
      <c r="PWB27" s="911"/>
      <c r="PWC27" s="911"/>
      <c r="PWD27" s="911"/>
      <c r="PWE27" s="915"/>
      <c r="PWF27" s="914"/>
      <c r="PWG27" s="914"/>
      <c r="PWH27" s="914"/>
      <c r="PWI27" s="914"/>
      <c r="PWJ27" s="914"/>
      <c r="PWK27" s="914"/>
      <c r="PWL27" s="914"/>
      <c r="PWM27" s="911"/>
      <c r="PWN27" s="911"/>
      <c r="PWO27" s="911"/>
      <c r="PWP27" s="915"/>
      <c r="PWQ27" s="914"/>
      <c r="PWR27" s="914"/>
      <c r="PWS27" s="914"/>
      <c r="PWT27" s="914"/>
      <c r="PWU27" s="914"/>
      <c r="PWV27" s="914"/>
      <c r="PWW27" s="914"/>
      <c r="PWX27" s="911"/>
      <c r="PWY27" s="911"/>
      <c r="PWZ27" s="911"/>
      <c r="PXA27" s="915"/>
      <c r="PXB27" s="914"/>
      <c r="PXC27" s="914"/>
      <c r="PXD27" s="914"/>
      <c r="PXE27" s="914"/>
      <c r="PXF27" s="914"/>
      <c r="PXG27" s="914"/>
      <c r="PXH27" s="914"/>
      <c r="PXI27" s="911"/>
      <c r="PXJ27" s="911"/>
      <c r="PXK27" s="911"/>
      <c r="PXL27" s="915"/>
      <c r="PXM27" s="914"/>
      <c r="PXN27" s="914"/>
      <c r="PXO27" s="914"/>
      <c r="PXP27" s="914"/>
      <c r="PXQ27" s="914"/>
      <c r="PXR27" s="914"/>
      <c r="PXS27" s="914"/>
      <c r="PXT27" s="911"/>
      <c r="PXU27" s="911"/>
      <c r="PXV27" s="911"/>
      <c r="PXW27" s="915"/>
      <c r="PXX27" s="914"/>
      <c r="PXY27" s="914"/>
      <c r="PXZ27" s="914"/>
      <c r="PYA27" s="914"/>
      <c r="PYB27" s="914"/>
      <c r="PYC27" s="914"/>
      <c r="PYD27" s="914"/>
      <c r="PYE27" s="911"/>
      <c r="PYF27" s="911"/>
      <c r="PYG27" s="911"/>
      <c r="PYH27" s="915"/>
      <c r="PYI27" s="914"/>
      <c r="PYJ27" s="914"/>
      <c r="PYK27" s="914"/>
      <c r="PYL27" s="914"/>
      <c r="PYM27" s="914"/>
      <c r="PYN27" s="914"/>
      <c r="PYO27" s="914"/>
      <c r="PYP27" s="911"/>
      <c r="PYQ27" s="911"/>
      <c r="PYR27" s="911"/>
      <c r="PYS27" s="915"/>
      <c r="PYT27" s="914"/>
      <c r="PYU27" s="914"/>
      <c r="PYV27" s="914"/>
      <c r="PYW27" s="914"/>
      <c r="PYX27" s="914"/>
      <c r="PYY27" s="914"/>
      <c r="PYZ27" s="914"/>
      <c r="PZA27" s="911"/>
      <c r="PZB27" s="911"/>
      <c r="PZC27" s="911"/>
      <c r="PZD27" s="915"/>
      <c r="PZE27" s="914"/>
      <c r="PZF27" s="914"/>
      <c r="PZG27" s="914"/>
      <c r="PZH27" s="914"/>
      <c r="PZI27" s="914"/>
      <c r="PZJ27" s="914"/>
      <c r="PZK27" s="914"/>
      <c r="PZL27" s="911"/>
      <c r="PZM27" s="911"/>
      <c r="PZN27" s="911"/>
      <c r="PZO27" s="915"/>
      <c r="PZP27" s="914"/>
      <c r="PZQ27" s="914"/>
      <c r="PZR27" s="914"/>
      <c r="PZS27" s="914"/>
      <c r="PZT27" s="914"/>
      <c r="PZU27" s="914"/>
      <c r="PZV27" s="914"/>
      <c r="PZW27" s="911"/>
      <c r="PZX27" s="911"/>
      <c r="PZY27" s="911"/>
      <c r="PZZ27" s="915"/>
      <c r="QAA27" s="914"/>
      <c r="QAB27" s="914"/>
      <c r="QAC27" s="914"/>
      <c r="QAD27" s="914"/>
      <c r="QAE27" s="914"/>
      <c r="QAF27" s="914"/>
      <c r="QAG27" s="914"/>
      <c r="QAH27" s="911"/>
      <c r="QAI27" s="911"/>
      <c r="QAJ27" s="911"/>
      <c r="QAK27" s="915"/>
      <c r="QAL27" s="914"/>
      <c r="QAM27" s="914"/>
      <c r="QAN27" s="914"/>
      <c r="QAO27" s="914"/>
      <c r="QAP27" s="914"/>
      <c r="QAQ27" s="914"/>
      <c r="QAR27" s="914"/>
      <c r="QAS27" s="911"/>
      <c r="QAT27" s="911"/>
      <c r="QAU27" s="911"/>
      <c r="QAV27" s="915"/>
      <c r="QAW27" s="914"/>
      <c r="QAX27" s="914"/>
      <c r="QAY27" s="914"/>
      <c r="QAZ27" s="914"/>
      <c r="QBA27" s="914"/>
      <c r="QBB27" s="914"/>
      <c r="QBC27" s="914"/>
      <c r="QBD27" s="911"/>
      <c r="QBE27" s="911"/>
      <c r="QBF27" s="911"/>
      <c r="QBG27" s="915"/>
      <c r="QBH27" s="914"/>
      <c r="QBI27" s="914"/>
      <c r="QBJ27" s="914"/>
      <c r="QBK27" s="914"/>
      <c r="QBL27" s="914"/>
      <c r="QBM27" s="914"/>
      <c r="QBN27" s="914"/>
      <c r="QBO27" s="911"/>
      <c r="QBP27" s="911"/>
      <c r="QBQ27" s="911"/>
      <c r="QBR27" s="915"/>
      <c r="QBS27" s="914"/>
      <c r="QBT27" s="914"/>
      <c r="QBU27" s="914"/>
      <c r="QBV27" s="914"/>
      <c r="QBW27" s="914"/>
      <c r="QBX27" s="914"/>
      <c r="QBY27" s="914"/>
      <c r="QBZ27" s="911"/>
      <c r="QCA27" s="911"/>
      <c r="QCB27" s="911"/>
      <c r="QCC27" s="915"/>
      <c r="QCD27" s="914"/>
      <c r="QCE27" s="914"/>
      <c r="QCF27" s="914"/>
      <c r="QCG27" s="914"/>
      <c r="QCH27" s="914"/>
      <c r="QCI27" s="914"/>
      <c r="QCJ27" s="914"/>
      <c r="QCK27" s="911"/>
      <c r="QCL27" s="911"/>
      <c r="QCM27" s="911"/>
      <c r="QCN27" s="915"/>
      <c r="QCO27" s="914"/>
      <c r="QCP27" s="914"/>
      <c r="QCQ27" s="914"/>
      <c r="QCR27" s="914"/>
      <c r="QCS27" s="914"/>
      <c r="QCT27" s="914"/>
      <c r="QCU27" s="914"/>
      <c r="QCV27" s="911"/>
      <c r="QCW27" s="911"/>
      <c r="QCX27" s="911"/>
      <c r="QCY27" s="915"/>
      <c r="QCZ27" s="914"/>
      <c r="QDA27" s="914"/>
      <c r="QDB27" s="914"/>
      <c r="QDC27" s="914"/>
      <c r="QDD27" s="914"/>
      <c r="QDE27" s="914"/>
      <c r="QDF27" s="914"/>
      <c r="QDG27" s="911"/>
      <c r="QDH27" s="911"/>
      <c r="QDI27" s="911"/>
      <c r="QDJ27" s="915"/>
      <c r="QDK27" s="914"/>
      <c r="QDL27" s="914"/>
      <c r="QDM27" s="914"/>
      <c r="QDN27" s="914"/>
      <c r="QDO27" s="914"/>
      <c r="QDP27" s="914"/>
      <c r="QDQ27" s="914"/>
      <c r="QDR27" s="911"/>
      <c r="QDS27" s="911"/>
      <c r="QDT27" s="911"/>
      <c r="QDU27" s="915"/>
      <c r="QDV27" s="914"/>
      <c r="QDW27" s="914"/>
      <c r="QDX27" s="914"/>
      <c r="QDY27" s="914"/>
      <c r="QDZ27" s="914"/>
      <c r="QEA27" s="914"/>
      <c r="QEB27" s="914"/>
      <c r="QEC27" s="911"/>
      <c r="QED27" s="911"/>
      <c r="QEE27" s="911"/>
      <c r="QEF27" s="915"/>
      <c r="QEG27" s="914"/>
      <c r="QEH27" s="914"/>
      <c r="QEI27" s="914"/>
      <c r="QEJ27" s="914"/>
      <c r="QEK27" s="914"/>
      <c r="QEL27" s="914"/>
      <c r="QEM27" s="914"/>
      <c r="QEN27" s="911"/>
      <c r="QEO27" s="911"/>
      <c r="QEP27" s="911"/>
      <c r="QEQ27" s="915"/>
      <c r="QER27" s="914"/>
      <c r="QES27" s="914"/>
      <c r="QET27" s="914"/>
      <c r="QEU27" s="914"/>
      <c r="QEV27" s="914"/>
      <c r="QEW27" s="914"/>
      <c r="QEX27" s="914"/>
      <c r="QEY27" s="911"/>
      <c r="QEZ27" s="911"/>
      <c r="QFA27" s="911"/>
      <c r="QFB27" s="915"/>
      <c r="QFC27" s="914"/>
      <c r="QFD27" s="914"/>
      <c r="QFE27" s="914"/>
      <c r="QFF27" s="914"/>
      <c r="QFG27" s="914"/>
      <c r="QFH27" s="914"/>
      <c r="QFI27" s="914"/>
      <c r="QFJ27" s="911"/>
      <c r="QFK27" s="911"/>
      <c r="QFL27" s="911"/>
      <c r="QFM27" s="915"/>
      <c r="QFN27" s="914"/>
      <c r="QFO27" s="914"/>
      <c r="QFP27" s="914"/>
      <c r="QFQ27" s="914"/>
      <c r="QFR27" s="914"/>
      <c r="QFS27" s="914"/>
      <c r="QFT27" s="914"/>
      <c r="QFU27" s="911"/>
      <c r="QFV27" s="911"/>
      <c r="QFW27" s="911"/>
      <c r="QFX27" s="915"/>
      <c r="QFY27" s="914"/>
      <c r="QFZ27" s="914"/>
      <c r="QGA27" s="914"/>
      <c r="QGB27" s="914"/>
      <c r="QGC27" s="914"/>
      <c r="QGD27" s="914"/>
      <c r="QGE27" s="914"/>
      <c r="QGF27" s="911"/>
      <c r="QGG27" s="911"/>
      <c r="QGH27" s="911"/>
      <c r="QGI27" s="915"/>
      <c r="QGJ27" s="914"/>
      <c r="QGK27" s="914"/>
      <c r="QGL27" s="914"/>
      <c r="QGM27" s="914"/>
      <c r="QGN27" s="914"/>
      <c r="QGO27" s="914"/>
      <c r="QGP27" s="914"/>
      <c r="QGQ27" s="911"/>
      <c r="QGR27" s="911"/>
      <c r="QGS27" s="911"/>
      <c r="QGT27" s="915"/>
      <c r="QGU27" s="914"/>
      <c r="QGV27" s="914"/>
      <c r="QGW27" s="914"/>
      <c r="QGX27" s="914"/>
      <c r="QGY27" s="914"/>
      <c r="QGZ27" s="914"/>
      <c r="QHA27" s="914"/>
      <c r="QHB27" s="911"/>
      <c r="QHC27" s="911"/>
      <c r="QHD27" s="911"/>
      <c r="QHE27" s="915"/>
      <c r="QHF27" s="914"/>
      <c r="QHG27" s="914"/>
      <c r="QHH27" s="914"/>
      <c r="QHI27" s="914"/>
      <c r="QHJ27" s="914"/>
      <c r="QHK27" s="914"/>
      <c r="QHL27" s="914"/>
      <c r="QHM27" s="911"/>
      <c r="QHN27" s="911"/>
      <c r="QHO27" s="911"/>
      <c r="QHP27" s="915"/>
      <c r="QHQ27" s="914"/>
      <c r="QHR27" s="914"/>
      <c r="QHS27" s="914"/>
      <c r="QHT27" s="914"/>
      <c r="QHU27" s="914"/>
      <c r="QHV27" s="914"/>
      <c r="QHW27" s="914"/>
      <c r="QHX27" s="911"/>
      <c r="QHY27" s="911"/>
      <c r="QHZ27" s="911"/>
      <c r="QIA27" s="915"/>
      <c r="QIB27" s="914"/>
      <c r="QIC27" s="914"/>
      <c r="QID27" s="914"/>
      <c r="QIE27" s="914"/>
      <c r="QIF27" s="914"/>
      <c r="QIG27" s="914"/>
      <c r="QIH27" s="914"/>
      <c r="QII27" s="911"/>
      <c r="QIJ27" s="911"/>
      <c r="QIK27" s="911"/>
      <c r="QIL27" s="915"/>
      <c r="QIM27" s="914"/>
      <c r="QIN27" s="914"/>
      <c r="QIO27" s="914"/>
      <c r="QIP27" s="914"/>
      <c r="QIQ27" s="914"/>
      <c r="QIR27" s="914"/>
      <c r="QIS27" s="914"/>
      <c r="QIT27" s="911"/>
      <c r="QIU27" s="911"/>
      <c r="QIV27" s="911"/>
      <c r="QIW27" s="915"/>
      <c r="QIX27" s="914"/>
      <c r="QIY27" s="914"/>
      <c r="QIZ27" s="914"/>
      <c r="QJA27" s="914"/>
      <c r="QJB27" s="914"/>
      <c r="QJC27" s="914"/>
      <c r="QJD27" s="914"/>
      <c r="QJE27" s="911"/>
      <c r="QJF27" s="911"/>
      <c r="QJG27" s="911"/>
      <c r="QJH27" s="915"/>
      <c r="QJI27" s="914"/>
      <c r="QJJ27" s="914"/>
      <c r="QJK27" s="914"/>
      <c r="QJL27" s="914"/>
      <c r="QJM27" s="914"/>
      <c r="QJN27" s="914"/>
      <c r="QJO27" s="914"/>
      <c r="QJP27" s="911"/>
      <c r="QJQ27" s="911"/>
      <c r="QJR27" s="911"/>
      <c r="QJS27" s="915"/>
      <c r="QJT27" s="914"/>
      <c r="QJU27" s="914"/>
      <c r="QJV27" s="914"/>
      <c r="QJW27" s="914"/>
      <c r="QJX27" s="914"/>
      <c r="QJY27" s="914"/>
      <c r="QJZ27" s="914"/>
      <c r="QKA27" s="911"/>
      <c r="QKB27" s="911"/>
      <c r="QKC27" s="911"/>
      <c r="QKD27" s="915"/>
      <c r="QKE27" s="914"/>
      <c r="QKF27" s="914"/>
      <c r="QKG27" s="914"/>
      <c r="QKH27" s="914"/>
      <c r="QKI27" s="914"/>
      <c r="QKJ27" s="914"/>
      <c r="QKK27" s="914"/>
      <c r="QKL27" s="911"/>
      <c r="QKM27" s="911"/>
      <c r="QKN27" s="911"/>
      <c r="QKO27" s="915"/>
      <c r="QKP27" s="914"/>
      <c r="QKQ27" s="914"/>
      <c r="QKR27" s="914"/>
      <c r="QKS27" s="914"/>
      <c r="QKT27" s="914"/>
      <c r="QKU27" s="914"/>
      <c r="QKV27" s="914"/>
      <c r="QKW27" s="911"/>
      <c r="QKX27" s="911"/>
      <c r="QKY27" s="911"/>
      <c r="QKZ27" s="915"/>
      <c r="QLA27" s="914"/>
      <c r="QLB27" s="914"/>
      <c r="QLC27" s="914"/>
      <c r="QLD27" s="914"/>
      <c r="QLE27" s="914"/>
      <c r="QLF27" s="914"/>
      <c r="QLG27" s="914"/>
      <c r="QLH27" s="911"/>
      <c r="QLI27" s="911"/>
      <c r="QLJ27" s="911"/>
      <c r="QLK27" s="915"/>
      <c r="QLL27" s="914"/>
      <c r="QLM27" s="914"/>
      <c r="QLN27" s="914"/>
      <c r="QLO27" s="914"/>
      <c r="QLP27" s="914"/>
      <c r="QLQ27" s="914"/>
      <c r="QLR27" s="914"/>
      <c r="QLS27" s="911"/>
      <c r="QLT27" s="911"/>
      <c r="QLU27" s="911"/>
      <c r="QLV27" s="915"/>
      <c r="QLW27" s="914"/>
      <c r="QLX27" s="914"/>
      <c r="QLY27" s="914"/>
      <c r="QLZ27" s="914"/>
      <c r="QMA27" s="914"/>
      <c r="QMB27" s="914"/>
      <c r="QMC27" s="914"/>
      <c r="QMD27" s="911"/>
      <c r="QME27" s="911"/>
      <c r="QMF27" s="911"/>
      <c r="QMG27" s="915"/>
      <c r="QMH27" s="914"/>
      <c r="QMI27" s="914"/>
      <c r="QMJ27" s="914"/>
      <c r="QMK27" s="914"/>
      <c r="QML27" s="914"/>
      <c r="QMM27" s="914"/>
      <c r="QMN27" s="914"/>
      <c r="QMO27" s="911"/>
      <c r="QMP27" s="911"/>
      <c r="QMQ27" s="911"/>
      <c r="QMR27" s="915"/>
      <c r="QMS27" s="914"/>
      <c r="QMT27" s="914"/>
      <c r="QMU27" s="914"/>
      <c r="QMV27" s="914"/>
      <c r="QMW27" s="914"/>
      <c r="QMX27" s="914"/>
      <c r="QMY27" s="914"/>
      <c r="QMZ27" s="911"/>
      <c r="QNA27" s="911"/>
      <c r="QNB27" s="911"/>
      <c r="QNC27" s="915"/>
      <c r="QND27" s="914"/>
      <c r="QNE27" s="914"/>
      <c r="QNF27" s="914"/>
      <c r="QNG27" s="914"/>
      <c r="QNH27" s="914"/>
      <c r="QNI27" s="914"/>
      <c r="QNJ27" s="914"/>
      <c r="QNK27" s="911"/>
      <c r="QNL27" s="911"/>
      <c r="QNM27" s="911"/>
      <c r="QNN27" s="915"/>
      <c r="QNO27" s="914"/>
      <c r="QNP27" s="914"/>
      <c r="QNQ27" s="914"/>
      <c r="QNR27" s="914"/>
      <c r="QNS27" s="914"/>
      <c r="QNT27" s="914"/>
      <c r="QNU27" s="914"/>
      <c r="QNV27" s="911"/>
      <c r="QNW27" s="911"/>
      <c r="QNX27" s="911"/>
      <c r="QNY27" s="915"/>
      <c r="QNZ27" s="914"/>
      <c r="QOA27" s="914"/>
      <c r="QOB27" s="914"/>
      <c r="QOC27" s="914"/>
      <c r="QOD27" s="914"/>
      <c r="QOE27" s="914"/>
      <c r="QOF27" s="914"/>
      <c r="QOG27" s="911"/>
      <c r="QOH27" s="911"/>
      <c r="QOI27" s="911"/>
      <c r="QOJ27" s="915"/>
      <c r="QOK27" s="914"/>
      <c r="QOL27" s="914"/>
      <c r="QOM27" s="914"/>
      <c r="QON27" s="914"/>
      <c r="QOO27" s="914"/>
      <c r="QOP27" s="914"/>
      <c r="QOQ27" s="914"/>
      <c r="QOR27" s="911"/>
      <c r="QOS27" s="911"/>
      <c r="QOT27" s="911"/>
      <c r="QOU27" s="915"/>
      <c r="QOV27" s="914"/>
      <c r="QOW27" s="914"/>
      <c r="QOX27" s="914"/>
      <c r="QOY27" s="914"/>
      <c r="QOZ27" s="914"/>
      <c r="QPA27" s="914"/>
      <c r="QPB27" s="914"/>
      <c r="QPC27" s="911"/>
      <c r="QPD27" s="911"/>
      <c r="QPE27" s="911"/>
      <c r="QPF27" s="915"/>
      <c r="QPG27" s="914"/>
      <c r="QPH27" s="914"/>
      <c r="QPI27" s="914"/>
      <c r="QPJ27" s="914"/>
      <c r="QPK27" s="914"/>
      <c r="QPL27" s="914"/>
      <c r="QPM27" s="914"/>
      <c r="QPN27" s="911"/>
      <c r="QPO27" s="911"/>
      <c r="QPP27" s="911"/>
      <c r="QPQ27" s="915"/>
      <c r="QPR27" s="914"/>
      <c r="QPS27" s="914"/>
      <c r="QPT27" s="914"/>
      <c r="QPU27" s="914"/>
      <c r="QPV27" s="914"/>
      <c r="QPW27" s="914"/>
      <c r="QPX27" s="914"/>
      <c r="QPY27" s="911"/>
      <c r="QPZ27" s="911"/>
      <c r="QQA27" s="911"/>
      <c r="QQB27" s="915"/>
      <c r="QQC27" s="914"/>
      <c r="QQD27" s="914"/>
      <c r="QQE27" s="914"/>
      <c r="QQF27" s="914"/>
      <c r="QQG27" s="914"/>
      <c r="QQH27" s="914"/>
      <c r="QQI27" s="914"/>
      <c r="QQJ27" s="911"/>
      <c r="QQK27" s="911"/>
      <c r="QQL27" s="911"/>
      <c r="QQM27" s="915"/>
      <c r="QQN27" s="914"/>
      <c r="QQO27" s="914"/>
      <c r="QQP27" s="914"/>
      <c r="QQQ27" s="914"/>
      <c r="QQR27" s="914"/>
      <c r="QQS27" s="914"/>
      <c r="QQT27" s="914"/>
      <c r="QQU27" s="911"/>
      <c r="QQV27" s="911"/>
      <c r="QQW27" s="911"/>
      <c r="QQX27" s="915"/>
      <c r="QQY27" s="914"/>
      <c r="QQZ27" s="914"/>
      <c r="QRA27" s="914"/>
      <c r="QRB27" s="914"/>
      <c r="QRC27" s="914"/>
      <c r="QRD27" s="914"/>
      <c r="QRE27" s="914"/>
      <c r="QRF27" s="911"/>
      <c r="QRG27" s="911"/>
      <c r="QRH27" s="911"/>
      <c r="QRI27" s="915"/>
      <c r="QRJ27" s="914"/>
      <c r="QRK27" s="914"/>
      <c r="QRL27" s="914"/>
      <c r="QRM27" s="914"/>
      <c r="QRN27" s="914"/>
      <c r="QRO27" s="914"/>
      <c r="QRP27" s="914"/>
      <c r="QRQ27" s="911"/>
      <c r="QRR27" s="911"/>
      <c r="QRS27" s="911"/>
      <c r="QRT27" s="915"/>
      <c r="QRU27" s="914"/>
      <c r="QRV27" s="914"/>
      <c r="QRW27" s="914"/>
      <c r="QRX27" s="914"/>
      <c r="QRY27" s="914"/>
      <c r="QRZ27" s="914"/>
      <c r="QSA27" s="914"/>
      <c r="QSB27" s="911"/>
      <c r="QSC27" s="911"/>
      <c r="QSD27" s="911"/>
      <c r="QSE27" s="915"/>
      <c r="QSF27" s="914"/>
      <c r="QSG27" s="914"/>
      <c r="QSH27" s="914"/>
      <c r="QSI27" s="914"/>
      <c r="QSJ27" s="914"/>
      <c r="QSK27" s="914"/>
      <c r="QSL27" s="914"/>
      <c r="QSM27" s="911"/>
      <c r="QSN27" s="911"/>
      <c r="QSO27" s="911"/>
      <c r="QSP27" s="915"/>
      <c r="QSQ27" s="914"/>
      <c r="QSR27" s="914"/>
      <c r="QSS27" s="914"/>
      <c r="QST27" s="914"/>
      <c r="QSU27" s="914"/>
      <c r="QSV27" s="914"/>
      <c r="QSW27" s="914"/>
      <c r="QSX27" s="911"/>
      <c r="QSY27" s="911"/>
      <c r="QSZ27" s="911"/>
      <c r="QTA27" s="915"/>
      <c r="QTB27" s="914"/>
      <c r="QTC27" s="914"/>
      <c r="QTD27" s="914"/>
      <c r="QTE27" s="914"/>
      <c r="QTF27" s="914"/>
      <c r="QTG27" s="914"/>
      <c r="QTH27" s="914"/>
      <c r="QTI27" s="911"/>
      <c r="QTJ27" s="911"/>
      <c r="QTK27" s="911"/>
      <c r="QTL27" s="915"/>
      <c r="QTM27" s="914"/>
      <c r="QTN27" s="914"/>
      <c r="QTO27" s="914"/>
      <c r="QTP27" s="914"/>
      <c r="QTQ27" s="914"/>
      <c r="QTR27" s="914"/>
      <c r="QTS27" s="914"/>
      <c r="QTT27" s="911"/>
      <c r="QTU27" s="911"/>
      <c r="QTV27" s="911"/>
      <c r="QTW27" s="915"/>
      <c r="QTX27" s="914"/>
      <c r="QTY27" s="914"/>
      <c r="QTZ27" s="914"/>
      <c r="QUA27" s="914"/>
      <c r="QUB27" s="914"/>
      <c r="QUC27" s="914"/>
      <c r="QUD27" s="914"/>
      <c r="QUE27" s="911"/>
      <c r="QUF27" s="911"/>
      <c r="QUG27" s="911"/>
      <c r="QUH27" s="915"/>
      <c r="QUI27" s="914"/>
      <c r="QUJ27" s="914"/>
      <c r="QUK27" s="914"/>
      <c r="QUL27" s="914"/>
      <c r="QUM27" s="914"/>
      <c r="QUN27" s="914"/>
      <c r="QUO27" s="914"/>
      <c r="QUP27" s="911"/>
      <c r="QUQ27" s="911"/>
      <c r="QUR27" s="911"/>
      <c r="QUS27" s="915"/>
      <c r="QUT27" s="914"/>
      <c r="QUU27" s="914"/>
      <c r="QUV27" s="914"/>
      <c r="QUW27" s="914"/>
      <c r="QUX27" s="914"/>
      <c r="QUY27" s="914"/>
      <c r="QUZ27" s="914"/>
      <c r="QVA27" s="911"/>
      <c r="QVB27" s="911"/>
      <c r="QVC27" s="911"/>
      <c r="QVD27" s="915"/>
      <c r="QVE27" s="914"/>
      <c r="QVF27" s="914"/>
      <c r="QVG27" s="914"/>
      <c r="QVH27" s="914"/>
      <c r="QVI27" s="914"/>
      <c r="QVJ27" s="914"/>
      <c r="QVK27" s="914"/>
      <c r="QVL27" s="911"/>
      <c r="QVM27" s="911"/>
      <c r="QVN27" s="911"/>
      <c r="QVO27" s="915"/>
      <c r="QVP27" s="914"/>
      <c r="QVQ27" s="914"/>
      <c r="QVR27" s="914"/>
      <c r="QVS27" s="914"/>
      <c r="QVT27" s="914"/>
      <c r="QVU27" s="914"/>
      <c r="QVV27" s="914"/>
      <c r="QVW27" s="911"/>
      <c r="QVX27" s="911"/>
      <c r="QVY27" s="911"/>
      <c r="QVZ27" s="915"/>
      <c r="QWA27" s="914"/>
      <c r="QWB27" s="914"/>
      <c r="QWC27" s="914"/>
      <c r="QWD27" s="914"/>
      <c r="QWE27" s="914"/>
      <c r="QWF27" s="914"/>
      <c r="QWG27" s="914"/>
      <c r="QWH27" s="911"/>
      <c r="QWI27" s="911"/>
      <c r="QWJ27" s="911"/>
      <c r="QWK27" s="915"/>
      <c r="QWL27" s="914"/>
      <c r="QWM27" s="914"/>
      <c r="QWN27" s="914"/>
      <c r="QWO27" s="914"/>
      <c r="QWP27" s="914"/>
      <c r="QWQ27" s="914"/>
      <c r="QWR27" s="914"/>
      <c r="QWS27" s="911"/>
      <c r="QWT27" s="911"/>
      <c r="QWU27" s="911"/>
      <c r="QWV27" s="915"/>
      <c r="QWW27" s="914"/>
      <c r="QWX27" s="914"/>
      <c r="QWY27" s="914"/>
      <c r="QWZ27" s="914"/>
      <c r="QXA27" s="914"/>
      <c r="QXB27" s="914"/>
      <c r="QXC27" s="914"/>
      <c r="QXD27" s="911"/>
      <c r="QXE27" s="911"/>
      <c r="QXF27" s="911"/>
      <c r="QXG27" s="915"/>
      <c r="QXH27" s="914"/>
      <c r="QXI27" s="914"/>
      <c r="QXJ27" s="914"/>
      <c r="QXK27" s="914"/>
      <c r="QXL27" s="914"/>
      <c r="QXM27" s="914"/>
      <c r="QXN27" s="914"/>
      <c r="QXO27" s="911"/>
      <c r="QXP27" s="911"/>
      <c r="QXQ27" s="911"/>
      <c r="QXR27" s="915"/>
      <c r="QXS27" s="914"/>
      <c r="QXT27" s="914"/>
      <c r="QXU27" s="914"/>
      <c r="QXV27" s="914"/>
      <c r="QXW27" s="914"/>
      <c r="QXX27" s="914"/>
      <c r="QXY27" s="914"/>
      <c r="QXZ27" s="911"/>
      <c r="QYA27" s="911"/>
      <c r="QYB27" s="911"/>
      <c r="QYC27" s="915"/>
      <c r="QYD27" s="914"/>
      <c r="QYE27" s="914"/>
      <c r="QYF27" s="914"/>
      <c r="QYG27" s="914"/>
      <c r="QYH27" s="914"/>
      <c r="QYI27" s="914"/>
      <c r="QYJ27" s="914"/>
      <c r="QYK27" s="911"/>
      <c r="QYL27" s="911"/>
      <c r="QYM27" s="911"/>
      <c r="QYN27" s="915"/>
      <c r="QYO27" s="914"/>
      <c r="QYP27" s="914"/>
      <c r="QYQ27" s="914"/>
      <c r="QYR27" s="914"/>
      <c r="QYS27" s="914"/>
      <c r="QYT27" s="914"/>
      <c r="QYU27" s="914"/>
      <c r="QYV27" s="911"/>
      <c r="QYW27" s="911"/>
      <c r="QYX27" s="911"/>
      <c r="QYY27" s="915"/>
      <c r="QYZ27" s="914"/>
      <c r="QZA27" s="914"/>
      <c r="QZB27" s="914"/>
      <c r="QZC27" s="914"/>
      <c r="QZD27" s="914"/>
      <c r="QZE27" s="914"/>
      <c r="QZF27" s="914"/>
      <c r="QZG27" s="911"/>
      <c r="QZH27" s="911"/>
      <c r="QZI27" s="911"/>
      <c r="QZJ27" s="915"/>
      <c r="QZK27" s="914"/>
      <c r="QZL27" s="914"/>
      <c r="QZM27" s="914"/>
      <c r="QZN27" s="914"/>
      <c r="QZO27" s="914"/>
      <c r="QZP27" s="914"/>
      <c r="QZQ27" s="914"/>
      <c r="QZR27" s="911"/>
      <c r="QZS27" s="911"/>
      <c r="QZT27" s="911"/>
      <c r="QZU27" s="915"/>
      <c r="QZV27" s="914"/>
      <c r="QZW27" s="914"/>
      <c r="QZX27" s="914"/>
      <c r="QZY27" s="914"/>
      <c r="QZZ27" s="914"/>
      <c r="RAA27" s="914"/>
      <c r="RAB27" s="914"/>
      <c r="RAC27" s="911"/>
      <c r="RAD27" s="911"/>
      <c r="RAE27" s="911"/>
      <c r="RAF27" s="915"/>
      <c r="RAG27" s="914"/>
      <c r="RAH27" s="914"/>
      <c r="RAI27" s="914"/>
      <c r="RAJ27" s="914"/>
      <c r="RAK27" s="914"/>
      <c r="RAL27" s="914"/>
      <c r="RAM27" s="914"/>
      <c r="RAN27" s="911"/>
      <c r="RAO27" s="911"/>
      <c r="RAP27" s="911"/>
      <c r="RAQ27" s="915"/>
      <c r="RAR27" s="914"/>
      <c r="RAS27" s="914"/>
      <c r="RAT27" s="914"/>
      <c r="RAU27" s="914"/>
      <c r="RAV27" s="914"/>
      <c r="RAW27" s="914"/>
      <c r="RAX27" s="914"/>
      <c r="RAY27" s="911"/>
      <c r="RAZ27" s="911"/>
      <c r="RBA27" s="911"/>
      <c r="RBB27" s="915"/>
      <c r="RBC27" s="914"/>
      <c r="RBD27" s="914"/>
      <c r="RBE27" s="914"/>
      <c r="RBF27" s="914"/>
      <c r="RBG27" s="914"/>
      <c r="RBH27" s="914"/>
      <c r="RBI27" s="914"/>
      <c r="RBJ27" s="911"/>
      <c r="RBK27" s="911"/>
      <c r="RBL27" s="911"/>
      <c r="RBM27" s="915"/>
      <c r="RBN27" s="914"/>
      <c r="RBO27" s="914"/>
      <c r="RBP27" s="914"/>
      <c r="RBQ27" s="914"/>
      <c r="RBR27" s="914"/>
      <c r="RBS27" s="914"/>
      <c r="RBT27" s="914"/>
      <c r="RBU27" s="911"/>
      <c r="RBV27" s="911"/>
      <c r="RBW27" s="911"/>
      <c r="RBX27" s="915"/>
      <c r="RBY27" s="914"/>
      <c r="RBZ27" s="914"/>
      <c r="RCA27" s="914"/>
      <c r="RCB27" s="914"/>
      <c r="RCC27" s="914"/>
      <c r="RCD27" s="914"/>
      <c r="RCE27" s="914"/>
      <c r="RCF27" s="911"/>
      <c r="RCG27" s="911"/>
      <c r="RCH27" s="911"/>
      <c r="RCI27" s="915"/>
      <c r="RCJ27" s="914"/>
      <c r="RCK27" s="914"/>
      <c r="RCL27" s="914"/>
      <c r="RCM27" s="914"/>
      <c r="RCN27" s="914"/>
      <c r="RCO27" s="914"/>
      <c r="RCP27" s="914"/>
      <c r="RCQ27" s="911"/>
      <c r="RCR27" s="911"/>
      <c r="RCS27" s="911"/>
      <c r="RCT27" s="915"/>
      <c r="RCU27" s="914"/>
      <c r="RCV27" s="914"/>
      <c r="RCW27" s="914"/>
      <c r="RCX27" s="914"/>
      <c r="RCY27" s="914"/>
      <c r="RCZ27" s="914"/>
      <c r="RDA27" s="914"/>
      <c r="RDB27" s="911"/>
      <c r="RDC27" s="911"/>
      <c r="RDD27" s="911"/>
      <c r="RDE27" s="915"/>
      <c r="RDF27" s="914"/>
      <c r="RDG27" s="914"/>
      <c r="RDH27" s="914"/>
      <c r="RDI27" s="914"/>
      <c r="RDJ27" s="914"/>
      <c r="RDK27" s="914"/>
      <c r="RDL27" s="914"/>
      <c r="RDM27" s="911"/>
      <c r="RDN27" s="911"/>
      <c r="RDO27" s="911"/>
      <c r="RDP27" s="915"/>
      <c r="RDQ27" s="914"/>
      <c r="RDR27" s="914"/>
      <c r="RDS27" s="914"/>
      <c r="RDT27" s="914"/>
      <c r="RDU27" s="914"/>
      <c r="RDV27" s="914"/>
      <c r="RDW27" s="914"/>
      <c r="RDX27" s="911"/>
      <c r="RDY27" s="911"/>
      <c r="RDZ27" s="911"/>
      <c r="REA27" s="915"/>
      <c r="REB27" s="914"/>
      <c r="REC27" s="914"/>
      <c r="RED27" s="914"/>
      <c r="REE27" s="914"/>
      <c r="REF27" s="914"/>
      <c r="REG27" s="914"/>
      <c r="REH27" s="914"/>
      <c r="REI27" s="911"/>
      <c r="REJ27" s="911"/>
      <c r="REK27" s="911"/>
      <c r="REL27" s="915"/>
      <c r="REM27" s="914"/>
      <c r="REN27" s="914"/>
      <c r="REO27" s="914"/>
      <c r="REP27" s="914"/>
      <c r="REQ27" s="914"/>
      <c r="RER27" s="914"/>
      <c r="RES27" s="914"/>
      <c r="RET27" s="911"/>
      <c r="REU27" s="911"/>
      <c r="REV27" s="911"/>
      <c r="REW27" s="915"/>
      <c r="REX27" s="914"/>
      <c r="REY27" s="914"/>
      <c r="REZ27" s="914"/>
      <c r="RFA27" s="914"/>
      <c r="RFB27" s="914"/>
      <c r="RFC27" s="914"/>
      <c r="RFD27" s="914"/>
      <c r="RFE27" s="911"/>
      <c r="RFF27" s="911"/>
      <c r="RFG27" s="911"/>
      <c r="RFH27" s="915"/>
      <c r="RFI27" s="914"/>
      <c r="RFJ27" s="914"/>
      <c r="RFK27" s="914"/>
      <c r="RFL27" s="914"/>
      <c r="RFM27" s="914"/>
      <c r="RFN27" s="914"/>
      <c r="RFO27" s="914"/>
      <c r="RFP27" s="911"/>
      <c r="RFQ27" s="911"/>
      <c r="RFR27" s="911"/>
      <c r="RFS27" s="915"/>
      <c r="RFT27" s="914"/>
      <c r="RFU27" s="914"/>
      <c r="RFV27" s="914"/>
      <c r="RFW27" s="914"/>
      <c r="RFX27" s="914"/>
      <c r="RFY27" s="914"/>
      <c r="RFZ27" s="914"/>
      <c r="RGA27" s="911"/>
      <c r="RGB27" s="911"/>
      <c r="RGC27" s="911"/>
      <c r="RGD27" s="915"/>
      <c r="RGE27" s="914"/>
      <c r="RGF27" s="914"/>
      <c r="RGG27" s="914"/>
      <c r="RGH27" s="914"/>
      <c r="RGI27" s="914"/>
      <c r="RGJ27" s="914"/>
      <c r="RGK27" s="914"/>
      <c r="RGL27" s="911"/>
      <c r="RGM27" s="911"/>
      <c r="RGN27" s="911"/>
      <c r="RGO27" s="915"/>
      <c r="RGP27" s="914"/>
      <c r="RGQ27" s="914"/>
      <c r="RGR27" s="914"/>
      <c r="RGS27" s="914"/>
      <c r="RGT27" s="914"/>
      <c r="RGU27" s="914"/>
      <c r="RGV27" s="914"/>
      <c r="RGW27" s="911"/>
      <c r="RGX27" s="911"/>
      <c r="RGY27" s="911"/>
      <c r="RGZ27" s="915"/>
      <c r="RHA27" s="914"/>
      <c r="RHB27" s="914"/>
      <c r="RHC27" s="914"/>
      <c r="RHD27" s="914"/>
      <c r="RHE27" s="914"/>
      <c r="RHF27" s="914"/>
      <c r="RHG27" s="914"/>
      <c r="RHH27" s="911"/>
      <c r="RHI27" s="911"/>
      <c r="RHJ27" s="911"/>
      <c r="RHK27" s="915"/>
      <c r="RHL27" s="914"/>
      <c r="RHM27" s="914"/>
      <c r="RHN27" s="914"/>
      <c r="RHO27" s="914"/>
      <c r="RHP27" s="914"/>
      <c r="RHQ27" s="914"/>
      <c r="RHR27" s="914"/>
      <c r="RHS27" s="911"/>
      <c r="RHT27" s="911"/>
      <c r="RHU27" s="911"/>
      <c r="RHV27" s="915"/>
      <c r="RHW27" s="914"/>
      <c r="RHX27" s="914"/>
      <c r="RHY27" s="914"/>
      <c r="RHZ27" s="914"/>
      <c r="RIA27" s="914"/>
      <c r="RIB27" s="914"/>
      <c r="RIC27" s="914"/>
      <c r="RID27" s="911"/>
      <c r="RIE27" s="911"/>
      <c r="RIF27" s="911"/>
      <c r="RIG27" s="915"/>
      <c r="RIH27" s="914"/>
      <c r="RII27" s="914"/>
      <c r="RIJ27" s="914"/>
      <c r="RIK27" s="914"/>
      <c r="RIL27" s="914"/>
      <c r="RIM27" s="914"/>
      <c r="RIN27" s="914"/>
      <c r="RIO27" s="911"/>
      <c r="RIP27" s="911"/>
      <c r="RIQ27" s="911"/>
      <c r="RIR27" s="915"/>
      <c r="RIS27" s="914"/>
      <c r="RIT27" s="914"/>
      <c r="RIU27" s="914"/>
      <c r="RIV27" s="914"/>
      <c r="RIW27" s="914"/>
      <c r="RIX27" s="914"/>
      <c r="RIY27" s="914"/>
      <c r="RIZ27" s="911"/>
      <c r="RJA27" s="911"/>
      <c r="RJB27" s="911"/>
      <c r="RJC27" s="915"/>
      <c r="RJD27" s="914"/>
      <c r="RJE27" s="914"/>
      <c r="RJF27" s="914"/>
      <c r="RJG27" s="914"/>
      <c r="RJH27" s="914"/>
      <c r="RJI27" s="914"/>
      <c r="RJJ27" s="914"/>
      <c r="RJK27" s="911"/>
      <c r="RJL27" s="911"/>
      <c r="RJM27" s="911"/>
      <c r="RJN27" s="915"/>
      <c r="RJO27" s="914"/>
      <c r="RJP27" s="914"/>
      <c r="RJQ27" s="914"/>
      <c r="RJR27" s="914"/>
      <c r="RJS27" s="914"/>
      <c r="RJT27" s="914"/>
      <c r="RJU27" s="914"/>
      <c r="RJV27" s="911"/>
      <c r="RJW27" s="911"/>
      <c r="RJX27" s="911"/>
      <c r="RJY27" s="915"/>
      <c r="RJZ27" s="914"/>
      <c r="RKA27" s="914"/>
      <c r="RKB27" s="914"/>
      <c r="RKC27" s="914"/>
      <c r="RKD27" s="914"/>
      <c r="RKE27" s="914"/>
      <c r="RKF27" s="914"/>
      <c r="RKG27" s="911"/>
      <c r="RKH27" s="911"/>
      <c r="RKI27" s="911"/>
      <c r="RKJ27" s="915"/>
      <c r="RKK27" s="914"/>
      <c r="RKL27" s="914"/>
      <c r="RKM27" s="914"/>
      <c r="RKN27" s="914"/>
      <c r="RKO27" s="914"/>
      <c r="RKP27" s="914"/>
      <c r="RKQ27" s="914"/>
      <c r="RKR27" s="911"/>
      <c r="RKS27" s="911"/>
      <c r="RKT27" s="911"/>
      <c r="RKU27" s="915"/>
      <c r="RKV27" s="914"/>
      <c r="RKW27" s="914"/>
      <c r="RKX27" s="914"/>
      <c r="RKY27" s="914"/>
      <c r="RKZ27" s="914"/>
      <c r="RLA27" s="914"/>
      <c r="RLB27" s="914"/>
      <c r="RLC27" s="911"/>
      <c r="RLD27" s="911"/>
      <c r="RLE27" s="911"/>
      <c r="RLF27" s="915"/>
      <c r="RLG27" s="914"/>
      <c r="RLH27" s="914"/>
      <c r="RLI27" s="914"/>
      <c r="RLJ27" s="914"/>
      <c r="RLK27" s="914"/>
      <c r="RLL27" s="914"/>
      <c r="RLM27" s="914"/>
      <c r="RLN27" s="911"/>
      <c r="RLO27" s="911"/>
      <c r="RLP27" s="911"/>
      <c r="RLQ27" s="915"/>
      <c r="RLR27" s="914"/>
      <c r="RLS27" s="914"/>
      <c r="RLT27" s="914"/>
      <c r="RLU27" s="914"/>
      <c r="RLV27" s="914"/>
      <c r="RLW27" s="914"/>
      <c r="RLX27" s="914"/>
      <c r="RLY27" s="911"/>
      <c r="RLZ27" s="911"/>
      <c r="RMA27" s="911"/>
      <c r="RMB27" s="915"/>
      <c r="RMC27" s="914"/>
      <c r="RMD27" s="914"/>
      <c r="RME27" s="914"/>
      <c r="RMF27" s="914"/>
      <c r="RMG27" s="914"/>
      <c r="RMH27" s="914"/>
      <c r="RMI27" s="914"/>
      <c r="RMJ27" s="911"/>
      <c r="RMK27" s="911"/>
      <c r="RML27" s="911"/>
      <c r="RMM27" s="915"/>
      <c r="RMN27" s="914"/>
      <c r="RMO27" s="914"/>
      <c r="RMP27" s="914"/>
      <c r="RMQ27" s="914"/>
      <c r="RMR27" s="914"/>
      <c r="RMS27" s="914"/>
      <c r="RMT27" s="914"/>
      <c r="RMU27" s="911"/>
      <c r="RMV27" s="911"/>
      <c r="RMW27" s="911"/>
      <c r="RMX27" s="915"/>
      <c r="RMY27" s="914"/>
      <c r="RMZ27" s="914"/>
      <c r="RNA27" s="914"/>
      <c r="RNB27" s="914"/>
      <c r="RNC27" s="914"/>
      <c r="RND27" s="914"/>
      <c r="RNE27" s="914"/>
      <c r="RNF27" s="911"/>
      <c r="RNG27" s="911"/>
      <c r="RNH27" s="911"/>
      <c r="RNI27" s="915"/>
      <c r="RNJ27" s="914"/>
      <c r="RNK27" s="914"/>
      <c r="RNL27" s="914"/>
      <c r="RNM27" s="914"/>
      <c r="RNN27" s="914"/>
      <c r="RNO27" s="914"/>
      <c r="RNP27" s="914"/>
      <c r="RNQ27" s="911"/>
      <c r="RNR27" s="911"/>
      <c r="RNS27" s="911"/>
      <c r="RNT27" s="915"/>
      <c r="RNU27" s="914"/>
      <c r="RNV27" s="914"/>
      <c r="RNW27" s="914"/>
      <c r="RNX27" s="914"/>
      <c r="RNY27" s="914"/>
      <c r="RNZ27" s="914"/>
      <c r="ROA27" s="914"/>
      <c r="ROB27" s="911"/>
      <c r="ROC27" s="911"/>
      <c r="ROD27" s="911"/>
      <c r="ROE27" s="915"/>
      <c r="ROF27" s="914"/>
      <c r="ROG27" s="914"/>
      <c r="ROH27" s="914"/>
      <c r="ROI27" s="914"/>
      <c r="ROJ27" s="914"/>
      <c r="ROK27" s="914"/>
      <c r="ROL27" s="914"/>
      <c r="ROM27" s="911"/>
      <c r="RON27" s="911"/>
      <c r="ROO27" s="911"/>
      <c r="ROP27" s="915"/>
      <c r="ROQ27" s="914"/>
      <c r="ROR27" s="914"/>
      <c r="ROS27" s="914"/>
      <c r="ROT27" s="914"/>
      <c r="ROU27" s="914"/>
      <c r="ROV27" s="914"/>
      <c r="ROW27" s="914"/>
      <c r="ROX27" s="911"/>
      <c r="ROY27" s="911"/>
      <c r="ROZ27" s="911"/>
      <c r="RPA27" s="915"/>
      <c r="RPB27" s="914"/>
      <c r="RPC27" s="914"/>
      <c r="RPD27" s="914"/>
      <c r="RPE27" s="914"/>
      <c r="RPF27" s="914"/>
      <c r="RPG27" s="914"/>
      <c r="RPH27" s="914"/>
      <c r="RPI27" s="911"/>
      <c r="RPJ27" s="911"/>
      <c r="RPK27" s="911"/>
      <c r="RPL27" s="915"/>
      <c r="RPM27" s="914"/>
      <c r="RPN27" s="914"/>
      <c r="RPO27" s="914"/>
      <c r="RPP27" s="914"/>
      <c r="RPQ27" s="914"/>
      <c r="RPR27" s="914"/>
      <c r="RPS27" s="914"/>
      <c r="RPT27" s="911"/>
      <c r="RPU27" s="911"/>
      <c r="RPV27" s="911"/>
      <c r="RPW27" s="915"/>
      <c r="RPX27" s="914"/>
      <c r="RPY27" s="914"/>
      <c r="RPZ27" s="914"/>
      <c r="RQA27" s="914"/>
      <c r="RQB27" s="914"/>
      <c r="RQC27" s="914"/>
      <c r="RQD27" s="914"/>
      <c r="RQE27" s="911"/>
      <c r="RQF27" s="911"/>
      <c r="RQG27" s="911"/>
      <c r="RQH27" s="915"/>
      <c r="RQI27" s="914"/>
      <c r="RQJ27" s="914"/>
      <c r="RQK27" s="914"/>
      <c r="RQL27" s="914"/>
      <c r="RQM27" s="914"/>
      <c r="RQN27" s="914"/>
      <c r="RQO27" s="914"/>
      <c r="RQP27" s="911"/>
      <c r="RQQ27" s="911"/>
      <c r="RQR27" s="911"/>
      <c r="RQS27" s="915"/>
      <c r="RQT27" s="914"/>
      <c r="RQU27" s="914"/>
      <c r="RQV27" s="914"/>
      <c r="RQW27" s="914"/>
      <c r="RQX27" s="914"/>
      <c r="RQY27" s="914"/>
      <c r="RQZ27" s="914"/>
      <c r="RRA27" s="911"/>
      <c r="RRB27" s="911"/>
      <c r="RRC27" s="911"/>
      <c r="RRD27" s="915"/>
      <c r="RRE27" s="914"/>
      <c r="RRF27" s="914"/>
      <c r="RRG27" s="914"/>
      <c r="RRH27" s="914"/>
      <c r="RRI27" s="914"/>
      <c r="RRJ27" s="914"/>
      <c r="RRK27" s="914"/>
      <c r="RRL27" s="911"/>
      <c r="RRM27" s="911"/>
      <c r="RRN27" s="911"/>
      <c r="RRO27" s="915"/>
      <c r="RRP27" s="914"/>
      <c r="RRQ27" s="914"/>
      <c r="RRR27" s="914"/>
      <c r="RRS27" s="914"/>
      <c r="RRT27" s="914"/>
      <c r="RRU27" s="914"/>
      <c r="RRV27" s="914"/>
      <c r="RRW27" s="911"/>
      <c r="RRX27" s="911"/>
      <c r="RRY27" s="911"/>
      <c r="RRZ27" s="915"/>
      <c r="RSA27" s="914"/>
      <c r="RSB27" s="914"/>
      <c r="RSC27" s="914"/>
      <c r="RSD27" s="914"/>
      <c r="RSE27" s="914"/>
      <c r="RSF27" s="914"/>
      <c r="RSG27" s="914"/>
      <c r="RSH27" s="911"/>
      <c r="RSI27" s="911"/>
      <c r="RSJ27" s="911"/>
      <c r="RSK27" s="915"/>
      <c r="RSL27" s="914"/>
      <c r="RSM27" s="914"/>
      <c r="RSN27" s="914"/>
      <c r="RSO27" s="914"/>
      <c r="RSP27" s="914"/>
      <c r="RSQ27" s="914"/>
      <c r="RSR27" s="914"/>
      <c r="RSS27" s="911"/>
      <c r="RST27" s="911"/>
      <c r="RSU27" s="911"/>
      <c r="RSV27" s="915"/>
      <c r="RSW27" s="914"/>
      <c r="RSX27" s="914"/>
      <c r="RSY27" s="914"/>
      <c r="RSZ27" s="914"/>
      <c r="RTA27" s="914"/>
      <c r="RTB27" s="914"/>
      <c r="RTC27" s="914"/>
      <c r="RTD27" s="911"/>
      <c r="RTE27" s="911"/>
      <c r="RTF27" s="911"/>
      <c r="RTG27" s="915"/>
      <c r="RTH27" s="914"/>
      <c r="RTI27" s="914"/>
      <c r="RTJ27" s="914"/>
      <c r="RTK27" s="914"/>
      <c r="RTL27" s="914"/>
      <c r="RTM27" s="914"/>
      <c r="RTN27" s="914"/>
      <c r="RTO27" s="911"/>
      <c r="RTP27" s="911"/>
      <c r="RTQ27" s="911"/>
      <c r="RTR27" s="915"/>
      <c r="RTS27" s="914"/>
      <c r="RTT27" s="914"/>
      <c r="RTU27" s="914"/>
      <c r="RTV27" s="914"/>
      <c r="RTW27" s="914"/>
      <c r="RTX27" s="914"/>
      <c r="RTY27" s="914"/>
      <c r="RTZ27" s="911"/>
      <c r="RUA27" s="911"/>
      <c r="RUB27" s="911"/>
      <c r="RUC27" s="915"/>
      <c r="RUD27" s="914"/>
      <c r="RUE27" s="914"/>
      <c r="RUF27" s="914"/>
      <c r="RUG27" s="914"/>
      <c r="RUH27" s="914"/>
      <c r="RUI27" s="914"/>
      <c r="RUJ27" s="914"/>
      <c r="RUK27" s="911"/>
      <c r="RUL27" s="911"/>
      <c r="RUM27" s="911"/>
      <c r="RUN27" s="915"/>
      <c r="RUO27" s="914"/>
      <c r="RUP27" s="914"/>
      <c r="RUQ27" s="914"/>
      <c r="RUR27" s="914"/>
      <c r="RUS27" s="914"/>
      <c r="RUT27" s="914"/>
      <c r="RUU27" s="914"/>
      <c r="RUV27" s="911"/>
      <c r="RUW27" s="911"/>
      <c r="RUX27" s="911"/>
      <c r="RUY27" s="915"/>
      <c r="RUZ27" s="914"/>
      <c r="RVA27" s="914"/>
      <c r="RVB27" s="914"/>
      <c r="RVC27" s="914"/>
      <c r="RVD27" s="914"/>
      <c r="RVE27" s="914"/>
      <c r="RVF27" s="914"/>
      <c r="RVG27" s="911"/>
      <c r="RVH27" s="911"/>
      <c r="RVI27" s="911"/>
      <c r="RVJ27" s="915"/>
      <c r="RVK27" s="914"/>
      <c r="RVL27" s="914"/>
      <c r="RVM27" s="914"/>
      <c r="RVN27" s="914"/>
      <c r="RVO27" s="914"/>
      <c r="RVP27" s="914"/>
      <c r="RVQ27" s="914"/>
      <c r="RVR27" s="911"/>
      <c r="RVS27" s="911"/>
      <c r="RVT27" s="911"/>
      <c r="RVU27" s="915"/>
      <c r="RVV27" s="914"/>
      <c r="RVW27" s="914"/>
      <c r="RVX27" s="914"/>
      <c r="RVY27" s="914"/>
      <c r="RVZ27" s="914"/>
      <c r="RWA27" s="914"/>
      <c r="RWB27" s="914"/>
      <c r="RWC27" s="911"/>
      <c r="RWD27" s="911"/>
      <c r="RWE27" s="911"/>
      <c r="RWF27" s="915"/>
      <c r="RWG27" s="914"/>
      <c r="RWH27" s="914"/>
      <c r="RWI27" s="914"/>
      <c r="RWJ27" s="914"/>
      <c r="RWK27" s="914"/>
      <c r="RWL27" s="914"/>
      <c r="RWM27" s="914"/>
      <c r="RWN27" s="911"/>
      <c r="RWO27" s="911"/>
      <c r="RWP27" s="911"/>
      <c r="RWQ27" s="915"/>
      <c r="RWR27" s="914"/>
      <c r="RWS27" s="914"/>
      <c r="RWT27" s="914"/>
      <c r="RWU27" s="914"/>
      <c r="RWV27" s="914"/>
      <c r="RWW27" s="914"/>
      <c r="RWX27" s="914"/>
      <c r="RWY27" s="911"/>
      <c r="RWZ27" s="911"/>
      <c r="RXA27" s="911"/>
      <c r="RXB27" s="915"/>
      <c r="RXC27" s="914"/>
      <c r="RXD27" s="914"/>
      <c r="RXE27" s="914"/>
      <c r="RXF27" s="914"/>
      <c r="RXG27" s="914"/>
      <c r="RXH27" s="914"/>
      <c r="RXI27" s="914"/>
      <c r="RXJ27" s="911"/>
      <c r="RXK27" s="911"/>
      <c r="RXL27" s="911"/>
      <c r="RXM27" s="915"/>
      <c r="RXN27" s="914"/>
      <c r="RXO27" s="914"/>
      <c r="RXP27" s="914"/>
      <c r="RXQ27" s="914"/>
      <c r="RXR27" s="914"/>
      <c r="RXS27" s="914"/>
      <c r="RXT27" s="914"/>
      <c r="RXU27" s="911"/>
      <c r="RXV27" s="911"/>
      <c r="RXW27" s="911"/>
      <c r="RXX27" s="915"/>
      <c r="RXY27" s="914"/>
      <c r="RXZ27" s="914"/>
      <c r="RYA27" s="914"/>
      <c r="RYB27" s="914"/>
      <c r="RYC27" s="914"/>
      <c r="RYD27" s="914"/>
      <c r="RYE27" s="914"/>
      <c r="RYF27" s="911"/>
      <c r="RYG27" s="911"/>
      <c r="RYH27" s="911"/>
      <c r="RYI27" s="915"/>
      <c r="RYJ27" s="914"/>
      <c r="RYK27" s="914"/>
      <c r="RYL27" s="914"/>
      <c r="RYM27" s="914"/>
      <c r="RYN27" s="914"/>
      <c r="RYO27" s="914"/>
      <c r="RYP27" s="914"/>
      <c r="RYQ27" s="911"/>
      <c r="RYR27" s="911"/>
      <c r="RYS27" s="911"/>
      <c r="RYT27" s="915"/>
      <c r="RYU27" s="914"/>
      <c r="RYV27" s="914"/>
      <c r="RYW27" s="914"/>
      <c r="RYX27" s="914"/>
      <c r="RYY27" s="914"/>
      <c r="RYZ27" s="914"/>
      <c r="RZA27" s="914"/>
      <c r="RZB27" s="911"/>
      <c r="RZC27" s="911"/>
      <c r="RZD27" s="911"/>
      <c r="RZE27" s="915"/>
      <c r="RZF27" s="914"/>
      <c r="RZG27" s="914"/>
      <c r="RZH27" s="914"/>
      <c r="RZI27" s="914"/>
      <c r="RZJ27" s="914"/>
      <c r="RZK27" s="914"/>
      <c r="RZL27" s="914"/>
      <c r="RZM27" s="911"/>
      <c r="RZN27" s="911"/>
      <c r="RZO27" s="911"/>
      <c r="RZP27" s="915"/>
      <c r="RZQ27" s="914"/>
      <c r="RZR27" s="914"/>
      <c r="RZS27" s="914"/>
      <c r="RZT27" s="914"/>
      <c r="RZU27" s="914"/>
      <c r="RZV27" s="914"/>
      <c r="RZW27" s="914"/>
      <c r="RZX27" s="911"/>
      <c r="RZY27" s="911"/>
      <c r="RZZ27" s="911"/>
      <c r="SAA27" s="915"/>
      <c r="SAB27" s="914"/>
      <c r="SAC27" s="914"/>
      <c r="SAD27" s="914"/>
      <c r="SAE27" s="914"/>
      <c r="SAF27" s="914"/>
      <c r="SAG27" s="914"/>
      <c r="SAH27" s="914"/>
      <c r="SAI27" s="911"/>
      <c r="SAJ27" s="911"/>
      <c r="SAK27" s="911"/>
      <c r="SAL27" s="915"/>
      <c r="SAM27" s="914"/>
      <c r="SAN27" s="914"/>
      <c r="SAO27" s="914"/>
      <c r="SAP27" s="914"/>
      <c r="SAQ27" s="914"/>
      <c r="SAR27" s="914"/>
      <c r="SAS27" s="914"/>
      <c r="SAT27" s="911"/>
      <c r="SAU27" s="911"/>
      <c r="SAV27" s="911"/>
      <c r="SAW27" s="915"/>
      <c r="SAX27" s="914"/>
      <c r="SAY27" s="914"/>
      <c r="SAZ27" s="914"/>
      <c r="SBA27" s="914"/>
      <c r="SBB27" s="914"/>
      <c r="SBC27" s="914"/>
      <c r="SBD27" s="914"/>
      <c r="SBE27" s="911"/>
      <c r="SBF27" s="911"/>
      <c r="SBG27" s="911"/>
      <c r="SBH27" s="915"/>
      <c r="SBI27" s="914"/>
      <c r="SBJ27" s="914"/>
      <c r="SBK27" s="914"/>
      <c r="SBL27" s="914"/>
      <c r="SBM27" s="914"/>
      <c r="SBN27" s="914"/>
      <c r="SBO27" s="914"/>
      <c r="SBP27" s="911"/>
      <c r="SBQ27" s="911"/>
      <c r="SBR27" s="911"/>
      <c r="SBS27" s="915"/>
      <c r="SBT27" s="914"/>
      <c r="SBU27" s="914"/>
      <c r="SBV27" s="914"/>
      <c r="SBW27" s="914"/>
      <c r="SBX27" s="914"/>
      <c r="SBY27" s="914"/>
      <c r="SBZ27" s="914"/>
      <c r="SCA27" s="911"/>
      <c r="SCB27" s="911"/>
      <c r="SCC27" s="911"/>
      <c r="SCD27" s="915"/>
      <c r="SCE27" s="914"/>
      <c r="SCF27" s="914"/>
      <c r="SCG27" s="914"/>
      <c r="SCH27" s="914"/>
      <c r="SCI27" s="914"/>
      <c r="SCJ27" s="914"/>
      <c r="SCK27" s="914"/>
      <c r="SCL27" s="911"/>
      <c r="SCM27" s="911"/>
      <c r="SCN27" s="911"/>
      <c r="SCO27" s="915"/>
      <c r="SCP27" s="914"/>
      <c r="SCQ27" s="914"/>
      <c r="SCR27" s="914"/>
      <c r="SCS27" s="914"/>
      <c r="SCT27" s="914"/>
      <c r="SCU27" s="914"/>
      <c r="SCV27" s="914"/>
      <c r="SCW27" s="911"/>
      <c r="SCX27" s="911"/>
      <c r="SCY27" s="911"/>
      <c r="SCZ27" s="915"/>
      <c r="SDA27" s="914"/>
      <c r="SDB27" s="914"/>
      <c r="SDC27" s="914"/>
      <c r="SDD27" s="914"/>
      <c r="SDE27" s="914"/>
      <c r="SDF27" s="914"/>
      <c r="SDG27" s="914"/>
      <c r="SDH27" s="911"/>
      <c r="SDI27" s="911"/>
      <c r="SDJ27" s="911"/>
      <c r="SDK27" s="915"/>
      <c r="SDL27" s="914"/>
      <c r="SDM27" s="914"/>
      <c r="SDN27" s="914"/>
      <c r="SDO27" s="914"/>
      <c r="SDP27" s="914"/>
      <c r="SDQ27" s="914"/>
      <c r="SDR27" s="914"/>
      <c r="SDS27" s="911"/>
      <c r="SDT27" s="911"/>
      <c r="SDU27" s="911"/>
      <c r="SDV27" s="915"/>
      <c r="SDW27" s="914"/>
      <c r="SDX27" s="914"/>
      <c r="SDY27" s="914"/>
      <c r="SDZ27" s="914"/>
      <c r="SEA27" s="914"/>
      <c r="SEB27" s="914"/>
      <c r="SEC27" s="914"/>
      <c r="SED27" s="911"/>
      <c r="SEE27" s="911"/>
      <c r="SEF27" s="911"/>
      <c r="SEG27" s="915"/>
      <c r="SEH27" s="914"/>
      <c r="SEI27" s="914"/>
      <c r="SEJ27" s="914"/>
      <c r="SEK27" s="914"/>
      <c r="SEL27" s="914"/>
      <c r="SEM27" s="914"/>
      <c r="SEN27" s="914"/>
      <c r="SEO27" s="911"/>
      <c r="SEP27" s="911"/>
      <c r="SEQ27" s="911"/>
      <c r="SER27" s="915"/>
      <c r="SES27" s="914"/>
      <c r="SET27" s="914"/>
      <c r="SEU27" s="914"/>
      <c r="SEV27" s="914"/>
      <c r="SEW27" s="914"/>
      <c r="SEX27" s="914"/>
      <c r="SEY27" s="914"/>
      <c r="SEZ27" s="911"/>
      <c r="SFA27" s="911"/>
      <c r="SFB27" s="911"/>
      <c r="SFC27" s="915"/>
      <c r="SFD27" s="914"/>
      <c r="SFE27" s="914"/>
      <c r="SFF27" s="914"/>
      <c r="SFG27" s="914"/>
      <c r="SFH27" s="914"/>
      <c r="SFI27" s="914"/>
      <c r="SFJ27" s="914"/>
      <c r="SFK27" s="911"/>
      <c r="SFL27" s="911"/>
      <c r="SFM27" s="911"/>
      <c r="SFN27" s="915"/>
      <c r="SFO27" s="914"/>
      <c r="SFP27" s="914"/>
      <c r="SFQ27" s="914"/>
      <c r="SFR27" s="914"/>
      <c r="SFS27" s="914"/>
      <c r="SFT27" s="914"/>
      <c r="SFU27" s="914"/>
      <c r="SFV27" s="911"/>
      <c r="SFW27" s="911"/>
      <c r="SFX27" s="911"/>
      <c r="SFY27" s="915"/>
      <c r="SFZ27" s="914"/>
      <c r="SGA27" s="914"/>
      <c r="SGB27" s="914"/>
      <c r="SGC27" s="914"/>
      <c r="SGD27" s="914"/>
      <c r="SGE27" s="914"/>
      <c r="SGF27" s="914"/>
      <c r="SGG27" s="911"/>
      <c r="SGH27" s="911"/>
      <c r="SGI27" s="911"/>
      <c r="SGJ27" s="915"/>
      <c r="SGK27" s="914"/>
      <c r="SGL27" s="914"/>
      <c r="SGM27" s="914"/>
      <c r="SGN27" s="914"/>
      <c r="SGO27" s="914"/>
      <c r="SGP27" s="914"/>
      <c r="SGQ27" s="914"/>
      <c r="SGR27" s="911"/>
      <c r="SGS27" s="911"/>
      <c r="SGT27" s="911"/>
      <c r="SGU27" s="915"/>
      <c r="SGV27" s="914"/>
      <c r="SGW27" s="914"/>
      <c r="SGX27" s="914"/>
      <c r="SGY27" s="914"/>
      <c r="SGZ27" s="914"/>
      <c r="SHA27" s="914"/>
      <c r="SHB27" s="914"/>
      <c r="SHC27" s="911"/>
      <c r="SHD27" s="911"/>
      <c r="SHE27" s="911"/>
      <c r="SHF27" s="915"/>
      <c r="SHG27" s="914"/>
      <c r="SHH27" s="914"/>
      <c r="SHI27" s="914"/>
      <c r="SHJ27" s="914"/>
      <c r="SHK27" s="914"/>
      <c r="SHL27" s="914"/>
      <c r="SHM27" s="914"/>
      <c r="SHN27" s="911"/>
      <c r="SHO27" s="911"/>
      <c r="SHP27" s="911"/>
      <c r="SHQ27" s="915"/>
      <c r="SHR27" s="914"/>
      <c r="SHS27" s="914"/>
      <c r="SHT27" s="914"/>
      <c r="SHU27" s="914"/>
      <c r="SHV27" s="914"/>
      <c r="SHW27" s="914"/>
      <c r="SHX27" s="914"/>
      <c r="SHY27" s="911"/>
      <c r="SHZ27" s="911"/>
      <c r="SIA27" s="911"/>
      <c r="SIB27" s="915"/>
      <c r="SIC27" s="914"/>
      <c r="SID27" s="914"/>
      <c r="SIE27" s="914"/>
      <c r="SIF27" s="914"/>
      <c r="SIG27" s="914"/>
      <c r="SIH27" s="914"/>
      <c r="SII27" s="914"/>
      <c r="SIJ27" s="911"/>
      <c r="SIK27" s="911"/>
      <c r="SIL27" s="911"/>
      <c r="SIM27" s="915"/>
      <c r="SIN27" s="914"/>
      <c r="SIO27" s="914"/>
      <c r="SIP27" s="914"/>
      <c r="SIQ27" s="914"/>
      <c r="SIR27" s="914"/>
      <c r="SIS27" s="914"/>
      <c r="SIT27" s="914"/>
      <c r="SIU27" s="911"/>
      <c r="SIV27" s="911"/>
      <c r="SIW27" s="911"/>
      <c r="SIX27" s="915"/>
      <c r="SIY27" s="914"/>
      <c r="SIZ27" s="914"/>
      <c r="SJA27" s="914"/>
      <c r="SJB27" s="914"/>
      <c r="SJC27" s="914"/>
      <c r="SJD27" s="914"/>
      <c r="SJE27" s="914"/>
      <c r="SJF27" s="911"/>
      <c r="SJG27" s="911"/>
      <c r="SJH27" s="911"/>
      <c r="SJI27" s="915"/>
      <c r="SJJ27" s="914"/>
      <c r="SJK27" s="914"/>
      <c r="SJL27" s="914"/>
      <c r="SJM27" s="914"/>
      <c r="SJN27" s="914"/>
      <c r="SJO27" s="914"/>
      <c r="SJP27" s="914"/>
      <c r="SJQ27" s="911"/>
      <c r="SJR27" s="911"/>
      <c r="SJS27" s="911"/>
      <c r="SJT27" s="915"/>
      <c r="SJU27" s="914"/>
      <c r="SJV27" s="914"/>
      <c r="SJW27" s="914"/>
      <c r="SJX27" s="914"/>
      <c r="SJY27" s="914"/>
      <c r="SJZ27" s="914"/>
      <c r="SKA27" s="914"/>
      <c r="SKB27" s="911"/>
      <c r="SKC27" s="911"/>
      <c r="SKD27" s="911"/>
      <c r="SKE27" s="915"/>
      <c r="SKF27" s="914"/>
      <c r="SKG27" s="914"/>
      <c r="SKH27" s="914"/>
      <c r="SKI27" s="914"/>
      <c r="SKJ27" s="914"/>
      <c r="SKK27" s="914"/>
      <c r="SKL27" s="914"/>
      <c r="SKM27" s="911"/>
      <c r="SKN27" s="911"/>
      <c r="SKO27" s="911"/>
      <c r="SKP27" s="915"/>
      <c r="SKQ27" s="914"/>
      <c r="SKR27" s="914"/>
      <c r="SKS27" s="914"/>
      <c r="SKT27" s="914"/>
      <c r="SKU27" s="914"/>
      <c r="SKV27" s="914"/>
      <c r="SKW27" s="914"/>
      <c r="SKX27" s="911"/>
      <c r="SKY27" s="911"/>
      <c r="SKZ27" s="911"/>
      <c r="SLA27" s="915"/>
      <c r="SLB27" s="914"/>
      <c r="SLC27" s="914"/>
      <c r="SLD27" s="914"/>
      <c r="SLE27" s="914"/>
      <c r="SLF27" s="914"/>
      <c r="SLG27" s="914"/>
      <c r="SLH27" s="914"/>
      <c r="SLI27" s="911"/>
      <c r="SLJ27" s="911"/>
      <c r="SLK27" s="911"/>
      <c r="SLL27" s="915"/>
      <c r="SLM27" s="914"/>
      <c r="SLN27" s="914"/>
      <c r="SLO27" s="914"/>
      <c r="SLP27" s="914"/>
      <c r="SLQ27" s="914"/>
      <c r="SLR27" s="914"/>
      <c r="SLS27" s="914"/>
      <c r="SLT27" s="911"/>
      <c r="SLU27" s="911"/>
      <c r="SLV27" s="911"/>
      <c r="SLW27" s="915"/>
      <c r="SLX27" s="914"/>
      <c r="SLY27" s="914"/>
      <c r="SLZ27" s="914"/>
      <c r="SMA27" s="914"/>
      <c r="SMB27" s="914"/>
      <c r="SMC27" s="914"/>
      <c r="SMD27" s="914"/>
      <c r="SME27" s="911"/>
      <c r="SMF27" s="911"/>
      <c r="SMG27" s="911"/>
      <c r="SMH27" s="915"/>
      <c r="SMI27" s="914"/>
      <c r="SMJ27" s="914"/>
      <c r="SMK27" s="914"/>
      <c r="SML27" s="914"/>
      <c r="SMM27" s="914"/>
      <c r="SMN27" s="914"/>
      <c r="SMO27" s="914"/>
      <c r="SMP27" s="911"/>
      <c r="SMQ27" s="911"/>
      <c r="SMR27" s="911"/>
      <c r="SMS27" s="915"/>
      <c r="SMT27" s="914"/>
      <c r="SMU27" s="914"/>
      <c r="SMV27" s="914"/>
      <c r="SMW27" s="914"/>
      <c r="SMX27" s="914"/>
      <c r="SMY27" s="914"/>
      <c r="SMZ27" s="914"/>
      <c r="SNA27" s="911"/>
      <c r="SNB27" s="911"/>
      <c r="SNC27" s="911"/>
      <c r="SND27" s="915"/>
      <c r="SNE27" s="914"/>
      <c r="SNF27" s="914"/>
      <c r="SNG27" s="914"/>
      <c r="SNH27" s="914"/>
      <c r="SNI27" s="914"/>
      <c r="SNJ27" s="914"/>
      <c r="SNK27" s="914"/>
      <c r="SNL27" s="911"/>
      <c r="SNM27" s="911"/>
      <c r="SNN27" s="911"/>
      <c r="SNO27" s="915"/>
      <c r="SNP27" s="914"/>
      <c r="SNQ27" s="914"/>
      <c r="SNR27" s="914"/>
      <c r="SNS27" s="914"/>
      <c r="SNT27" s="914"/>
      <c r="SNU27" s="914"/>
      <c r="SNV27" s="914"/>
      <c r="SNW27" s="911"/>
      <c r="SNX27" s="911"/>
      <c r="SNY27" s="911"/>
      <c r="SNZ27" s="915"/>
      <c r="SOA27" s="914"/>
      <c r="SOB27" s="914"/>
      <c r="SOC27" s="914"/>
      <c r="SOD27" s="914"/>
      <c r="SOE27" s="914"/>
      <c r="SOF27" s="914"/>
      <c r="SOG27" s="914"/>
      <c r="SOH27" s="911"/>
      <c r="SOI27" s="911"/>
      <c r="SOJ27" s="911"/>
      <c r="SOK27" s="915"/>
      <c r="SOL27" s="914"/>
      <c r="SOM27" s="914"/>
      <c r="SON27" s="914"/>
      <c r="SOO27" s="914"/>
      <c r="SOP27" s="914"/>
      <c r="SOQ27" s="914"/>
      <c r="SOR27" s="914"/>
      <c r="SOS27" s="911"/>
      <c r="SOT27" s="911"/>
      <c r="SOU27" s="911"/>
      <c r="SOV27" s="915"/>
      <c r="SOW27" s="914"/>
      <c r="SOX27" s="914"/>
      <c r="SOY27" s="914"/>
      <c r="SOZ27" s="914"/>
      <c r="SPA27" s="914"/>
      <c r="SPB27" s="914"/>
      <c r="SPC27" s="914"/>
      <c r="SPD27" s="911"/>
      <c r="SPE27" s="911"/>
      <c r="SPF27" s="911"/>
      <c r="SPG27" s="915"/>
      <c r="SPH27" s="914"/>
      <c r="SPI27" s="914"/>
      <c r="SPJ27" s="914"/>
      <c r="SPK27" s="914"/>
      <c r="SPL27" s="914"/>
      <c r="SPM27" s="914"/>
      <c r="SPN27" s="914"/>
      <c r="SPO27" s="911"/>
      <c r="SPP27" s="911"/>
      <c r="SPQ27" s="911"/>
      <c r="SPR27" s="915"/>
      <c r="SPS27" s="914"/>
      <c r="SPT27" s="914"/>
      <c r="SPU27" s="914"/>
      <c r="SPV27" s="914"/>
      <c r="SPW27" s="914"/>
      <c r="SPX27" s="914"/>
      <c r="SPY27" s="914"/>
      <c r="SPZ27" s="911"/>
      <c r="SQA27" s="911"/>
      <c r="SQB27" s="911"/>
      <c r="SQC27" s="915"/>
      <c r="SQD27" s="914"/>
      <c r="SQE27" s="914"/>
      <c r="SQF27" s="914"/>
      <c r="SQG27" s="914"/>
      <c r="SQH27" s="914"/>
      <c r="SQI27" s="914"/>
      <c r="SQJ27" s="914"/>
      <c r="SQK27" s="911"/>
      <c r="SQL27" s="911"/>
      <c r="SQM27" s="911"/>
      <c r="SQN27" s="915"/>
      <c r="SQO27" s="914"/>
      <c r="SQP27" s="914"/>
      <c r="SQQ27" s="914"/>
      <c r="SQR27" s="914"/>
      <c r="SQS27" s="914"/>
      <c r="SQT27" s="914"/>
      <c r="SQU27" s="914"/>
      <c r="SQV27" s="911"/>
      <c r="SQW27" s="911"/>
      <c r="SQX27" s="911"/>
      <c r="SQY27" s="915"/>
      <c r="SQZ27" s="914"/>
      <c r="SRA27" s="914"/>
      <c r="SRB27" s="914"/>
      <c r="SRC27" s="914"/>
      <c r="SRD27" s="914"/>
      <c r="SRE27" s="914"/>
      <c r="SRF27" s="914"/>
      <c r="SRG27" s="911"/>
      <c r="SRH27" s="911"/>
      <c r="SRI27" s="911"/>
      <c r="SRJ27" s="915"/>
      <c r="SRK27" s="914"/>
      <c r="SRL27" s="914"/>
      <c r="SRM27" s="914"/>
      <c r="SRN27" s="914"/>
      <c r="SRO27" s="914"/>
      <c r="SRP27" s="914"/>
      <c r="SRQ27" s="914"/>
      <c r="SRR27" s="911"/>
      <c r="SRS27" s="911"/>
      <c r="SRT27" s="911"/>
      <c r="SRU27" s="915"/>
      <c r="SRV27" s="914"/>
      <c r="SRW27" s="914"/>
      <c r="SRX27" s="914"/>
      <c r="SRY27" s="914"/>
      <c r="SRZ27" s="914"/>
      <c r="SSA27" s="914"/>
      <c r="SSB27" s="914"/>
      <c r="SSC27" s="911"/>
      <c r="SSD27" s="911"/>
      <c r="SSE27" s="911"/>
      <c r="SSF27" s="915"/>
      <c r="SSG27" s="914"/>
      <c r="SSH27" s="914"/>
      <c r="SSI27" s="914"/>
      <c r="SSJ27" s="914"/>
      <c r="SSK27" s="914"/>
      <c r="SSL27" s="914"/>
      <c r="SSM27" s="914"/>
      <c r="SSN27" s="911"/>
      <c r="SSO27" s="911"/>
      <c r="SSP27" s="911"/>
      <c r="SSQ27" s="915"/>
      <c r="SSR27" s="914"/>
      <c r="SSS27" s="914"/>
      <c r="SST27" s="914"/>
      <c r="SSU27" s="914"/>
      <c r="SSV27" s="914"/>
      <c r="SSW27" s="914"/>
      <c r="SSX27" s="914"/>
      <c r="SSY27" s="911"/>
      <c r="SSZ27" s="911"/>
      <c r="STA27" s="911"/>
      <c r="STB27" s="915"/>
      <c r="STC27" s="914"/>
      <c r="STD27" s="914"/>
      <c r="STE27" s="914"/>
      <c r="STF27" s="914"/>
      <c r="STG27" s="914"/>
      <c r="STH27" s="914"/>
      <c r="STI27" s="914"/>
      <c r="STJ27" s="911"/>
      <c r="STK27" s="911"/>
      <c r="STL27" s="911"/>
      <c r="STM27" s="915"/>
      <c r="STN27" s="914"/>
      <c r="STO27" s="914"/>
      <c r="STP27" s="914"/>
      <c r="STQ27" s="914"/>
      <c r="STR27" s="914"/>
      <c r="STS27" s="914"/>
      <c r="STT27" s="914"/>
      <c r="STU27" s="911"/>
      <c r="STV27" s="911"/>
      <c r="STW27" s="911"/>
      <c r="STX27" s="915"/>
      <c r="STY27" s="914"/>
      <c r="STZ27" s="914"/>
      <c r="SUA27" s="914"/>
      <c r="SUB27" s="914"/>
      <c r="SUC27" s="914"/>
      <c r="SUD27" s="914"/>
      <c r="SUE27" s="914"/>
      <c r="SUF27" s="911"/>
      <c r="SUG27" s="911"/>
      <c r="SUH27" s="911"/>
      <c r="SUI27" s="915"/>
      <c r="SUJ27" s="914"/>
      <c r="SUK27" s="914"/>
      <c r="SUL27" s="914"/>
      <c r="SUM27" s="914"/>
      <c r="SUN27" s="914"/>
      <c r="SUO27" s="914"/>
      <c r="SUP27" s="914"/>
      <c r="SUQ27" s="911"/>
      <c r="SUR27" s="911"/>
      <c r="SUS27" s="911"/>
      <c r="SUT27" s="915"/>
      <c r="SUU27" s="914"/>
      <c r="SUV27" s="914"/>
      <c r="SUW27" s="914"/>
      <c r="SUX27" s="914"/>
      <c r="SUY27" s="914"/>
      <c r="SUZ27" s="914"/>
      <c r="SVA27" s="914"/>
      <c r="SVB27" s="911"/>
      <c r="SVC27" s="911"/>
      <c r="SVD27" s="911"/>
      <c r="SVE27" s="915"/>
      <c r="SVF27" s="914"/>
      <c r="SVG27" s="914"/>
      <c r="SVH27" s="914"/>
      <c r="SVI27" s="914"/>
      <c r="SVJ27" s="914"/>
      <c r="SVK27" s="914"/>
      <c r="SVL27" s="914"/>
      <c r="SVM27" s="911"/>
      <c r="SVN27" s="911"/>
      <c r="SVO27" s="911"/>
      <c r="SVP27" s="915"/>
      <c r="SVQ27" s="914"/>
      <c r="SVR27" s="914"/>
      <c r="SVS27" s="914"/>
      <c r="SVT27" s="914"/>
      <c r="SVU27" s="914"/>
      <c r="SVV27" s="914"/>
      <c r="SVW27" s="914"/>
      <c r="SVX27" s="911"/>
      <c r="SVY27" s="911"/>
      <c r="SVZ27" s="911"/>
      <c r="SWA27" s="915"/>
      <c r="SWB27" s="914"/>
      <c r="SWC27" s="914"/>
      <c r="SWD27" s="914"/>
      <c r="SWE27" s="914"/>
      <c r="SWF27" s="914"/>
      <c r="SWG27" s="914"/>
      <c r="SWH27" s="914"/>
      <c r="SWI27" s="911"/>
      <c r="SWJ27" s="911"/>
      <c r="SWK27" s="911"/>
      <c r="SWL27" s="915"/>
      <c r="SWM27" s="914"/>
      <c r="SWN27" s="914"/>
      <c r="SWO27" s="914"/>
      <c r="SWP27" s="914"/>
      <c r="SWQ27" s="914"/>
      <c r="SWR27" s="914"/>
      <c r="SWS27" s="914"/>
      <c r="SWT27" s="911"/>
      <c r="SWU27" s="911"/>
      <c r="SWV27" s="911"/>
      <c r="SWW27" s="915"/>
      <c r="SWX27" s="914"/>
      <c r="SWY27" s="914"/>
      <c r="SWZ27" s="914"/>
      <c r="SXA27" s="914"/>
      <c r="SXB27" s="914"/>
      <c r="SXC27" s="914"/>
      <c r="SXD27" s="914"/>
      <c r="SXE27" s="911"/>
      <c r="SXF27" s="911"/>
      <c r="SXG27" s="911"/>
      <c r="SXH27" s="915"/>
      <c r="SXI27" s="914"/>
      <c r="SXJ27" s="914"/>
      <c r="SXK27" s="914"/>
      <c r="SXL27" s="914"/>
      <c r="SXM27" s="914"/>
      <c r="SXN27" s="914"/>
      <c r="SXO27" s="914"/>
      <c r="SXP27" s="911"/>
      <c r="SXQ27" s="911"/>
      <c r="SXR27" s="911"/>
      <c r="SXS27" s="915"/>
      <c r="SXT27" s="914"/>
      <c r="SXU27" s="914"/>
      <c r="SXV27" s="914"/>
      <c r="SXW27" s="914"/>
      <c r="SXX27" s="914"/>
      <c r="SXY27" s="914"/>
      <c r="SXZ27" s="914"/>
      <c r="SYA27" s="911"/>
      <c r="SYB27" s="911"/>
      <c r="SYC27" s="911"/>
      <c r="SYD27" s="915"/>
      <c r="SYE27" s="914"/>
      <c r="SYF27" s="914"/>
      <c r="SYG27" s="914"/>
      <c r="SYH27" s="914"/>
      <c r="SYI27" s="914"/>
      <c r="SYJ27" s="914"/>
      <c r="SYK27" s="914"/>
      <c r="SYL27" s="911"/>
      <c r="SYM27" s="911"/>
      <c r="SYN27" s="911"/>
      <c r="SYO27" s="915"/>
      <c r="SYP27" s="914"/>
      <c r="SYQ27" s="914"/>
      <c r="SYR27" s="914"/>
      <c r="SYS27" s="914"/>
      <c r="SYT27" s="914"/>
      <c r="SYU27" s="914"/>
      <c r="SYV27" s="914"/>
      <c r="SYW27" s="911"/>
      <c r="SYX27" s="911"/>
      <c r="SYY27" s="911"/>
      <c r="SYZ27" s="915"/>
      <c r="SZA27" s="914"/>
      <c r="SZB27" s="914"/>
      <c r="SZC27" s="914"/>
      <c r="SZD27" s="914"/>
      <c r="SZE27" s="914"/>
      <c r="SZF27" s="914"/>
      <c r="SZG27" s="914"/>
      <c r="SZH27" s="911"/>
      <c r="SZI27" s="911"/>
      <c r="SZJ27" s="911"/>
      <c r="SZK27" s="915"/>
      <c r="SZL27" s="914"/>
      <c r="SZM27" s="914"/>
      <c r="SZN27" s="914"/>
      <c r="SZO27" s="914"/>
      <c r="SZP27" s="914"/>
      <c r="SZQ27" s="914"/>
      <c r="SZR27" s="914"/>
      <c r="SZS27" s="911"/>
      <c r="SZT27" s="911"/>
      <c r="SZU27" s="911"/>
      <c r="SZV27" s="915"/>
      <c r="SZW27" s="914"/>
      <c r="SZX27" s="914"/>
      <c r="SZY27" s="914"/>
      <c r="SZZ27" s="914"/>
      <c r="TAA27" s="914"/>
      <c r="TAB27" s="914"/>
      <c r="TAC27" s="914"/>
      <c r="TAD27" s="911"/>
      <c r="TAE27" s="911"/>
      <c r="TAF27" s="911"/>
      <c r="TAG27" s="915"/>
      <c r="TAH27" s="914"/>
      <c r="TAI27" s="914"/>
      <c r="TAJ27" s="914"/>
      <c r="TAK27" s="914"/>
      <c r="TAL27" s="914"/>
      <c r="TAM27" s="914"/>
      <c r="TAN27" s="914"/>
      <c r="TAO27" s="911"/>
      <c r="TAP27" s="911"/>
      <c r="TAQ27" s="911"/>
      <c r="TAR27" s="915"/>
      <c r="TAS27" s="914"/>
      <c r="TAT27" s="914"/>
      <c r="TAU27" s="914"/>
      <c r="TAV27" s="914"/>
      <c r="TAW27" s="914"/>
      <c r="TAX27" s="914"/>
      <c r="TAY27" s="914"/>
      <c r="TAZ27" s="911"/>
      <c r="TBA27" s="911"/>
      <c r="TBB27" s="911"/>
      <c r="TBC27" s="915"/>
      <c r="TBD27" s="914"/>
      <c r="TBE27" s="914"/>
      <c r="TBF27" s="914"/>
      <c r="TBG27" s="914"/>
      <c r="TBH27" s="914"/>
      <c r="TBI27" s="914"/>
      <c r="TBJ27" s="914"/>
      <c r="TBK27" s="911"/>
      <c r="TBL27" s="911"/>
      <c r="TBM27" s="911"/>
      <c r="TBN27" s="915"/>
      <c r="TBO27" s="914"/>
      <c r="TBP27" s="914"/>
      <c r="TBQ27" s="914"/>
      <c r="TBR27" s="914"/>
      <c r="TBS27" s="914"/>
      <c r="TBT27" s="914"/>
      <c r="TBU27" s="914"/>
      <c r="TBV27" s="911"/>
      <c r="TBW27" s="911"/>
      <c r="TBX27" s="911"/>
      <c r="TBY27" s="915"/>
      <c r="TBZ27" s="914"/>
      <c r="TCA27" s="914"/>
      <c r="TCB27" s="914"/>
      <c r="TCC27" s="914"/>
      <c r="TCD27" s="914"/>
      <c r="TCE27" s="914"/>
      <c r="TCF27" s="914"/>
      <c r="TCG27" s="911"/>
      <c r="TCH27" s="911"/>
      <c r="TCI27" s="911"/>
      <c r="TCJ27" s="915"/>
      <c r="TCK27" s="914"/>
      <c r="TCL27" s="914"/>
      <c r="TCM27" s="914"/>
      <c r="TCN27" s="914"/>
      <c r="TCO27" s="914"/>
      <c r="TCP27" s="914"/>
      <c r="TCQ27" s="914"/>
      <c r="TCR27" s="911"/>
      <c r="TCS27" s="911"/>
      <c r="TCT27" s="911"/>
      <c r="TCU27" s="915"/>
      <c r="TCV27" s="914"/>
      <c r="TCW27" s="914"/>
      <c r="TCX27" s="914"/>
      <c r="TCY27" s="914"/>
      <c r="TCZ27" s="914"/>
      <c r="TDA27" s="914"/>
      <c r="TDB27" s="914"/>
      <c r="TDC27" s="911"/>
      <c r="TDD27" s="911"/>
      <c r="TDE27" s="911"/>
      <c r="TDF27" s="915"/>
      <c r="TDG27" s="914"/>
      <c r="TDH27" s="914"/>
      <c r="TDI27" s="914"/>
      <c r="TDJ27" s="914"/>
      <c r="TDK27" s="914"/>
      <c r="TDL27" s="914"/>
      <c r="TDM27" s="914"/>
      <c r="TDN27" s="911"/>
      <c r="TDO27" s="911"/>
      <c r="TDP27" s="911"/>
      <c r="TDQ27" s="915"/>
      <c r="TDR27" s="914"/>
      <c r="TDS27" s="914"/>
      <c r="TDT27" s="914"/>
      <c r="TDU27" s="914"/>
      <c r="TDV27" s="914"/>
      <c r="TDW27" s="914"/>
      <c r="TDX27" s="914"/>
      <c r="TDY27" s="911"/>
      <c r="TDZ27" s="911"/>
      <c r="TEA27" s="911"/>
      <c r="TEB27" s="915"/>
      <c r="TEC27" s="914"/>
      <c r="TED27" s="914"/>
      <c r="TEE27" s="914"/>
      <c r="TEF27" s="914"/>
      <c r="TEG27" s="914"/>
      <c r="TEH27" s="914"/>
      <c r="TEI27" s="914"/>
      <c r="TEJ27" s="911"/>
      <c r="TEK27" s="911"/>
      <c r="TEL27" s="911"/>
      <c r="TEM27" s="915"/>
      <c r="TEN27" s="914"/>
      <c r="TEO27" s="914"/>
      <c r="TEP27" s="914"/>
      <c r="TEQ27" s="914"/>
      <c r="TER27" s="914"/>
      <c r="TES27" s="914"/>
      <c r="TET27" s="914"/>
      <c r="TEU27" s="911"/>
      <c r="TEV27" s="911"/>
      <c r="TEW27" s="911"/>
      <c r="TEX27" s="915"/>
      <c r="TEY27" s="914"/>
      <c r="TEZ27" s="914"/>
      <c r="TFA27" s="914"/>
      <c r="TFB27" s="914"/>
      <c r="TFC27" s="914"/>
      <c r="TFD27" s="914"/>
      <c r="TFE27" s="914"/>
      <c r="TFF27" s="911"/>
      <c r="TFG27" s="911"/>
      <c r="TFH27" s="911"/>
      <c r="TFI27" s="915"/>
      <c r="TFJ27" s="914"/>
      <c r="TFK27" s="914"/>
      <c r="TFL27" s="914"/>
      <c r="TFM27" s="914"/>
      <c r="TFN27" s="914"/>
      <c r="TFO27" s="914"/>
      <c r="TFP27" s="914"/>
      <c r="TFQ27" s="911"/>
      <c r="TFR27" s="911"/>
      <c r="TFS27" s="911"/>
      <c r="TFT27" s="915"/>
      <c r="TFU27" s="914"/>
      <c r="TFV27" s="914"/>
      <c r="TFW27" s="914"/>
      <c r="TFX27" s="914"/>
      <c r="TFY27" s="914"/>
      <c r="TFZ27" s="914"/>
      <c r="TGA27" s="914"/>
      <c r="TGB27" s="911"/>
      <c r="TGC27" s="911"/>
      <c r="TGD27" s="911"/>
      <c r="TGE27" s="915"/>
      <c r="TGF27" s="914"/>
      <c r="TGG27" s="914"/>
      <c r="TGH27" s="914"/>
      <c r="TGI27" s="914"/>
      <c r="TGJ27" s="914"/>
      <c r="TGK27" s="914"/>
      <c r="TGL27" s="914"/>
      <c r="TGM27" s="911"/>
      <c r="TGN27" s="911"/>
      <c r="TGO27" s="911"/>
      <c r="TGP27" s="915"/>
      <c r="TGQ27" s="914"/>
      <c r="TGR27" s="914"/>
      <c r="TGS27" s="914"/>
      <c r="TGT27" s="914"/>
      <c r="TGU27" s="914"/>
      <c r="TGV27" s="914"/>
      <c r="TGW27" s="914"/>
      <c r="TGX27" s="911"/>
      <c r="TGY27" s="911"/>
      <c r="TGZ27" s="911"/>
      <c r="THA27" s="915"/>
      <c r="THB27" s="914"/>
      <c r="THC27" s="914"/>
      <c r="THD27" s="914"/>
      <c r="THE27" s="914"/>
      <c r="THF27" s="914"/>
      <c r="THG27" s="914"/>
      <c r="THH27" s="914"/>
      <c r="THI27" s="911"/>
      <c r="THJ27" s="911"/>
      <c r="THK27" s="911"/>
      <c r="THL27" s="915"/>
      <c r="THM27" s="914"/>
      <c r="THN27" s="914"/>
      <c r="THO27" s="914"/>
      <c r="THP27" s="914"/>
      <c r="THQ27" s="914"/>
      <c r="THR27" s="914"/>
      <c r="THS27" s="914"/>
      <c r="THT27" s="911"/>
      <c r="THU27" s="911"/>
      <c r="THV27" s="911"/>
      <c r="THW27" s="915"/>
      <c r="THX27" s="914"/>
      <c r="THY27" s="914"/>
      <c r="THZ27" s="914"/>
      <c r="TIA27" s="914"/>
      <c r="TIB27" s="914"/>
      <c r="TIC27" s="914"/>
      <c r="TID27" s="914"/>
      <c r="TIE27" s="911"/>
      <c r="TIF27" s="911"/>
      <c r="TIG27" s="911"/>
      <c r="TIH27" s="915"/>
      <c r="TII27" s="914"/>
      <c r="TIJ27" s="914"/>
      <c r="TIK27" s="914"/>
      <c r="TIL27" s="914"/>
      <c r="TIM27" s="914"/>
      <c r="TIN27" s="914"/>
      <c r="TIO27" s="914"/>
      <c r="TIP27" s="911"/>
      <c r="TIQ27" s="911"/>
      <c r="TIR27" s="911"/>
      <c r="TIS27" s="915"/>
      <c r="TIT27" s="914"/>
      <c r="TIU27" s="914"/>
      <c r="TIV27" s="914"/>
      <c r="TIW27" s="914"/>
      <c r="TIX27" s="914"/>
      <c r="TIY27" s="914"/>
      <c r="TIZ27" s="914"/>
      <c r="TJA27" s="911"/>
      <c r="TJB27" s="911"/>
      <c r="TJC27" s="911"/>
      <c r="TJD27" s="915"/>
      <c r="TJE27" s="914"/>
      <c r="TJF27" s="914"/>
      <c r="TJG27" s="914"/>
      <c r="TJH27" s="914"/>
      <c r="TJI27" s="914"/>
      <c r="TJJ27" s="914"/>
      <c r="TJK27" s="914"/>
      <c r="TJL27" s="911"/>
      <c r="TJM27" s="911"/>
      <c r="TJN27" s="911"/>
      <c r="TJO27" s="915"/>
      <c r="TJP27" s="914"/>
      <c r="TJQ27" s="914"/>
      <c r="TJR27" s="914"/>
      <c r="TJS27" s="914"/>
      <c r="TJT27" s="914"/>
      <c r="TJU27" s="914"/>
      <c r="TJV27" s="914"/>
      <c r="TJW27" s="911"/>
      <c r="TJX27" s="911"/>
      <c r="TJY27" s="911"/>
      <c r="TJZ27" s="915"/>
      <c r="TKA27" s="914"/>
      <c r="TKB27" s="914"/>
      <c r="TKC27" s="914"/>
      <c r="TKD27" s="914"/>
      <c r="TKE27" s="914"/>
      <c r="TKF27" s="914"/>
      <c r="TKG27" s="914"/>
      <c r="TKH27" s="911"/>
      <c r="TKI27" s="911"/>
      <c r="TKJ27" s="911"/>
      <c r="TKK27" s="915"/>
      <c r="TKL27" s="914"/>
      <c r="TKM27" s="914"/>
      <c r="TKN27" s="914"/>
      <c r="TKO27" s="914"/>
      <c r="TKP27" s="914"/>
      <c r="TKQ27" s="914"/>
      <c r="TKR27" s="914"/>
      <c r="TKS27" s="911"/>
      <c r="TKT27" s="911"/>
      <c r="TKU27" s="911"/>
      <c r="TKV27" s="915"/>
      <c r="TKW27" s="914"/>
      <c r="TKX27" s="914"/>
      <c r="TKY27" s="914"/>
      <c r="TKZ27" s="914"/>
      <c r="TLA27" s="914"/>
      <c r="TLB27" s="914"/>
      <c r="TLC27" s="914"/>
      <c r="TLD27" s="911"/>
      <c r="TLE27" s="911"/>
      <c r="TLF27" s="911"/>
      <c r="TLG27" s="915"/>
      <c r="TLH27" s="914"/>
      <c r="TLI27" s="914"/>
      <c r="TLJ27" s="914"/>
      <c r="TLK27" s="914"/>
      <c r="TLL27" s="914"/>
      <c r="TLM27" s="914"/>
      <c r="TLN27" s="914"/>
      <c r="TLO27" s="911"/>
      <c r="TLP27" s="911"/>
      <c r="TLQ27" s="911"/>
      <c r="TLR27" s="915"/>
      <c r="TLS27" s="914"/>
      <c r="TLT27" s="914"/>
      <c r="TLU27" s="914"/>
      <c r="TLV27" s="914"/>
      <c r="TLW27" s="914"/>
      <c r="TLX27" s="914"/>
      <c r="TLY27" s="914"/>
      <c r="TLZ27" s="911"/>
      <c r="TMA27" s="911"/>
      <c r="TMB27" s="911"/>
      <c r="TMC27" s="915"/>
      <c r="TMD27" s="914"/>
      <c r="TME27" s="914"/>
      <c r="TMF27" s="914"/>
      <c r="TMG27" s="914"/>
      <c r="TMH27" s="914"/>
      <c r="TMI27" s="914"/>
      <c r="TMJ27" s="914"/>
      <c r="TMK27" s="911"/>
      <c r="TML27" s="911"/>
      <c r="TMM27" s="911"/>
      <c r="TMN27" s="915"/>
      <c r="TMO27" s="914"/>
      <c r="TMP27" s="914"/>
      <c r="TMQ27" s="914"/>
      <c r="TMR27" s="914"/>
      <c r="TMS27" s="914"/>
      <c r="TMT27" s="914"/>
      <c r="TMU27" s="914"/>
      <c r="TMV27" s="911"/>
      <c r="TMW27" s="911"/>
      <c r="TMX27" s="911"/>
      <c r="TMY27" s="915"/>
      <c r="TMZ27" s="914"/>
      <c r="TNA27" s="914"/>
      <c r="TNB27" s="914"/>
      <c r="TNC27" s="914"/>
      <c r="TND27" s="914"/>
      <c r="TNE27" s="914"/>
      <c r="TNF27" s="914"/>
      <c r="TNG27" s="911"/>
      <c r="TNH27" s="911"/>
      <c r="TNI27" s="911"/>
      <c r="TNJ27" s="915"/>
      <c r="TNK27" s="914"/>
      <c r="TNL27" s="914"/>
      <c r="TNM27" s="914"/>
      <c r="TNN27" s="914"/>
      <c r="TNO27" s="914"/>
      <c r="TNP27" s="914"/>
      <c r="TNQ27" s="914"/>
      <c r="TNR27" s="911"/>
      <c r="TNS27" s="911"/>
      <c r="TNT27" s="911"/>
      <c r="TNU27" s="915"/>
      <c r="TNV27" s="914"/>
      <c r="TNW27" s="914"/>
      <c r="TNX27" s="914"/>
      <c r="TNY27" s="914"/>
      <c r="TNZ27" s="914"/>
      <c r="TOA27" s="914"/>
      <c r="TOB27" s="914"/>
      <c r="TOC27" s="911"/>
      <c r="TOD27" s="911"/>
      <c r="TOE27" s="911"/>
      <c r="TOF27" s="915"/>
      <c r="TOG27" s="914"/>
      <c r="TOH27" s="914"/>
      <c r="TOI27" s="914"/>
      <c r="TOJ27" s="914"/>
      <c r="TOK27" s="914"/>
      <c r="TOL27" s="914"/>
      <c r="TOM27" s="914"/>
      <c r="TON27" s="911"/>
      <c r="TOO27" s="911"/>
      <c r="TOP27" s="911"/>
      <c r="TOQ27" s="915"/>
      <c r="TOR27" s="914"/>
      <c r="TOS27" s="914"/>
      <c r="TOT27" s="914"/>
      <c r="TOU27" s="914"/>
      <c r="TOV27" s="914"/>
      <c r="TOW27" s="914"/>
      <c r="TOX27" s="914"/>
      <c r="TOY27" s="911"/>
      <c r="TOZ27" s="911"/>
      <c r="TPA27" s="911"/>
      <c r="TPB27" s="915"/>
      <c r="TPC27" s="914"/>
      <c r="TPD27" s="914"/>
      <c r="TPE27" s="914"/>
      <c r="TPF27" s="914"/>
      <c r="TPG27" s="914"/>
      <c r="TPH27" s="914"/>
      <c r="TPI27" s="914"/>
      <c r="TPJ27" s="911"/>
      <c r="TPK27" s="911"/>
      <c r="TPL27" s="911"/>
      <c r="TPM27" s="915"/>
      <c r="TPN27" s="914"/>
      <c r="TPO27" s="914"/>
      <c r="TPP27" s="914"/>
      <c r="TPQ27" s="914"/>
      <c r="TPR27" s="914"/>
      <c r="TPS27" s="914"/>
      <c r="TPT27" s="914"/>
      <c r="TPU27" s="911"/>
      <c r="TPV27" s="911"/>
      <c r="TPW27" s="911"/>
      <c r="TPX27" s="915"/>
      <c r="TPY27" s="914"/>
      <c r="TPZ27" s="914"/>
      <c r="TQA27" s="914"/>
      <c r="TQB27" s="914"/>
      <c r="TQC27" s="914"/>
      <c r="TQD27" s="914"/>
      <c r="TQE27" s="914"/>
      <c r="TQF27" s="911"/>
      <c r="TQG27" s="911"/>
      <c r="TQH27" s="911"/>
      <c r="TQI27" s="915"/>
      <c r="TQJ27" s="914"/>
      <c r="TQK27" s="914"/>
      <c r="TQL27" s="914"/>
      <c r="TQM27" s="914"/>
      <c r="TQN27" s="914"/>
      <c r="TQO27" s="914"/>
      <c r="TQP27" s="914"/>
      <c r="TQQ27" s="911"/>
      <c r="TQR27" s="911"/>
      <c r="TQS27" s="911"/>
      <c r="TQT27" s="915"/>
      <c r="TQU27" s="914"/>
      <c r="TQV27" s="914"/>
      <c r="TQW27" s="914"/>
      <c r="TQX27" s="914"/>
      <c r="TQY27" s="914"/>
      <c r="TQZ27" s="914"/>
      <c r="TRA27" s="914"/>
      <c r="TRB27" s="911"/>
      <c r="TRC27" s="911"/>
      <c r="TRD27" s="911"/>
      <c r="TRE27" s="915"/>
      <c r="TRF27" s="914"/>
      <c r="TRG27" s="914"/>
      <c r="TRH27" s="914"/>
      <c r="TRI27" s="914"/>
      <c r="TRJ27" s="914"/>
      <c r="TRK27" s="914"/>
      <c r="TRL27" s="914"/>
      <c r="TRM27" s="911"/>
      <c r="TRN27" s="911"/>
      <c r="TRO27" s="911"/>
      <c r="TRP27" s="915"/>
      <c r="TRQ27" s="914"/>
      <c r="TRR27" s="914"/>
      <c r="TRS27" s="914"/>
      <c r="TRT27" s="914"/>
      <c r="TRU27" s="914"/>
      <c r="TRV27" s="914"/>
      <c r="TRW27" s="914"/>
      <c r="TRX27" s="911"/>
      <c r="TRY27" s="911"/>
      <c r="TRZ27" s="911"/>
      <c r="TSA27" s="915"/>
      <c r="TSB27" s="914"/>
      <c r="TSC27" s="914"/>
      <c r="TSD27" s="914"/>
      <c r="TSE27" s="914"/>
      <c r="TSF27" s="914"/>
      <c r="TSG27" s="914"/>
      <c r="TSH27" s="914"/>
      <c r="TSI27" s="911"/>
      <c r="TSJ27" s="911"/>
      <c r="TSK27" s="911"/>
      <c r="TSL27" s="915"/>
      <c r="TSM27" s="914"/>
      <c r="TSN27" s="914"/>
      <c r="TSO27" s="914"/>
      <c r="TSP27" s="914"/>
      <c r="TSQ27" s="914"/>
      <c r="TSR27" s="914"/>
      <c r="TSS27" s="914"/>
      <c r="TST27" s="911"/>
      <c r="TSU27" s="911"/>
      <c r="TSV27" s="911"/>
      <c r="TSW27" s="915"/>
      <c r="TSX27" s="914"/>
      <c r="TSY27" s="914"/>
      <c r="TSZ27" s="914"/>
      <c r="TTA27" s="914"/>
      <c r="TTB27" s="914"/>
      <c r="TTC27" s="914"/>
      <c r="TTD27" s="914"/>
      <c r="TTE27" s="911"/>
      <c r="TTF27" s="911"/>
      <c r="TTG27" s="911"/>
      <c r="TTH27" s="915"/>
      <c r="TTI27" s="914"/>
      <c r="TTJ27" s="914"/>
      <c r="TTK27" s="914"/>
      <c r="TTL27" s="914"/>
      <c r="TTM27" s="914"/>
      <c r="TTN27" s="914"/>
      <c r="TTO27" s="914"/>
      <c r="TTP27" s="911"/>
      <c r="TTQ27" s="911"/>
      <c r="TTR27" s="911"/>
      <c r="TTS27" s="915"/>
      <c r="TTT27" s="914"/>
      <c r="TTU27" s="914"/>
      <c r="TTV27" s="914"/>
      <c r="TTW27" s="914"/>
      <c r="TTX27" s="914"/>
      <c r="TTY27" s="914"/>
      <c r="TTZ27" s="914"/>
      <c r="TUA27" s="911"/>
      <c r="TUB27" s="911"/>
      <c r="TUC27" s="911"/>
      <c r="TUD27" s="915"/>
      <c r="TUE27" s="914"/>
      <c r="TUF27" s="914"/>
      <c r="TUG27" s="914"/>
      <c r="TUH27" s="914"/>
      <c r="TUI27" s="914"/>
      <c r="TUJ27" s="914"/>
      <c r="TUK27" s="914"/>
      <c r="TUL27" s="911"/>
      <c r="TUM27" s="911"/>
      <c r="TUN27" s="911"/>
      <c r="TUO27" s="915"/>
      <c r="TUP27" s="914"/>
      <c r="TUQ27" s="914"/>
      <c r="TUR27" s="914"/>
      <c r="TUS27" s="914"/>
      <c r="TUT27" s="914"/>
      <c r="TUU27" s="914"/>
      <c r="TUV27" s="914"/>
      <c r="TUW27" s="911"/>
      <c r="TUX27" s="911"/>
      <c r="TUY27" s="911"/>
      <c r="TUZ27" s="915"/>
      <c r="TVA27" s="914"/>
      <c r="TVB27" s="914"/>
      <c r="TVC27" s="914"/>
      <c r="TVD27" s="914"/>
      <c r="TVE27" s="914"/>
      <c r="TVF27" s="914"/>
      <c r="TVG27" s="914"/>
      <c r="TVH27" s="911"/>
      <c r="TVI27" s="911"/>
      <c r="TVJ27" s="911"/>
      <c r="TVK27" s="915"/>
      <c r="TVL27" s="914"/>
      <c r="TVM27" s="914"/>
      <c r="TVN27" s="914"/>
      <c r="TVO27" s="914"/>
      <c r="TVP27" s="914"/>
      <c r="TVQ27" s="914"/>
      <c r="TVR27" s="914"/>
      <c r="TVS27" s="911"/>
      <c r="TVT27" s="911"/>
      <c r="TVU27" s="911"/>
      <c r="TVV27" s="915"/>
      <c r="TVW27" s="914"/>
      <c r="TVX27" s="914"/>
      <c r="TVY27" s="914"/>
      <c r="TVZ27" s="914"/>
      <c r="TWA27" s="914"/>
      <c r="TWB27" s="914"/>
      <c r="TWC27" s="914"/>
      <c r="TWD27" s="911"/>
      <c r="TWE27" s="911"/>
      <c r="TWF27" s="911"/>
      <c r="TWG27" s="915"/>
      <c r="TWH27" s="914"/>
      <c r="TWI27" s="914"/>
      <c r="TWJ27" s="914"/>
      <c r="TWK27" s="914"/>
      <c r="TWL27" s="914"/>
      <c r="TWM27" s="914"/>
      <c r="TWN27" s="914"/>
      <c r="TWO27" s="911"/>
      <c r="TWP27" s="911"/>
      <c r="TWQ27" s="911"/>
      <c r="TWR27" s="915"/>
      <c r="TWS27" s="914"/>
      <c r="TWT27" s="914"/>
      <c r="TWU27" s="914"/>
      <c r="TWV27" s="914"/>
      <c r="TWW27" s="914"/>
      <c r="TWX27" s="914"/>
      <c r="TWY27" s="914"/>
      <c r="TWZ27" s="911"/>
      <c r="TXA27" s="911"/>
      <c r="TXB27" s="911"/>
      <c r="TXC27" s="915"/>
      <c r="TXD27" s="914"/>
      <c r="TXE27" s="914"/>
      <c r="TXF27" s="914"/>
      <c r="TXG27" s="914"/>
      <c r="TXH27" s="914"/>
      <c r="TXI27" s="914"/>
      <c r="TXJ27" s="914"/>
      <c r="TXK27" s="911"/>
      <c r="TXL27" s="911"/>
      <c r="TXM27" s="911"/>
      <c r="TXN27" s="915"/>
      <c r="TXO27" s="914"/>
      <c r="TXP27" s="914"/>
      <c r="TXQ27" s="914"/>
      <c r="TXR27" s="914"/>
      <c r="TXS27" s="914"/>
      <c r="TXT27" s="914"/>
      <c r="TXU27" s="914"/>
      <c r="TXV27" s="911"/>
      <c r="TXW27" s="911"/>
      <c r="TXX27" s="911"/>
      <c r="TXY27" s="915"/>
      <c r="TXZ27" s="914"/>
      <c r="TYA27" s="914"/>
      <c r="TYB27" s="914"/>
      <c r="TYC27" s="914"/>
      <c r="TYD27" s="914"/>
      <c r="TYE27" s="914"/>
      <c r="TYF27" s="914"/>
      <c r="TYG27" s="911"/>
      <c r="TYH27" s="911"/>
      <c r="TYI27" s="911"/>
      <c r="TYJ27" s="915"/>
      <c r="TYK27" s="914"/>
      <c r="TYL27" s="914"/>
      <c r="TYM27" s="914"/>
      <c r="TYN27" s="914"/>
      <c r="TYO27" s="914"/>
      <c r="TYP27" s="914"/>
      <c r="TYQ27" s="914"/>
      <c r="TYR27" s="911"/>
      <c r="TYS27" s="911"/>
      <c r="TYT27" s="911"/>
      <c r="TYU27" s="915"/>
      <c r="TYV27" s="914"/>
      <c r="TYW27" s="914"/>
      <c r="TYX27" s="914"/>
      <c r="TYY27" s="914"/>
      <c r="TYZ27" s="914"/>
      <c r="TZA27" s="914"/>
      <c r="TZB27" s="914"/>
      <c r="TZC27" s="911"/>
      <c r="TZD27" s="911"/>
      <c r="TZE27" s="911"/>
      <c r="TZF27" s="915"/>
      <c r="TZG27" s="914"/>
      <c r="TZH27" s="914"/>
      <c r="TZI27" s="914"/>
      <c r="TZJ27" s="914"/>
      <c r="TZK27" s="914"/>
      <c r="TZL27" s="914"/>
      <c r="TZM27" s="914"/>
      <c r="TZN27" s="911"/>
      <c r="TZO27" s="911"/>
      <c r="TZP27" s="911"/>
      <c r="TZQ27" s="915"/>
      <c r="TZR27" s="914"/>
      <c r="TZS27" s="914"/>
      <c r="TZT27" s="914"/>
      <c r="TZU27" s="914"/>
      <c r="TZV27" s="914"/>
      <c r="TZW27" s="914"/>
      <c r="TZX27" s="914"/>
      <c r="TZY27" s="911"/>
      <c r="TZZ27" s="911"/>
      <c r="UAA27" s="911"/>
      <c r="UAB27" s="915"/>
      <c r="UAC27" s="914"/>
      <c r="UAD27" s="914"/>
      <c r="UAE27" s="914"/>
      <c r="UAF27" s="914"/>
      <c r="UAG27" s="914"/>
      <c r="UAH27" s="914"/>
      <c r="UAI27" s="914"/>
      <c r="UAJ27" s="911"/>
      <c r="UAK27" s="911"/>
      <c r="UAL27" s="911"/>
      <c r="UAM27" s="915"/>
      <c r="UAN27" s="914"/>
      <c r="UAO27" s="914"/>
      <c r="UAP27" s="914"/>
      <c r="UAQ27" s="914"/>
      <c r="UAR27" s="914"/>
      <c r="UAS27" s="914"/>
      <c r="UAT27" s="914"/>
      <c r="UAU27" s="911"/>
      <c r="UAV27" s="911"/>
      <c r="UAW27" s="911"/>
      <c r="UAX27" s="915"/>
      <c r="UAY27" s="914"/>
      <c r="UAZ27" s="914"/>
      <c r="UBA27" s="914"/>
      <c r="UBB27" s="914"/>
      <c r="UBC27" s="914"/>
      <c r="UBD27" s="914"/>
      <c r="UBE27" s="914"/>
      <c r="UBF27" s="911"/>
      <c r="UBG27" s="911"/>
      <c r="UBH27" s="911"/>
      <c r="UBI27" s="915"/>
      <c r="UBJ27" s="914"/>
      <c r="UBK27" s="914"/>
      <c r="UBL27" s="914"/>
      <c r="UBM27" s="914"/>
      <c r="UBN27" s="914"/>
      <c r="UBO27" s="914"/>
      <c r="UBP27" s="914"/>
      <c r="UBQ27" s="911"/>
      <c r="UBR27" s="911"/>
      <c r="UBS27" s="911"/>
      <c r="UBT27" s="915"/>
      <c r="UBU27" s="914"/>
      <c r="UBV27" s="914"/>
      <c r="UBW27" s="914"/>
      <c r="UBX27" s="914"/>
      <c r="UBY27" s="914"/>
      <c r="UBZ27" s="914"/>
      <c r="UCA27" s="914"/>
      <c r="UCB27" s="911"/>
      <c r="UCC27" s="911"/>
      <c r="UCD27" s="911"/>
      <c r="UCE27" s="915"/>
      <c r="UCF27" s="914"/>
      <c r="UCG27" s="914"/>
      <c r="UCH27" s="914"/>
      <c r="UCI27" s="914"/>
      <c r="UCJ27" s="914"/>
      <c r="UCK27" s="914"/>
      <c r="UCL27" s="914"/>
      <c r="UCM27" s="911"/>
      <c r="UCN27" s="911"/>
      <c r="UCO27" s="911"/>
      <c r="UCP27" s="915"/>
      <c r="UCQ27" s="914"/>
      <c r="UCR27" s="914"/>
      <c r="UCS27" s="914"/>
      <c r="UCT27" s="914"/>
      <c r="UCU27" s="914"/>
      <c r="UCV27" s="914"/>
      <c r="UCW27" s="914"/>
      <c r="UCX27" s="911"/>
      <c r="UCY27" s="911"/>
      <c r="UCZ27" s="911"/>
      <c r="UDA27" s="915"/>
      <c r="UDB27" s="914"/>
      <c r="UDC27" s="914"/>
      <c r="UDD27" s="914"/>
      <c r="UDE27" s="914"/>
      <c r="UDF27" s="914"/>
      <c r="UDG27" s="914"/>
      <c r="UDH27" s="914"/>
      <c r="UDI27" s="911"/>
      <c r="UDJ27" s="911"/>
      <c r="UDK27" s="911"/>
      <c r="UDL27" s="915"/>
      <c r="UDM27" s="914"/>
      <c r="UDN27" s="914"/>
      <c r="UDO27" s="914"/>
      <c r="UDP27" s="914"/>
      <c r="UDQ27" s="914"/>
      <c r="UDR27" s="914"/>
      <c r="UDS27" s="914"/>
      <c r="UDT27" s="911"/>
      <c r="UDU27" s="911"/>
      <c r="UDV27" s="911"/>
      <c r="UDW27" s="915"/>
      <c r="UDX27" s="914"/>
      <c r="UDY27" s="914"/>
      <c r="UDZ27" s="914"/>
      <c r="UEA27" s="914"/>
      <c r="UEB27" s="914"/>
      <c r="UEC27" s="914"/>
      <c r="UED27" s="914"/>
      <c r="UEE27" s="911"/>
      <c r="UEF27" s="911"/>
      <c r="UEG27" s="911"/>
      <c r="UEH27" s="915"/>
      <c r="UEI27" s="914"/>
      <c r="UEJ27" s="914"/>
      <c r="UEK27" s="914"/>
      <c r="UEL27" s="914"/>
      <c r="UEM27" s="914"/>
      <c r="UEN27" s="914"/>
      <c r="UEO27" s="914"/>
      <c r="UEP27" s="911"/>
      <c r="UEQ27" s="911"/>
      <c r="UER27" s="911"/>
      <c r="UES27" s="915"/>
      <c r="UET27" s="914"/>
      <c r="UEU27" s="914"/>
      <c r="UEV27" s="914"/>
      <c r="UEW27" s="914"/>
      <c r="UEX27" s="914"/>
      <c r="UEY27" s="914"/>
      <c r="UEZ27" s="914"/>
      <c r="UFA27" s="911"/>
      <c r="UFB27" s="911"/>
      <c r="UFC27" s="911"/>
      <c r="UFD27" s="915"/>
      <c r="UFE27" s="914"/>
      <c r="UFF27" s="914"/>
      <c r="UFG27" s="914"/>
      <c r="UFH27" s="914"/>
      <c r="UFI27" s="914"/>
      <c r="UFJ27" s="914"/>
      <c r="UFK27" s="914"/>
      <c r="UFL27" s="911"/>
      <c r="UFM27" s="911"/>
      <c r="UFN27" s="911"/>
      <c r="UFO27" s="915"/>
      <c r="UFP27" s="914"/>
      <c r="UFQ27" s="914"/>
      <c r="UFR27" s="914"/>
      <c r="UFS27" s="914"/>
      <c r="UFT27" s="914"/>
      <c r="UFU27" s="914"/>
      <c r="UFV27" s="914"/>
      <c r="UFW27" s="911"/>
      <c r="UFX27" s="911"/>
      <c r="UFY27" s="911"/>
      <c r="UFZ27" s="915"/>
      <c r="UGA27" s="914"/>
      <c r="UGB27" s="914"/>
      <c r="UGC27" s="914"/>
      <c r="UGD27" s="914"/>
      <c r="UGE27" s="914"/>
      <c r="UGF27" s="914"/>
      <c r="UGG27" s="914"/>
      <c r="UGH27" s="911"/>
      <c r="UGI27" s="911"/>
      <c r="UGJ27" s="911"/>
      <c r="UGK27" s="915"/>
      <c r="UGL27" s="914"/>
      <c r="UGM27" s="914"/>
      <c r="UGN27" s="914"/>
      <c r="UGO27" s="914"/>
      <c r="UGP27" s="914"/>
      <c r="UGQ27" s="914"/>
      <c r="UGR27" s="914"/>
      <c r="UGS27" s="911"/>
      <c r="UGT27" s="911"/>
      <c r="UGU27" s="911"/>
      <c r="UGV27" s="915"/>
      <c r="UGW27" s="914"/>
      <c r="UGX27" s="914"/>
      <c r="UGY27" s="914"/>
      <c r="UGZ27" s="914"/>
      <c r="UHA27" s="914"/>
      <c r="UHB27" s="914"/>
      <c r="UHC27" s="914"/>
      <c r="UHD27" s="911"/>
      <c r="UHE27" s="911"/>
      <c r="UHF27" s="911"/>
      <c r="UHG27" s="915"/>
      <c r="UHH27" s="914"/>
      <c r="UHI27" s="914"/>
      <c r="UHJ27" s="914"/>
      <c r="UHK27" s="914"/>
      <c r="UHL27" s="914"/>
      <c r="UHM27" s="914"/>
      <c r="UHN27" s="914"/>
      <c r="UHO27" s="911"/>
      <c r="UHP27" s="911"/>
      <c r="UHQ27" s="911"/>
      <c r="UHR27" s="915"/>
      <c r="UHS27" s="914"/>
      <c r="UHT27" s="914"/>
      <c r="UHU27" s="914"/>
      <c r="UHV27" s="914"/>
      <c r="UHW27" s="914"/>
      <c r="UHX27" s="914"/>
      <c r="UHY27" s="914"/>
      <c r="UHZ27" s="911"/>
      <c r="UIA27" s="911"/>
      <c r="UIB27" s="911"/>
      <c r="UIC27" s="915"/>
      <c r="UID27" s="914"/>
      <c r="UIE27" s="914"/>
      <c r="UIF27" s="914"/>
      <c r="UIG27" s="914"/>
      <c r="UIH27" s="914"/>
      <c r="UII27" s="914"/>
      <c r="UIJ27" s="914"/>
      <c r="UIK27" s="911"/>
      <c r="UIL27" s="911"/>
      <c r="UIM27" s="911"/>
      <c r="UIN27" s="915"/>
      <c r="UIO27" s="914"/>
      <c r="UIP27" s="914"/>
      <c r="UIQ27" s="914"/>
      <c r="UIR27" s="914"/>
      <c r="UIS27" s="914"/>
      <c r="UIT27" s="914"/>
      <c r="UIU27" s="914"/>
      <c r="UIV27" s="911"/>
      <c r="UIW27" s="911"/>
      <c r="UIX27" s="911"/>
      <c r="UIY27" s="915"/>
      <c r="UIZ27" s="914"/>
      <c r="UJA27" s="914"/>
      <c r="UJB27" s="914"/>
      <c r="UJC27" s="914"/>
      <c r="UJD27" s="914"/>
      <c r="UJE27" s="914"/>
      <c r="UJF27" s="914"/>
      <c r="UJG27" s="911"/>
      <c r="UJH27" s="911"/>
      <c r="UJI27" s="911"/>
      <c r="UJJ27" s="915"/>
      <c r="UJK27" s="914"/>
      <c r="UJL27" s="914"/>
      <c r="UJM27" s="914"/>
      <c r="UJN27" s="914"/>
      <c r="UJO27" s="914"/>
      <c r="UJP27" s="914"/>
      <c r="UJQ27" s="914"/>
      <c r="UJR27" s="911"/>
      <c r="UJS27" s="911"/>
      <c r="UJT27" s="911"/>
      <c r="UJU27" s="915"/>
      <c r="UJV27" s="914"/>
      <c r="UJW27" s="914"/>
      <c r="UJX27" s="914"/>
      <c r="UJY27" s="914"/>
      <c r="UJZ27" s="914"/>
      <c r="UKA27" s="914"/>
      <c r="UKB27" s="914"/>
      <c r="UKC27" s="911"/>
      <c r="UKD27" s="911"/>
      <c r="UKE27" s="911"/>
      <c r="UKF27" s="915"/>
      <c r="UKG27" s="914"/>
      <c r="UKH27" s="914"/>
      <c r="UKI27" s="914"/>
      <c r="UKJ27" s="914"/>
      <c r="UKK27" s="914"/>
      <c r="UKL27" s="914"/>
      <c r="UKM27" s="914"/>
      <c r="UKN27" s="911"/>
      <c r="UKO27" s="911"/>
      <c r="UKP27" s="911"/>
      <c r="UKQ27" s="915"/>
      <c r="UKR27" s="914"/>
      <c r="UKS27" s="914"/>
      <c r="UKT27" s="914"/>
      <c r="UKU27" s="914"/>
      <c r="UKV27" s="914"/>
      <c r="UKW27" s="914"/>
      <c r="UKX27" s="914"/>
      <c r="UKY27" s="911"/>
      <c r="UKZ27" s="911"/>
      <c r="ULA27" s="911"/>
      <c r="ULB27" s="915"/>
      <c r="ULC27" s="914"/>
      <c r="ULD27" s="914"/>
      <c r="ULE27" s="914"/>
      <c r="ULF27" s="914"/>
      <c r="ULG27" s="914"/>
      <c r="ULH27" s="914"/>
      <c r="ULI27" s="914"/>
      <c r="ULJ27" s="911"/>
      <c r="ULK27" s="911"/>
      <c r="ULL27" s="911"/>
      <c r="ULM27" s="915"/>
      <c r="ULN27" s="914"/>
      <c r="ULO27" s="914"/>
      <c r="ULP27" s="914"/>
      <c r="ULQ27" s="914"/>
      <c r="ULR27" s="914"/>
      <c r="ULS27" s="914"/>
      <c r="ULT27" s="914"/>
      <c r="ULU27" s="911"/>
      <c r="ULV27" s="911"/>
      <c r="ULW27" s="911"/>
      <c r="ULX27" s="915"/>
      <c r="ULY27" s="914"/>
      <c r="ULZ27" s="914"/>
      <c r="UMA27" s="914"/>
      <c r="UMB27" s="914"/>
      <c r="UMC27" s="914"/>
      <c r="UMD27" s="914"/>
      <c r="UME27" s="914"/>
      <c r="UMF27" s="911"/>
      <c r="UMG27" s="911"/>
      <c r="UMH27" s="911"/>
      <c r="UMI27" s="915"/>
      <c r="UMJ27" s="914"/>
      <c r="UMK27" s="914"/>
      <c r="UML27" s="914"/>
      <c r="UMM27" s="914"/>
      <c r="UMN27" s="914"/>
      <c r="UMO27" s="914"/>
      <c r="UMP27" s="914"/>
      <c r="UMQ27" s="911"/>
      <c r="UMR27" s="911"/>
      <c r="UMS27" s="911"/>
      <c r="UMT27" s="915"/>
      <c r="UMU27" s="914"/>
      <c r="UMV27" s="914"/>
      <c r="UMW27" s="914"/>
      <c r="UMX27" s="914"/>
      <c r="UMY27" s="914"/>
      <c r="UMZ27" s="914"/>
      <c r="UNA27" s="914"/>
      <c r="UNB27" s="911"/>
      <c r="UNC27" s="911"/>
      <c r="UND27" s="911"/>
      <c r="UNE27" s="915"/>
      <c r="UNF27" s="914"/>
      <c r="UNG27" s="914"/>
      <c r="UNH27" s="914"/>
      <c r="UNI27" s="914"/>
      <c r="UNJ27" s="914"/>
      <c r="UNK27" s="914"/>
      <c r="UNL27" s="914"/>
      <c r="UNM27" s="911"/>
      <c r="UNN27" s="911"/>
      <c r="UNO27" s="911"/>
      <c r="UNP27" s="915"/>
      <c r="UNQ27" s="914"/>
      <c r="UNR27" s="914"/>
      <c r="UNS27" s="914"/>
      <c r="UNT27" s="914"/>
      <c r="UNU27" s="914"/>
      <c r="UNV27" s="914"/>
      <c r="UNW27" s="914"/>
      <c r="UNX27" s="911"/>
      <c r="UNY27" s="911"/>
      <c r="UNZ27" s="911"/>
      <c r="UOA27" s="915"/>
      <c r="UOB27" s="914"/>
      <c r="UOC27" s="914"/>
      <c r="UOD27" s="914"/>
      <c r="UOE27" s="914"/>
      <c r="UOF27" s="914"/>
      <c r="UOG27" s="914"/>
      <c r="UOH27" s="914"/>
      <c r="UOI27" s="911"/>
      <c r="UOJ27" s="911"/>
      <c r="UOK27" s="911"/>
      <c r="UOL27" s="915"/>
      <c r="UOM27" s="914"/>
      <c r="UON27" s="914"/>
      <c r="UOO27" s="914"/>
      <c r="UOP27" s="914"/>
      <c r="UOQ27" s="914"/>
      <c r="UOR27" s="914"/>
      <c r="UOS27" s="914"/>
      <c r="UOT27" s="911"/>
      <c r="UOU27" s="911"/>
      <c r="UOV27" s="911"/>
      <c r="UOW27" s="915"/>
      <c r="UOX27" s="914"/>
      <c r="UOY27" s="914"/>
      <c r="UOZ27" s="914"/>
      <c r="UPA27" s="914"/>
      <c r="UPB27" s="914"/>
      <c r="UPC27" s="914"/>
      <c r="UPD27" s="914"/>
      <c r="UPE27" s="911"/>
      <c r="UPF27" s="911"/>
      <c r="UPG27" s="911"/>
      <c r="UPH27" s="915"/>
      <c r="UPI27" s="914"/>
      <c r="UPJ27" s="914"/>
      <c r="UPK27" s="914"/>
      <c r="UPL27" s="914"/>
      <c r="UPM27" s="914"/>
      <c r="UPN27" s="914"/>
      <c r="UPO27" s="914"/>
      <c r="UPP27" s="911"/>
      <c r="UPQ27" s="911"/>
      <c r="UPR27" s="911"/>
      <c r="UPS27" s="915"/>
      <c r="UPT27" s="914"/>
      <c r="UPU27" s="914"/>
      <c r="UPV27" s="914"/>
      <c r="UPW27" s="914"/>
      <c r="UPX27" s="914"/>
      <c r="UPY27" s="914"/>
      <c r="UPZ27" s="914"/>
      <c r="UQA27" s="911"/>
      <c r="UQB27" s="911"/>
      <c r="UQC27" s="911"/>
      <c r="UQD27" s="915"/>
      <c r="UQE27" s="914"/>
      <c r="UQF27" s="914"/>
      <c r="UQG27" s="914"/>
      <c r="UQH27" s="914"/>
      <c r="UQI27" s="914"/>
      <c r="UQJ27" s="914"/>
      <c r="UQK27" s="914"/>
      <c r="UQL27" s="911"/>
      <c r="UQM27" s="911"/>
      <c r="UQN27" s="911"/>
      <c r="UQO27" s="915"/>
      <c r="UQP27" s="914"/>
      <c r="UQQ27" s="914"/>
      <c r="UQR27" s="914"/>
      <c r="UQS27" s="914"/>
      <c r="UQT27" s="914"/>
      <c r="UQU27" s="914"/>
      <c r="UQV27" s="914"/>
      <c r="UQW27" s="911"/>
      <c r="UQX27" s="911"/>
      <c r="UQY27" s="911"/>
      <c r="UQZ27" s="915"/>
      <c r="URA27" s="914"/>
      <c r="URB27" s="914"/>
      <c r="URC27" s="914"/>
      <c r="URD27" s="914"/>
      <c r="URE27" s="914"/>
      <c r="URF27" s="914"/>
      <c r="URG27" s="914"/>
      <c r="URH27" s="911"/>
      <c r="URI27" s="911"/>
      <c r="URJ27" s="911"/>
      <c r="URK27" s="915"/>
      <c r="URL27" s="914"/>
      <c r="URM27" s="914"/>
      <c r="URN27" s="914"/>
      <c r="URO27" s="914"/>
      <c r="URP27" s="914"/>
      <c r="URQ27" s="914"/>
      <c r="URR27" s="914"/>
      <c r="URS27" s="911"/>
      <c r="URT27" s="911"/>
      <c r="URU27" s="911"/>
      <c r="URV27" s="915"/>
      <c r="URW27" s="914"/>
      <c r="URX27" s="914"/>
      <c r="URY27" s="914"/>
      <c r="URZ27" s="914"/>
      <c r="USA27" s="914"/>
      <c r="USB27" s="914"/>
      <c r="USC27" s="914"/>
      <c r="USD27" s="911"/>
      <c r="USE27" s="911"/>
      <c r="USF27" s="911"/>
      <c r="USG27" s="915"/>
      <c r="USH27" s="914"/>
      <c r="USI27" s="914"/>
      <c r="USJ27" s="914"/>
      <c r="USK27" s="914"/>
      <c r="USL27" s="914"/>
      <c r="USM27" s="914"/>
      <c r="USN27" s="914"/>
      <c r="USO27" s="911"/>
      <c r="USP27" s="911"/>
      <c r="USQ27" s="911"/>
      <c r="USR27" s="915"/>
      <c r="USS27" s="914"/>
      <c r="UST27" s="914"/>
      <c r="USU27" s="914"/>
      <c r="USV27" s="914"/>
      <c r="USW27" s="914"/>
      <c r="USX27" s="914"/>
      <c r="USY27" s="914"/>
      <c r="USZ27" s="911"/>
      <c r="UTA27" s="911"/>
      <c r="UTB27" s="911"/>
      <c r="UTC27" s="915"/>
      <c r="UTD27" s="914"/>
      <c r="UTE27" s="914"/>
      <c r="UTF27" s="914"/>
      <c r="UTG27" s="914"/>
      <c r="UTH27" s="914"/>
      <c r="UTI27" s="914"/>
      <c r="UTJ27" s="914"/>
      <c r="UTK27" s="911"/>
      <c r="UTL27" s="911"/>
      <c r="UTM27" s="911"/>
      <c r="UTN27" s="915"/>
      <c r="UTO27" s="914"/>
      <c r="UTP27" s="914"/>
      <c r="UTQ27" s="914"/>
      <c r="UTR27" s="914"/>
      <c r="UTS27" s="914"/>
      <c r="UTT27" s="914"/>
      <c r="UTU27" s="914"/>
      <c r="UTV27" s="911"/>
      <c r="UTW27" s="911"/>
      <c r="UTX27" s="911"/>
      <c r="UTY27" s="915"/>
      <c r="UTZ27" s="914"/>
      <c r="UUA27" s="914"/>
      <c r="UUB27" s="914"/>
      <c r="UUC27" s="914"/>
      <c r="UUD27" s="914"/>
      <c r="UUE27" s="914"/>
      <c r="UUF27" s="914"/>
      <c r="UUG27" s="911"/>
      <c r="UUH27" s="911"/>
      <c r="UUI27" s="911"/>
      <c r="UUJ27" s="915"/>
      <c r="UUK27" s="914"/>
      <c r="UUL27" s="914"/>
      <c r="UUM27" s="914"/>
      <c r="UUN27" s="914"/>
      <c r="UUO27" s="914"/>
      <c r="UUP27" s="914"/>
      <c r="UUQ27" s="914"/>
      <c r="UUR27" s="911"/>
      <c r="UUS27" s="911"/>
      <c r="UUT27" s="911"/>
      <c r="UUU27" s="915"/>
      <c r="UUV27" s="914"/>
      <c r="UUW27" s="914"/>
      <c r="UUX27" s="914"/>
      <c r="UUY27" s="914"/>
      <c r="UUZ27" s="914"/>
      <c r="UVA27" s="914"/>
      <c r="UVB27" s="914"/>
      <c r="UVC27" s="911"/>
      <c r="UVD27" s="911"/>
      <c r="UVE27" s="911"/>
      <c r="UVF27" s="915"/>
      <c r="UVG27" s="914"/>
      <c r="UVH27" s="914"/>
      <c r="UVI27" s="914"/>
      <c r="UVJ27" s="914"/>
      <c r="UVK27" s="914"/>
      <c r="UVL27" s="914"/>
      <c r="UVM27" s="914"/>
      <c r="UVN27" s="911"/>
      <c r="UVO27" s="911"/>
      <c r="UVP27" s="911"/>
      <c r="UVQ27" s="915"/>
      <c r="UVR27" s="914"/>
      <c r="UVS27" s="914"/>
      <c r="UVT27" s="914"/>
      <c r="UVU27" s="914"/>
      <c r="UVV27" s="914"/>
      <c r="UVW27" s="914"/>
      <c r="UVX27" s="914"/>
      <c r="UVY27" s="911"/>
      <c r="UVZ27" s="911"/>
      <c r="UWA27" s="911"/>
      <c r="UWB27" s="915"/>
      <c r="UWC27" s="914"/>
      <c r="UWD27" s="914"/>
      <c r="UWE27" s="914"/>
      <c r="UWF27" s="914"/>
      <c r="UWG27" s="914"/>
      <c r="UWH27" s="914"/>
      <c r="UWI27" s="914"/>
      <c r="UWJ27" s="911"/>
      <c r="UWK27" s="911"/>
      <c r="UWL27" s="911"/>
      <c r="UWM27" s="915"/>
      <c r="UWN27" s="914"/>
      <c r="UWO27" s="914"/>
      <c r="UWP27" s="914"/>
      <c r="UWQ27" s="914"/>
      <c r="UWR27" s="914"/>
      <c r="UWS27" s="914"/>
      <c r="UWT27" s="914"/>
      <c r="UWU27" s="911"/>
      <c r="UWV27" s="911"/>
      <c r="UWW27" s="911"/>
      <c r="UWX27" s="915"/>
      <c r="UWY27" s="914"/>
      <c r="UWZ27" s="914"/>
      <c r="UXA27" s="914"/>
      <c r="UXB27" s="914"/>
      <c r="UXC27" s="914"/>
      <c r="UXD27" s="914"/>
      <c r="UXE27" s="914"/>
      <c r="UXF27" s="911"/>
      <c r="UXG27" s="911"/>
      <c r="UXH27" s="911"/>
      <c r="UXI27" s="915"/>
      <c r="UXJ27" s="914"/>
      <c r="UXK27" s="914"/>
      <c r="UXL27" s="914"/>
      <c r="UXM27" s="914"/>
      <c r="UXN27" s="914"/>
      <c r="UXO27" s="914"/>
      <c r="UXP27" s="914"/>
      <c r="UXQ27" s="911"/>
      <c r="UXR27" s="911"/>
      <c r="UXS27" s="911"/>
      <c r="UXT27" s="915"/>
      <c r="UXU27" s="914"/>
      <c r="UXV27" s="914"/>
      <c r="UXW27" s="914"/>
      <c r="UXX27" s="914"/>
      <c r="UXY27" s="914"/>
      <c r="UXZ27" s="914"/>
      <c r="UYA27" s="914"/>
      <c r="UYB27" s="911"/>
      <c r="UYC27" s="911"/>
      <c r="UYD27" s="911"/>
      <c r="UYE27" s="915"/>
      <c r="UYF27" s="914"/>
      <c r="UYG27" s="914"/>
      <c r="UYH27" s="914"/>
      <c r="UYI27" s="914"/>
      <c r="UYJ27" s="914"/>
      <c r="UYK27" s="914"/>
      <c r="UYL27" s="914"/>
      <c r="UYM27" s="911"/>
      <c r="UYN27" s="911"/>
      <c r="UYO27" s="911"/>
      <c r="UYP27" s="915"/>
      <c r="UYQ27" s="914"/>
      <c r="UYR27" s="914"/>
      <c r="UYS27" s="914"/>
      <c r="UYT27" s="914"/>
      <c r="UYU27" s="914"/>
      <c r="UYV27" s="914"/>
      <c r="UYW27" s="914"/>
      <c r="UYX27" s="911"/>
      <c r="UYY27" s="911"/>
      <c r="UYZ27" s="911"/>
      <c r="UZA27" s="915"/>
      <c r="UZB27" s="914"/>
      <c r="UZC27" s="914"/>
      <c r="UZD27" s="914"/>
      <c r="UZE27" s="914"/>
      <c r="UZF27" s="914"/>
      <c r="UZG27" s="914"/>
      <c r="UZH27" s="914"/>
      <c r="UZI27" s="911"/>
      <c r="UZJ27" s="911"/>
      <c r="UZK27" s="911"/>
      <c r="UZL27" s="915"/>
      <c r="UZM27" s="914"/>
      <c r="UZN27" s="914"/>
      <c r="UZO27" s="914"/>
      <c r="UZP27" s="914"/>
      <c r="UZQ27" s="914"/>
      <c r="UZR27" s="914"/>
      <c r="UZS27" s="914"/>
      <c r="UZT27" s="911"/>
      <c r="UZU27" s="911"/>
      <c r="UZV27" s="911"/>
      <c r="UZW27" s="915"/>
      <c r="UZX27" s="914"/>
      <c r="UZY27" s="914"/>
      <c r="UZZ27" s="914"/>
      <c r="VAA27" s="914"/>
      <c r="VAB27" s="914"/>
      <c r="VAC27" s="914"/>
      <c r="VAD27" s="914"/>
      <c r="VAE27" s="911"/>
      <c r="VAF27" s="911"/>
      <c r="VAG27" s="911"/>
      <c r="VAH27" s="915"/>
      <c r="VAI27" s="914"/>
      <c r="VAJ27" s="914"/>
      <c r="VAK27" s="914"/>
      <c r="VAL27" s="914"/>
      <c r="VAM27" s="914"/>
      <c r="VAN27" s="914"/>
      <c r="VAO27" s="914"/>
      <c r="VAP27" s="911"/>
      <c r="VAQ27" s="911"/>
      <c r="VAR27" s="911"/>
      <c r="VAS27" s="915"/>
      <c r="VAT27" s="914"/>
      <c r="VAU27" s="914"/>
      <c r="VAV27" s="914"/>
      <c r="VAW27" s="914"/>
      <c r="VAX27" s="914"/>
      <c r="VAY27" s="914"/>
      <c r="VAZ27" s="914"/>
      <c r="VBA27" s="911"/>
      <c r="VBB27" s="911"/>
      <c r="VBC27" s="911"/>
      <c r="VBD27" s="915"/>
      <c r="VBE27" s="914"/>
      <c r="VBF27" s="914"/>
      <c r="VBG27" s="914"/>
      <c r="VBH27" s="914"/>
      <c r="VBI27" s="914"/>
      <c r="VBJ27" s="914"/>
      <c r="VBK27" s="914"/>
      <c r="VBL27" s="911"/>
      <c r="VBM27" s="911"/>
      <c r="VBN27" s="911"/>
      <c r="VBO27" s="915"/>
      <c r="VBP27" s="914"/>
      <c r="VBQ27" s="914"/>
      <c r="VBR27" s="914"/>
      <c r="VBS27" s="914"/>
      <c r="VBT27" s="914"/>
      <c r="VBU27" s="914"/>
      <c r="VBV27" s="914"/>
      <c r="VBW27" s="911"/>
      <c r="VBX27" s="911"/>
      <c r="VBY27" s="911"/>
      <c r="VBZ27" s="915"/>
      <c r="VCA27" s="914"/>
      <c r="VCB27" s="914"/>
      <c r="VCC27" s="914"/>
      <c r="VCD27" s="914"/>
      <c r="VCE27" s="914"/>
      <c r="VCF27" s="914"/>
      <c r="VCG27" s="914"/>
      <c r="VCH27" s="911"/>
      <c r="VCI27" s="911"/>
      <c r="VCJ27" s="911"/>
      <c r="VCK27" s="915"/>
      <c r="VCL27" s="914"/>
      <c r="VCM27" s="914"/>
      <c r="VCN27" s="914"/>
      <c r="VCO27" s="914"/>
      <c r="VCP27" s="914"/>
      <c r="VCQ27" s="914"/>
      <c r="VCR27" s="914"/>
      <c r="VCS27" s="911"/>
      <c r="VCT27" s="911"/>
      <c r="VCU27" s="911"/>
      <c r="VCV27" s="915"/>
      <c r="VCW27" s="914"/>
      <c r="VCX27" s="914"/>
      <c r="VCY27" s="914"/>
      <c r="VCZ27" s="914"/>
      <c r="VDA27" s="914"/>
      <c r="VDB27" s="914"/>
      <c r="VDC27" s="914"/>
      <c r="VDD27" s="911"/>
      <c r="VDE27" s="911"/>
      <c r="VDF27" s="911"/>
      <c r="VDG27" s="915"/>
      <c r="VDH27" s="914"/>
      <c r="VDI27" s="914"/>
      <c r="VDJ27" s="914"/>
      <c r="VDK27" s="914"/>
      <c r="VDL27" s="914"/>
      <c r="VDM27" s="914"/>
      <c r="VDN27" s="914"/>
      <c r="VDO27" s="911"/>
      <c r="VDP27" s="911"/>
      <c r="VDQ27" s="911"/>
      <c r="VDR27" s="915"/>
      <c r="VDS27" s="914"/>
      <c r="VDT27" s="914"/>
      <c r="VDU27" s="914"/>
      <c r="VDV27" s="914"/>
      <c r="VDW27" s="914"/>
      <c r="VDX27" s="914"/>
      <c r="VDY27" s="914"/>
      <c r="VDZ27" s="911"/>
      <c r="VEA27" s="911"/>
      <c r="VEB27" s="911"/>
      <c r="VEC27" s="915"/>
      <c r="VED27" s="914"/>
      <c r="VEE27" s="914"/>
      <c r="VEF27" s="914"/>
      <c r="VEG27" s="914"/>
      <c r="VEH27" s="914"/>
      <c r="VEI27" s="914"/>
      <c r="VEJ27" s="914"/>
      <c r="VEK27" s="911"/>
      <c r="VEL27" s="911"/>
      <c r="VEM27" s="911"/>
      <c r="VEN27" s="915"/>
      <c r="VEO27" s="914"/>
      <c r="VEP27" s="914"/>
      <c r="VEQ27" s="914"/>
      <c r="VER27" s="914"/>
      <c r="VES27" s="914"/>
      <c r="VET27" s="914"/>
      <c r="VEU27" s="914"/>
      <c r="VEV27" s="911"/>
      <c r="VEW27" s="911"/>
      <c r="VEX27" s="911"/>
      <c r="VEY27" s="915"/>
      <c r="VEZ27" s="914"/>
      <c r="VFA27" s="914"/>
      <c r="VFB27" s="914"/>
      <c r="VFC27" s="914"/>
      <c r="VFD27" s="914"/>
      <c r="VFE27" s="914"/>
      <c r="VFF27" s="914"/>
      <c r="VFG27" s="911"/>
      <c r="VFH27" s="911"/>
      <c r="VFI27" s="911"/>
      <c r="VFJ27" s="915"/>
      <c r="VFK27" s="914"/>
      <c r="VFL27" s="914"/>
      <c r="VFM27" s="914"/>
      <c r="VFN27" s="914"/>
      <c r="VFO27" s="914"/>
      <c r="VFP27" s="914"/>
      <c r="VFQ27" s="914"/>
      <c r="VFR27" s="911"/>
      <c r="VFS27" s="911"/>
      <c r="VFT27" s="911"/>
      <c r="VFU27" s="915"/>
      <c r="VFV27" s="914"/>
      <c r="VFW27" s="914"/>
      <c r="VFX27" s="914"/>
      <c r="VFY27" s="914"/>
      <c r="VFZ27" s="914"/>
      <c r="VGA27" s="914"/>
      <c r="VGB27" s="914"/>
      <c r="VGC27" s="911"/>
      <c r="VGD27" s="911"/>
      <c r="VGE27" s="911"/>
      <c r="VGF27" s="915"/>
      <c r="VGG27" s="914"/>
      <c r="VGH27" s="914"/>
      <c r="VGI27" s="914"/>
      <c r="VGJ27" s="914"/>
      <c r="VGK27" s="914"/>
      <c r="VGL27" s="914"/>
      <c r="VGM27" s="914"/>
      <c r="VGN27" s="911"/>
      <c r="VGO27" s="911"/>
      <c r="VGP27" s="911"/>
      <c r="VGQ27" s="915"/>
      <c r="VGR27" s="914"/>
      <c r="VGS27" s="914"/>
      <c r="VGT27" s="914"/>
      <c r="VGU27" s="914"/>
      <c r="VGV27" s="914"/>
      <c r="VGW27" s="914"/>
      <c r="VGX27" s="914"/>
      <c r="VGY27" s="911"/>
      <c r="VGZ27" s="911"/>
      <c r="VHA27" s="911"/>
      <c r="VHB27" s="915"/>
      <c r="VHC27" s="914"/>
      <c r="VHD27" s="914"/>
      <c r="VHE27" s="914"/>
      <c r="VHF27" s="914"/>
      <c r="VHG27" s="914"/>
      <c r="VHH27" s="914"/>
      <c r="VHI27" s="914"/>
      <c r="VHJ27" s="911"/>
      <c r="VHK27" s="911"/>
      <c r="VHL27" s="911"/>
      <c r="VHM27" s="915"/>
      <c r="VHN27" s="914"/>
      <c r="VHO27" s="914"/>
      <c r="VHP27" s="914"/>
      <c r="VHQ27" s="914"/>
      <c r="VHR27" s="914"/>
      <c r="VHS27" s="914"/>
      <c r="VHT27" s="914"/>
      <c r="VHU27" s="911"/>
      <c r="VHV27" s="911"/>
      <c r="VHW27" s="911"/>
      <c r="VHX27" s="915"/>
      <c r="VHY27" s="914"/>
      <c r="VHZ27" s="914"/>
      <c r="VIA27" s="914"/>
      <c r="VIB27" s="914"/>
      <c r="VIC27" s="914"/>
      <c r="VID27" s="914"/>
      <c r="VIE27" s="914"/>
      <c r="VIF27" s="911"/>
      <c r="VIG27" s="911"/>
      <c r="VIH27" s="911"/>
      <c r="VII27" s="915"/>
      <c r="VIJ27" s="914"/>
      <c r="VIK27" s="914"/>
      <c r="VIL27" s="914"/>
      <c r="VIM27" s="914"/>
      <c r="VIN27" s="914"/>
      <c r="VIO27" s="914"/>
      <c r="VIP27" s="914"/>
      <c r="VIQ27" s="911"/>
      <c r="VIR27" s="911"/>
      <c r="VIS27" s="911"/>
      <c r="VIT27" s="915"/>
      <c r="VIU27" s="914"/>
      <c r="VIV27" s="914"/>
      <c r="VIW27" s="914"/>
      <c r="VIX27" s="914"/>
      <c r="VIY27" s="914"/>
      <c r="VIZ27" s="914"/>
      <c r="VJA27" s="914"/>
      <c r="VJB27" s="911"/>
      <c r="VJC27" s="911"/>
      <c r="VJD27" s="911"/>
      <c r="VJE27" s="915"/>
      <c r="VJF27" s="914"/>
      <c r="VJG27" s="914"/>
      <c r="VJH27" s="914"/>
      <c r="VJI27" s="914"/>
      <c r="VJJ27" s="914"/>
      <c r="VJK27" s="914"/>
      <c r="VJL27" s="914"/>
      <c r="VJM27" s="911"/>
      <c r="VJN27" s="911"/>
      <c r="VJO27" s="911"/>
      <c r="VJP27" s="915"/>
      <c r="VJQ27" s="914"/>
      <c r="VJR27" s="914"/>
      <c r="VJS27" s="914"/>
      <c r="VJT27" s="914"/>
      <c r="VJU27" s="914"/>
      <c r="VJV27" s="914"/>
      <c r="VJW27" s="914"/>
      <c r="VJX27" s="911"/>
      <c r="VJY27" s="911"/>
      <c r="VJZ27" s="911"/>
      <c r="VKA27" s="915"/>
      <c r="VKB27" s="914"/>
      <c r="VKC27" s="914"/>
      <c r="VKD27" s="914"/>
      <c r="VKE27" s="914"/>
      <c r="VKF27" s="914"/>
      <c r="VKG27" s="914"/>
      <c r="VKH27" s="914"/>
      <c r="VKI27" s="911"/>
      <c r="VKJ27" s="911"/>
      <c r="VKK27" s="911"/>
      <c r="VKL27" s="915"/>
      <c r="VKM27" s="914"/>
      <c r="VKN27" s="914"/>
      <c r="VKO27" s="914"/>
      <c r="VKP27" s="914"/>
      <c r="VKQ27" s="914"/>
      <c r="VKR27" s="914"/>
      <c r="VKS27" s="914"/>
      <c r="VKT27" s="911"/>
      <c r="VKU27" s="911"/>
      <c r="VKV27" s="911"/>
      <c r="VKW27" s="915"/>
      <c r="VKX27" s="914"/>
      <c r="VKY27" s="914"/>
      <c r="VKZ27" s="914"/>
      <c r="VLA27" s="914"/>
      <c r="VLB27" s="914"/>
      <c r="VLC27" s="914"/>
      <c r="VLD27" s="914"/>
      <c r="VLE27" s="911"/>
      <c r="VLF27" s="911"/>
      <c r="VLG27" s="911"/>
      <c r="VLH27" s="915"/>
      <c r="VLI27" s="914"/>
      <c r="VLJ27" s="914"/>
      <c r="VLK27" s="914"/>
      <c r="VLL27" s="914"/>
      <c r="VLM27" s="914"/>
      <c r="VLN27" s="914"/>
      <c r="VLO27" s="914"/>
      <c r="VLP27" s="911"/>
      <c r="VLQ27" s="911"/>
      <c r="VLR27" s="911"/>
      <c r="VLS27" s="915"/>
      <c r="VLT27" s="914"/>
      <c r="VLU27" s="914"/>
      <c r="VLV27" s="914"/>
      <c r="VLW27" s="914"/>
      <c r="VLX27" s="914"/>
      <c r="VLY27" s="914"/>
      <c r="VLZ27" s="914"/>
      <c r="VMA27" s="911"/>
      <c r="VMB27" s="911"/>
      <c r="VMC27" s="911"/>
      <c r="VMD27" s="915"/>
      <c r="VME27" s="914"/>
      <c r="VMF27" s="914"/>
      <c r="VMG27" s="914"/>
      <c r="VMH27" s="914"/>
      <c r="VMI27" s="914"/>
      <c r="VMJ27" s="914"/>
      <c r="VMK27" s="914"/>
      <c r="VML27" s="911"/>
      <c r="VMM27" s="911"/>
      <c r="VMN27" s="911"/>
      <c r="VMO27" s="915"/>
      <c r="VMP27" s="914"/>
      <c r="VMQ27" s="914"/>
      <c r="VMR27" s="914"/>
      <c r="VMS27" s="914"/>
      <c r="VMT27" s="914"/>
      <c r="VMU27" s="914"/>
      <c r="VMV27" s="914"/>
      <c r="VMW27" s="911"/>
      <c r="VMX27" s="911"/>
      <c r="VMY27" s="911"/>
      <c r="VMZ27" s="915"/>
      <c r="VNA27" s="914"/>
      <c r="VNB27" s="914"/>
      <c r="VNC27" s="914"/>
      <c r="VND27" s="914"/>
      <c r="VNE27" s="914"/>
      <c r="VNF27" s="914"/>
      <c r="VNG27" s="914"/>
      <c r="VNH27" s="911"/>
      <c r="VNI27" s="911"/>
      <c r="VNJ27" s="911"/>
      <c r="VNK27" s="915"/>
      <c r="VNL27" s="914"/>
      <c r="VNM27" s="914"/>
      <c r="VNN27" s="914"/>
      <c r="VNO27" s="914"/>
      <c r="VNP27" s="914"/>
      <c r="VNQ27" s="914"/>
      <c r="VNR27" s="914"/>
      <c r="VNS27" s="911"/>
      <c r="VNT27" s="911"/>
      <c r="VNU27" s="911"/>
      <c r="VNV27" s="915"/>
      <c r="VNW27" s="914"/>
      <c r="VNX27" s="914"/>
      <c r="VNY27" s="914"/>
      <c r="VNZ27" s="914"/>
      <c r="VOA27" s="914"/>
      <c r="VOB27" s="914"/>
      <c r="VOC27" s="914"/>
      <c r="VOD27" s="911"/>
      <c r="VOE27" s="911"/>
      <c r="VOF27" s="911"/>
      <c r="VOG27" s="915"/>
      <c r="VOH27" s="914"/>
      <c r="VOI27" s="914"/>
      <c r="VOJ27" s="914"/>
      <c r="VOK27" s="914"/>
      <c r="VOL27" s="914"/>
      <c r="VOM27" s="914"/>
      <c r="VON27" s="914"/>
      <c r="VOO27" s="911"/>
      <c r="VOP27" s="911"/>
      <c r="VOQ27" s="911"/>
      <c r="VOR27" s="915"/>
      <c r="VOS27" s="914"/>
      <c r="VOT27" s="914"/>
      <c r="VOU27" s="914"/>
      <c r="VOV27" s="914"/>
      <c r="VOW27" s="914"/>
      <c r="VOX27" s="914"/>
      <c r="VOY27" s="914"/>
      <c r="VOZ27" s="911"/>
      <c r="VPA27" s="911"/>
      <c r="VPB27" s="911"/>
      <c r="VPC27" s="915"/>
      <c r="VPD27" s="914"/>
      <c r="VPE27" s="914"/>
      <c r="VPF27" s="914"/>
      <c r="VPG27" s="914"/>
      <c r="VPH27" s="914"/>
      <c r="VPI27" s="914"/>
      <c r="VPJ27" s="914"/>
      <c r="VPK27" s="911"/>
      <c r="VPL27" s="911"/>
      <c r="VPM27" s="911"/>
      <c r="VPN27" s="915"/>
      <c r="VPO27" s="914"/>
      <c r="VPP27" s="914"/>
      <c r="VPQ27" s="914"/>
      <c r="VPR27" s="914"/>
      <c r="VPS27" s="914"/>
      <c r="VPT27" s="914"/>
      <c r="VPU27" s="914"/>
      <c r="VPV27" s="911"/>
      <c r="VPW27" s="911"/>
      <c r="VPX27" s="911"/>
      <c r="VPY27" s="915"/>
      <c r="VPZ27" s="914"/>
      <c r="VQA27" s="914"/>
      <c r="VQB27" s="914"/>
      <c r="VQC27" s="914"/>
      <c r="VQD27" s="914"/>
      <c r="VQE27" s="914"/>
      <c r="VQF27" s="914"/>
      <c r="VQG27" s="911"/>
      <c r="VQH27" s="911"/>
      <c r="VQI27" s="911"/>
      <c r="VQJ27" s="915"/>
      <c r="VQK27" s="914"/>
      <c r="VQL27" s="914"/>
      <c r="VQM27" s="914"/>
      <c r="VQN27" s="914"/>
      <c r="VQO27" s="914"/>
      <c r="VQP27" s="914"/>
      <c r="VQQ27" s="914"/>
      <c r="VQR27" s="911"/>
      <c r="VQS27" s="911"/>
      <c r="VQT27" s="911"/>
      <c r="VQU27" s="915"/>
      <c r="VQV27" s="914"/>
      <c r="VQW27" s="914"/>
      <c r="VQX27" s="914"/>
      <c r="VQY27" s="914"/>
      <c r="VQZ27" s="914"/>
      <c r="VRA27" s="914"/>
      <c r="VRB27" s="914"/>
      <c r="VRC27" s="911"/>
      <c r="VRD27" s="911"/>
      <c r="VRE27" s="911"/>
      <c r="VRF27" s="915"/>
      <c r="VRG27" s="914"/>
      <c r="VRH27" s="914"/>
      <c r="VRI27" s="914"/>
      <c r="VRJ27" s="914"/>
      <c r="VRK27" s="914"/>
      <c r="VRL27" s="914"/>
      <c r="VRM27" s="914"/>
      <c r="VRN27" s="911"/>
      <c r="VRO27" s="911"/>
      <c r="VRP27" s="911"/>
      <c r="VRQ27" s="915"/>
      <c r="VRR27" s="914"/>
      <c r="VRS27" s="914"/>
      <c r="VRT27" s="914"/>
      <c r="VRU27" s="914"/>
      <c r="VRV27" s="914"/>
      <c r="VRW27" s="914"/>
      <c r="VRX27" s="914"/>
      <c r="VRY27" s="911"/>
      <c r="VRZ27" s="911"/>
      <c r="VSA27" s="911"/>
      <c r="VSB27" s="915"/>
      <c r="VSC27" s="914"/>
      <c r="VSD27" s="914"/>
      <c r="VSE27" s="914"/>
      <c r="VSF27" s="914"/>
      <c r="VSG27" s="914"/>
      <c r="VSH27" s="914"/>
      <c r="VSI27" s="914"/>
      <c r="VSJ27" s="911"/>
      <c r="VSK27" s="911"/>
      <c r="VSL27" s="911"/>
      <c r="VSM27" s="915"/>
      <c r="VSN27" s="914"/>
      <c r="VSO27" s="914"/>
      <c r="VSP27" s="914"/>
      <c r="VSQ27" s="914"/>
      <c r="VSR27" s="914"/>
      <c r="VSS27" s="914"/>
      <c r="VST27" s="914"/>
      <c r="VSU27" s="911"/>
      <c r="VSV27" s="911"/>
      <c r="VSW27" s="911"/>
      <c r="VSX27" s="915"/>
      <c r="VSY27" s="914"/>
      <c r="VSZ27" s="914"/>
      <c r="VTA27" s="914"/>
      <c r="VTB27" s="914"/>
      <c r="VTC27" s="914"/>
      <c r="VTD27" s="914"/>
      <c r="VTE27" s="914"/>
      <c r="VTF27" s="911"/>
      <c r="VTG27" s="911"/>
      <c r="VTH27" s="911"/>
      <c r="VTI27" s="915"/>
      <c r="VTJ27" s="914"/>
      <c r="VTK27" s="914"/>
      <c r="VTL27" s="914"/>
      <c r="VTM27" s="914"/>
      <c r="VTN27" s="914"/>
      <c r="VTO27" s="914"/>
      <c r="VTP27" s="914"/>
      <c r="VTQ27" s="911"/>
      <c r="VTR27" s="911"/>
      <c r="VTS27" s="911"/>
      <c r="VTT27" s="915"/>
      <c r="VTU27" s="914"/>
      <c r="VTV27" s="914"/>
      <c r="VTW27" s="914"/>
      <c r="VTX27" s="914"/>
      <c r="VTY27" s="914"/>
      <c r="VTZ27" s="914"/>
      <c r="VUA27" s="914"/>
      <c r="VUB27" s="911"/>
      <c r="VUC27" s="911"/>
      <c r="VUD27" s="911"/>
      <c r="VUE27" s="915"/>
      <c r="VUF27" s="914"/>
      <c r="VUG27" s="914"/>
      <c r="VUH27" s="914"/>
      <c r="VUI27" s="914"/>
      <c r="VUJ27" s="914"/>
      <c r="VUK27" s="914"/>
      <c r="VUL27" s="914"/>
      <c r="VUM27" s="911"/>
      <c r="VUN27" s="911"/>
      <c r="VUO27" s="911"/>
      <c r="VUP27" s="915"/>
      <c r="VUQ27" s="914"/>
      <c r="VUR27" s="914"/>
      <c r="VUS27" s="914"/>
      <c r="VUT27" s="914"/>
      <c r="VUU27" s="914"/>
      <c r="VUV27" s="914"/>
      <c r="VUW27" s="914"/>
      <c r="VUX27" s="911"/>
      <c r="VUY27" s="911"/>
      <c r="VUZ27" s="911"/>
      <c r="VVA27" s="915"/>
      <c r="VVB27" s="914"/>
      <c r="VVC27" s="914"/>
      <c r="VVD27" s="914"/>
      <c r="VVE27" s="914"/>
      <c r="VVF27" s="914"/>
      <c r="VVG27" s="914"/>
      <c r="VVH27" s="914"/>
      <c r="VVI27" s="911"/>
      <c r="VVJ27" s="911"/>
      <c r="VVK27" s="911"/>
      <c r="VVL27" s="915"/>
      <c r="VVM27" s="914"/>
      <c r="VVN27" s="914"/>
      <c r="VVO27" s="914"/>
      <c r="VVP27" s="914"/>
      <c r="VVQ27" s="914"/>
      <c r="VVR27" s="914"/>
      <c r="VVS27" s="914"/>
      <c r="VVT27" s="911"/>
      <c r="VVU27" s="911"/>
      <c r="VVV27" s="911"/>
      <c r="VVW27" s="915"/>
      <c r="VVX27" s="914"/>
      <c r="VVY27" s="914"/>
      <c r="VVZ27" s="914"/>
      <c r="VWA27" s="914"/>
      <c r="VWB27" s="914"/>
      <c r="VWC27" s="914"/>
      <c r="VWD27" s="914"/>
      <c r="VWE27" s="911"/>
      <c r="VWF27" s="911"/>
      <c r="VWG27" s="911"/>
      <c r="VWH27" s="915"/>
      <c r="VWI27" s="914"/>
      <c r="VWJ27" s="914"/>
      <c r="VWK27" s="914"/>
      <c r="VWL27" s="914"/>
      <c r="VWM27" s="914"/>
      <c r="VWN27" s="914"/>
      <c r="VWO27" s="914"/>
      <c r="VWP27" s="911"/>
      <c r="VWQ27" s="911"/>
      <c r="VWR27" s="911"/>
      <c r="VWS27" s="915"/>
      <c r="VWT27" s="914"/>
      <c r="VWU27" s="914"/>
      <c r="VWV27" s="914"/>
      <c r="VWW27" s="914"/>
      <c r="VWX27" s="914"/>
      <c r="VWY27" s="914"/>
      <c r="VWZ27" s="914"/>
      <c r="VXA27" s="911"/>
      <c r="VXB27" s="911"/>
      <c r="VXC27" s="911"/>
      <c r="VXD27" s="915"/>
      <c r="VXE27" s="914"/>
      <c r="VXF27" s="914"/>
      <c r="VXG27" s="914"/>
      <c r="VXH27" s="914"/>
      <c r="VXI27" s="914"/>
      <c r="VXJ27" s="914"/>
      <c r="VXK27" s="914"/>
      <c r="VXL27" s="911"/>
      <c r="VXM27" s="911"/>
      <c r="VXN27" s="911"/>
      <c r="VXO27" s="915"/>
      <c r="VXP27" s="914"/>
      <c r="VXQ27" s="914"/>
      <c r="VXR27" s="914"/>
      <c r="VXS27" s="914"/>
      <c r="VXT27" s="914"/>
      <c r="VXU27" s="914"/>
      <c r="VXV27" s="914"/>
      <c r="VXW27" s="911"/>
      <c r="VXX27" s="911"/>
      <c r="VXY27" s="911"/>
      <c r="VXZ27" s="915"/>
      <c r="VYA27" s="914"/>
      <c r="VYB27" s="914"/>
      <c r="VYC27" s="914"/>
      <c r="VYD27" s="914"/>
      <c r="VYE27" s="914"/>
      <c r="VYF27" s="914"/>
      <c r="VYG27" s="914"/>
      <c r="VYH27" s="911"/>
      <c r="VYI27" s="911"/>
      <c r="VYJ27" s="911"/>
      <c r="VYK27" s="915"/>
      <c r="VYL27" s="914"/>
      <c r="VYM27" s="914"/>
      <c r="VYN27" s="914"/>
      <c r="VYO27" s="914"/>
      <c r="VYP27" s="914"/>
      <c r="VYQ27" s="914"/>
      <c r="VYR27" s="914"/>
      <c r="VYS27" s="911"/>
      <c r="VYT27" s="911"/>
      <c r="VYU27" s="911"/>
      <c r="VYV27" s="915"/>
      <c r="VYW27" s="914"/>
      <c r="VYX27" s="914"/>
      <c r="VYY27" s="914"/>
      <c r="VYZ27" s="914"/>
      <c r="VZA27" s="914"/>
      <c r="VZB27" s="914"/>
      <c r="VZC27" s="914"/>
      <c r="VZD27" s="911"/>
      <c r="VZE27" s="911"/>
      <c r="VZF27" s="911"/>
      <c r="VZG27" s="915"/>
      <c r="VZH27" s="914"/>
      <c r="VZI27" s="914"/>
      <c r="VZJ27" s="914"/>
      <c r="VZK27" s="914"/>
      <c r="VZL27" s="914"/>
      <c r="VZM27" s="914"/>
      <c r="VZN27" s="914"/>
      <c r="VZO27" s="911"/>
      <c r="VZP27" s="911"/>
      <c r="VZQ27" s="911"/>
      <c r="VZR27" s="915"/>
      <c r="VZS27" s="914"/>
      <c r="VZT27" s="914"/>
      <c r="VZU27" s="914"/>
      <c r="VZV27" s="914"/>
      <c r="VZW27" s="914"/>
      <c r="VZX27" s="914"/>
      <c r="VZY27" s="914"/>
      <c r="VZZ27" s="911"/>
      <c r="WAA27" s="911"/>
      <c r="WAB27" s="911"/>
      <c r="WAC27" s="915"/>
      <c r="WAD27" s="914"/>
      <c r="WAE27" s="914"/>
      <c r="WAF27" s="914"/>
      <c r="WAG27" s="914"/>
      <c r="WAH27" s="914"/>
      <c r="WAI27" s="914"/>
      <c r="WAJ27" s="914"/>
      <c r="WAK27" s="911"/>
      <c r="WAL27" s="911"/>
      <c r="WAM27" s="911"/>
      <c r="WAN27" s="915"/>
      <c r="WAO27" s="914"/>
      <c r="WAP27" s="914"/>
      <c r="WAQ27" s="914"/>
      <c r="WAR27" s="914"/>
      <c r="WAS27" s="914"/>
      <c r="WAT27" s="914"/>
      <c r="WAU27" s="914"/>
      <c r="WAV27" s="911"/>
      <c r="WAW27" s="911"/>
      <c r="WAX27" s="911"/>
      <c r="WAY27" s="915"/>
      <c r="WAZ27" s="914"/>
      <c r="WBA27" s="914"/>
      <c r="WBB27" s="914"/>
      <c r="WBC27" s="914"/>
      <c r="WBD27" s="914"/>
      <c r="WBE27" s="914"/>
      <c r="WBF27" s="914"/>
      <c r="WBG27" s="911"/>
      <c r="WBH27" s="911"/>
      <c r="WBI27" s="911"/>
      <c r="WBJ27" s="915"/>
      <c r="WBK27" s="914"/>
      <c r="WBL27" s="914"/>
      <c r="WBM27" s="914"/>
      <c r="WBN27" s="914"/>
      <c r="WBO27" s="914"/>
      <c r="WBP27" s="914"/>
      <c r="WBQ27" s="914"/>
      <c r="WBR27" s="911"/>
      <c r="WBS27" s="911"/>
      <c r="WBT27" s="911"/>
      <c r="WBU27" s="915"/>
      <c r="WBV27" s="914"/>
      <c r="WBW27" s="914"/>
      <c r="WBX27" s="914"/>
      <c r="WBY27" s="914"/>
      <c r="WBZ27" s="914"/>
      <c r="WCA27" s="914"/>
      <c r="WCB27" s="914"/>
      <c r="WCC27" s="911"/>
      <c r="WCD27" s="911"/>
      <c r="WCE27" s="911"/>
      <c r="WCF27" s="915"/>
      <c r="WCG27" s="914"/>
      <c r="WCH27" s="914"/>
      <c r="WCI27" s="914"/>
      <c r="WCJ27" s="914"/>
      <c r="WCK27" s="914"/>
      <c r="WCL27" s="914"/>
      <c r="WCM27" s="914"/>
      <c r="WCN27" s="911"/>
      <c r="WCO27" s="911"/>
      <c r="WCP27" s="911"/>
      <c r="WCQ27" s="915"/>
      <c r="WCR27" s="914"/>
      <c r="WCS27" s="914"/>
      <c r="WCT27" s="914"/>
      <c r="WCU27" s="914"/>
      <c r="WCV27" s="914"/>
      <c r="WCW27" s="914"/>
      <c r="WCX27" s="914"/>
      <c r="WCY27" s="911"/>
      <c r="WCZ27" s="911"/>
      <c r="WDA27" s="911"/>
      <c r="WDB27" s="915"/>
      <c r="WDC27" s="914"/>
      <c r="WDD27" s="914"/>
      <c r="WDE27" s="914"/>
      <c r="WDF27" s="914"/>
      <c r="WDG27" s="914"/>
      <c r="WDH27" s="914"/>
      <c r="WDI27" s="914"/>
      <c r="WDJ27" s="911"/>
      <c r="WDK27" s="911"/>
      <c r="WDL27" s="911"/>
      <c r="WDM27" s="915"/>
      <c r="WDN27" s="914"/>
      <c r="WDO27" s="914"/>
      <c r="WDP27" s="914"/>
      <c r="WDQ27" s="914"/>
      <c r="WDR27" s="914"/>
      <c r="WDS27" s="914"/>
      <c r="WDT27" s="914"/>
      <c r="WDU27" s="911"/>
      <c r="WDV27" s="911"/>
      <c r="WDW27" s="911"/>
      <c r="WDX27" s="915"/>
      <c r="WDY27" s="914"/>
      <c r="WDZ27" s="914"/>
      <c r="WEA27" s="914"/>
      <c r="WEB27" s="914"/>
      <c r="WEC27" s="914"/>
      <c r="WED27" s="914"/>
      <c r="WEE27" s="914"/>
      <c r="WEF27" s="911"/>
      <c r="WEG27" s="911"/>
      <c r="WEH27" s="911"/>
      <c r="WEI27" s="915"/>
      <c r="WEJ27" s="914"/>
      <c r="WEK27" s="914"/>
      <c r="WEL27" s="914"/>
      <c r="WEM27" s="914"/>
      <c r="WEN27" s="914"/>
      <c r="WEO27" s="914"/>
      <c r="WEP27" s="914"/>
      <c r="WEQ27" s="911"/>
      <c r="WER27" s="911"/>
      <c r="WES27" s="911"/>
      <c r="WET27" s="915"/>
      <c r="WEU27" s="914"/>
      <c r="WEV27" s="914"/>
      <c r="WEW27" s="914"/>
      <c r="WEX27" s="914"/>
      <c r="WEY27" s="914"/>
      <c r="WEZ27" s="914"/>
      <c r="WFA27" s="914"/>
      <c r="WFB27" s="911"/>
      <c r="WFC27" s="911"/>
      <c r="WFD27" s="911"/>
      <c r="WFE27" s="915"/>
      <c r="WFF27" s="914"/>
      <c r="WFG27" s="914"/>
      <c r="WFH27" s="914"/>
      <c r="WFI27" s="914"/>
      <c r="WFJ27" s="914"/>
      <c r="WFK27" s="914"/>
      <c r="WFL27" s="914"/>
      <c r="WFM27" s="911"/>
      <c r="WFN27" s="911"/>
      <c r="WFO27" s="911"/>
      <c r="WFP27" s="915"/>
      <c r="WFQ27" s="914"/>
      <c r="WFR27" s="914"/>
      <c r="WFS27" s="914"/>
      <c r="WFT27" s="914"/>
      <c r="WFU27" s="914"/>
      <c r="WFV27" s="914"/>
      <c r="WFW27" s="914"/>
      <c r="WFX27" s="911"/>
      <c r="WFY27" s="911"/>
      <c r="WFZ27" s="911"/>
      <c r="WGA27" s="915"/>
      <c r="WGB27" s="914"/>
      <c r="WGC27" s="914"/>
      <c r="WGD27" s="914"/>
      <c r="WGE27" s="914"/>
      <c r="WGF27" s="914"/>
      <c r="WGG27" s="914"/>
      <c r="WGH27" s="914"/>
      <c r="WGI27" s="911"/>
      <c r="WGJ27" s="911"/>
      <c r="WGK27" s="911"/>
      <c r="WGL27" s="915"/>
      <c r="WGM27" s="914"/>
      <c r="WGN27" s="914"/>
      <c r="WGO27" s="914"/>
      <c r="WGP27" s="914"/>
      <c r="WGQ27" s="914"/>
      <c r="WGR27" s="914"/>
      <c r="WGS27" s="914"/>
      <c r="WGT27" s="911"/>
      <c r="WGU27" s="911"/>
      <c r="WGV27" s="911"/>
      <c r="WGW27" s="915"/>
      <c r="WGX27" s="914"/>
      <c r="WGY27" s="914"/>
      <c r="WGZ27" s="914"/>
      <c r="WHA27" s="914"/>
      <c r="WHB27" s="914"/>
      <c r="WHC27" s="914"/>
      <c r="WHD27" s="914"/>
      <c r="WHE27" s="911"/>
      <c r="WHF27" s="911"/>
      <c r="WHG27" s="911"/>
      <c r="WHH27" s="915"/>
      <c r="WHI27" s="914"/>
      <c r="WHJ27" s="914"/>
      <c r="WHK27" s="914"/>
      <c r="WHL27" s="914"/>
      <c r="WHM27" s="914"/>
      <c r="WHN27" s="914"/>
      <c r="WHO27" s="914"/>
      <c r="WHP27" s="911"/>
      <c r="WHQ27" s="911"/>
      <c r="WHR27" s="911"/>
      <c r="WHS27" s="915"/>
      <c r="WHT27" s="914"/>
      <c r="WHU27" s="914"/>
      <c r="WHV27" s="914"/>
      <c r="WHW27" s="914"/>
      <c r="WHX27" s="914"/>
      <c r="WHY27" s="914"/>
      <c r="WHZ27" s="914"/>
      <c r="WIA27" s="911"/>
      <c r="WIB27" s="911"/>
      <c r="WIC27" s="911"/>
      <c r="WID27" s="915"/>
      <c r="WIE27" s="914"/>
      <c r="WIF27" s="914"/>
      <c r="WIG27" s="914"/>
      <c r="WIH27" s="914"/>
      <c r="WII27" s="914"/>
      <c r="WIJ27" s="914"/>
      <c r="WIK27" s="914"/>
      <c r="WIL27" s="911"/>
      <c r="WIM27" s="911"/>
      <c r="WIN27" s="911"/>
      <c r="WIO27" s="915"/>
      <c r="WIP27" s="914"/>
      <c r="WIQ27" s="914"/>
      <c r="WIR27" s="914"/>
      <c r="WIS27" s="914"/>
      <c r="WIT27" s="914"/>
      <c r="WIU27" s="914"/>
      <c r="WIV27" s="914"/>
      <c r="WIW27" s="911"/>
      <c r="WIX27" s="911"/>
      <c r="WIY27" s="911"/>
      <c r="WIZ27" s="915"/>
      <c r="WJA27" s="914"/>
      <c r="WJB27" s="914"/>
      <c r="WJC27" s="914"/>
      <c r="WJD27" s="914"/>
      <c r="WJE27" s="914"/>
      <c r="WJF27" s="914"/>
      <c r="WJG27" s="914"/>
      <c r="WJH27" s="911"/>
      <c r="WJI27" s="911"/>
      <c r="WJJ27" s="911"/>
      <c r="WJK27" s="915"/>
      <c r="WJL27" s="914"/>
      <c r="WJM27" s="914"/>
      <c r="WJN27" s="914"/>
      <c r="WJO27" s="914"/>
      <c r="WJP27" s="914"/>
      <c r="WJQ27" s="914"/>
      <c r="WJR27" s="914"/>
      <c r="WJS27" s="911"/>
      <c r="WJT27" s="911"/>
      <c r="WJU27" s="911"/>
      <c r="WJV27" s="915"/>
      <c r="WJW27" s="914"/>
      <c r="WJX27" s="914"/>
      <c r="WJY27" s="914"/>
      <c r="WJZ27" s="914"/>
      <c r="WKA27" s="914"/>
      <c r="WKB27" s="914"/>
      <c r="WKC27" s="914"/>
      <c r="WKD27" s="911"/>
      <c r="WKE27" s="911"/>
      <c r="WKF27" s="911"/>
      <c r="WKG27" s="915"/>
      <c r="WKH27" s="914"/>
      <c r="WKI27" s="914"/>
      <c r="WKJ27" s="914"/>
      <c r="WKK27" s="914"/>
      <c r="WKL27" s="914"/>
      <c r="WKM27" s="914"/>
      <c r="WKN27" s="914"/>
      <c r="WKO27" s="911"/>
      <c r="WKP27" s="911"/>
      <c r="WKQ27" s="911"/>
      <c r="WKR27" s="915"/>
      <c r="WKS27" s="914"/>
      <c r="WKT27" s="914"/>
      <c r="WKU27" s="914"/>
      <c r="WKV27" s="914"/>
      <c r="WKW27" s="914"/>
      <c r="WKX27" s="914"/>
      <c r="WKY27" s="914"/>
      <c r="WKZ27" s="911"/>
      <c r="WLA27" s="911"/>
      <c r="WLB27" s="911"/>
      <c r="WLC27" s="915"/>
      <c r="WLD27" s="914"/>
      <c r="WLE27" s="914"/>
      <c r="WLF27" s="914"/>
      <c r="WLG27" s="914"/>
      <c r="WLH27" s="914"/>
      <c r="WLI27" s="914"/>
      <c r="WLJ27" s="914"/>
      <c r="WLK27" s="911"/>
      <c r="WLL27" s="911"/>
      <c r="WLM27" s="911"/>
      <c r="WLN27" s="915"/>
      <c r="WLO27" s="914"/>
      <c r="WLP27" s="914"/>
      <c r="WLQ27" s="914"/>
      <c r="WLR27" s="914"/>
      <c r="WLS27" s="914"/>
      <c r="WLT27" s="914"/>
      <c r="WLU27" s="914"/>
      <c r="WLV27" s="911"/>
      <c r="WLW27" s="911"/>
      <c r="WLX27" s="911"/>
      <c r="WLY27" s="915"/>
      <c r="WLZ27" s="914"/>
      <c r="WMA27" s="914"/>
      <c r="WMB27" s="914"/>
      <c r="WMC27" s="914"/>
      <c r="WMD27" s="914"/>
      <c r="WME27" s="914"/>
      <c r="WMF27" s="914"/>
      <c r="WMG27" s="911"/>
      <c r="WMH27" s="911"/>
      <c r="WMI27" s="911"/>
      <c r="WMJ27" s="915"/>
      <c r="WMK27" s="914"/>
      <c r="WML27" s="914"/>
      <c r="WMM27" s="914"/>
      <c r="WMN27" s="914"/>
      <c r="WMO27" s="914"/>
      <c r="WMP27" s="914"/>
      <c r="WMQ27" s="914"/>
      <c r="WMR27" s="911"/>
      <c r="WMS27" s="911"/>
      <c r="WMT27" s="911"/>
      <c r="WMU27" s="915"/>
      <c r="WMV27" s="914"/>
      <c r="WMW27" s="914"/>
      <c r="WMX27" s="914"/>
      <c r="WMY27" s="914"/>
      <c r="WMZ27" s="914"/>
      <c r="WNA27" s="914"/>
      <c r="WNB27" s="914"/>
      <c r="WNC27" s="911"/>
      <c r="WND27" s="911"/>
      <c r="WNE27" s="911"/>
      <c r="WNF27" s="915"/>
      <c r="WNG27" s="914"/>
      <c r="WNH27" s="914"/>
      <c r="WNI27" s="914"/>
      <c r="WNJ27" s="914"/>
      <c r="WNK27" s="914"/>
      <c r="WNL27" s="914"/>
      <c r="WNM27" s="914"/>
      <c r="WNN27" s="911"/>
      <c r="WNO27" s="911"/>
      <c r="WNP27" s="911"/>
      <c r="WNQ27" s="915"/>
      <c r="WNR27" s="914"/>
      <c r="WNS27" s="914"/>
      <c r="WNT27" s="914"/>
      <c r="WNU27" s="914"/>
      <c r="WNV27" s="914"/>
      <c r="WNW27" s="914"/>
      <c r="WNX27" s="914"/>
      <c r="WNY27" s="911"/>
      <c r="WNZ27" s="911"/>
      <c r="WOA27" s="911"/>
      <c r="WOB27" s="915"/>
      <c r="WOC27" s="914"/>
      <c r="WOD27" s="914"/>
      <c r="WOE27" s="914"/>
      <c r="WOF27" s="914"/>
      <c r="WOG27" s="914"/>
      <c r="WOH27" s="914"/>
      <c r="WOI27" s="914"/>
      <c r="WOJ27" s="911"/>
      <c r="WOK27" s="911"/>
      <c r="WOL27" s="911"/>
      <c r="WOM27" s="915"/>
      <c r="WON27" s="914"/>
      <c r="WOO27" s="914"/>
      <c r="WOP27" s="914"/>
      <c r="WOQ27" s="914"/>
      <c r="WOR27" s="914"/>
      <c r="WOS27" s="914"/>
      <c r="WOT27" s="914"/>
      <c r="WOU27" s="911"/>
      <c r="WOV27" s="911"/>
      <c r="WOW27" s="911"/>
      <c r="WOX27" s="915"/>
      <c r="WOY27" s="914"/>
      <c r="WOZ27" s="914"/>
      <c r="WPA27" s="914"/>
      <c r="WPB27" s="914"/>
      <c r="WPC27" s="914"/>
      <c r="WPD27" s="914"/>
      <c r="WPE27" s="914"/>
      <c r="WPF27" s="911"/>
      <c r="WPG27" s="911"/>
      <c r="WPH27" s="911"/>
      <c r="WPI27" s="915"/>
      <c r="WPJ27" s="914"/>
      <c r="WPK27" s="914"/>
      <c r="WPL27" s="914"/>
      <c r="WPM27" s="914"/>
      <c r="WPN27" s="914"/>
      <c r="WPO27" s="914"/>
      <c r="WPP27" s="914"/>
      <c r="WPQ27" s="911"/>
      <c r="WPR27" s="911"/>
      <c r="WPS27" s="911"/>
      <c r="WPT27" s="915"/>
      <c r="WPU27" s="914"/>
      <c r="WPV27" s="914"/>
      <c r="WPW27" s="914"/>
      <c r="WPX27" s="914"/>
      <c r="WPY27" s="914"/>
      <c r="WPZ27" s="914"/>
      <c r="WQA27" s="914"/>
      <c r="WQB27" s="911"/>
      <c r="WQC27" s="911"/>
      <c r="WQD27" s="911"/>
      <c r="WQE27" s="915"/>
      <c r="WQF27" s="914"/>
      <c r="WQG27" s="914"/>
      <c r="WQH27" s="914"/>
      <c r="WQI27" s="914"/>
      <c r="WQJ27" s="914"/>
      <c r="WQK27" s="914"/>
      <c r="WQL27" s="914"/>
      <c r="WQM27" s="911"/>
      <c r="WQN27" s="911"/>
      <c r="WQO27" s="911"/>
      <c r="WQP27" s="915"/>
      <c r="WQQ27" s="914"/>
      <c r="WQR27" s="914"/>
      <c r="WQS27" s="914"/>
      <c r="WQT27" s="914"/>
      <c r="WQU27" s="914"/>
      <c r="WQV27" s="914"/>
      <c r="WQW27" s="914"/>
      <c r="WQX27" s="911"/>
      <c r="WQY27" s="911"/>
      <c r="WQZ27" s="911"/>
      <c r="WRA27" s="915"/>
      <c r="WRB27" s="914"/>
      <c r="WRC27" s="914"/>
      <c r="WRD27" s="914"/>
      <c r="WRE27" s="914"/>
      <c r="WRF27" s="914"/>
      <c r="WRG27" s="914"/>
      <c r="WRH27" s="914"/>
      <c r="WRI27" s="911"/>
      <c r="WRJ27" s="911"/>
      <c r="WRK27" s="911"/>
      <c r="WRL27" s="915"/>
      <c r="WRM27" s="914"/>
      <c r="WRN27" s="914"/>
      <c r="WRO27" s="914"/>
      <c r="WRP27" s="914"/>
      <c r="WRQ27" s="914"/>
      <c r="WRR27" s="914"/>
      <c r="WRS27" s="914"/>
      <c r="WRT27" s="911"/>
      <c r="WRU27" s="911"/>
      <c r="WRV27" s="911"/>
      <c r="WRW27" s="915"/>
      <c r="WRX27" s="914"/>
      <c r="WRY27" s="914"/>
      <c r="WRZ27" s="914"/>
      <c r="WSA27" s="914"/>
      <c r="WSB27" s="914"/>
      <c r="WSC27" s="914"/>
      <c r="WSD27" s="914"/>
      <c r="WSE27" s="911"/>
      <c r="WSF27" s="911"/>
      <c r="WSG27" s="911"/>
      <c r="WSH27" s="915"/>
      <c r="WSI27" s="914"/>
      <c r="WSJ27" s="914"/>
      <c r="WSK27" s="914"/>
      <c r="WSL27" s="914"/>
      <c r="WSM27" s="914"/>
      <c r="WSN27" s="914"/>
      <c r="WSO27" s="914"/>
      <c r="WSP27" s="911"/>
      <c r="WSQ27" s="911"/>
      <c r="WSR27" s="911"/>
      <c r="WSS27" s="915"/>
      <c r="WST27" s="914"/>
      <c r="WSU27" s="914"/>
      <c r="WSV27" s="914"/>
      <c r="WSW27" s="914"/>
      <c r="WSX27" s="914"/>
      <c r="WSY27" s="914"/>
      <c r="WSZ27" s="914"/>
      <c r="WTA27" s="911"/>
      <c r="WTB27" s="911"/>
      <c r="WTC27" s="911"/>
      <c r="WTD27" s="915"/>
      <c r="WTE27" s="914"/>
      <c r="WTF27" s="914"/>
      <c r="WTG27" s="914"/>
      <c r="WTH27" s="914"/>
      <c r="WTI27" s="914"/>
      <c r="WTJ27" s="914"/>
      <c r="WTK27" s="914"/>
      <c r="WTL27" s="911"/>
      <c r="WTM27" s="911"/>
      <c r="WTN27" s="911"/>
      <c r="WTO27" s="915"/>
      <c r="WTP27" s="914"/>
      <c r="WTQ27" s="914"/>
      <c r="WTR27" s="914"/>
      <c r="WTS27" s="914"/>
      <c r="WTT27" s="914"/>
      <c r="WTU27" s="914"/>
      <c r="WTV27" s="914"/>
      <c r="WTW27" s="911"/>
      <c r="WTX27" s="911"/>
      <c r="WTY27" s="911"/>
      <c r="WTZ27" s="915"/>
      <c r="WUA27" s="914"/>
      <c r="WUB27" s="914"/>
      <c r="WUC27" s="914"/>
      <c r="WUD27" s="914"/>
      <c r="WUE27" s="914"/>
      <c r="WUF27" s="914"/>
      <c r="WUG27" s="914"/>
      <c r="WUH27" s="911"/>
      <c r="WUI27" s="911"/>
      <c r="WUJ27" s="911"/>
      <c r="WUK27" s="915"/>
      <c r="WUL27" s="914"/>
      <c r="WUM27" s="914"/>
      <c r="WUN27" s="914"/>
      <c r="WUO27" s="914"/>
      <c r="WUP27" s="914"/>
      <c r="WUQ27" s="914"/>
      <c r="WUR27" s="914"/>
      <c r="WUS27" s="911"/>
      <c r="WUT27" s="911"/>
      <c r="WUU27" s="911"/>
      <c r="WUV27" s="915"/>
      <c r="WUW27" s="914"/>
      <c r="WUX27" s="914"/>
      <c r="WUY27" s="914"/>
      <c r="WUZ27" s="914"/>
      <c r="WVA27" s="914"/>
      <c r="WVB27" s="914"/>
      <c r="WVC27" s="914"/>
      <c r="WVD27" s="911"/>
      <c r="WVE27" s="911"/>
      <c r="WVF27" s="911"/>
      <c r="WVG27" s="915"/>
      <c r="WVH27" s="914"/>
      <c r="WVI27" s="914"/>
      <c r="WVJ27" s="914"/>
      <c r="WVK27" s="914"/>
      <c r="WVL27" s="914"/>
      <c r="WVM27" s="914"/>
      <c r="WVN27" s="914"/>
      <c r="WVO27" s="911"/>
      <c r="WVP27" s="911"/>
      <c r="WVQ27" s="911"/>
      <c r="WVR27" s="915"/>
      <c r="WVS27" s="914"/>
      <c r="WVT27" s="914"/>
      <c r="WVU27" s="914"/>
      <c r="WVV27" s="914"/>
      <c r="WVW27" s="914"/>
      <c r="WVX27" s="914"/>
      <c r="WVY27" s="914"/>
      <c r="WVZ27" s="911"/>
      <c r="WWA27" s="911"/>
      <c r="WWB27" s="911"/>
      <c r="WWC27" s="915"/>
      <c r="WWD27" s="914"/>
      <c r="WWE27" s="914"/>
      <c r="WWF27" s="914"/>
      <c r="WWG27" s="914"/>
      <c r="WWH27" s="914"/>
      <c r="WWI27" s="914"/>
      <c r="WWJ27" s="914"/>
      <c r="WWK27" s="911"/>
      <c r="WWL27" s="911"/>
      <c r="WWM27" s="911"/>
      <c r="WWN27" s="915"/>
      <c r="WWO27" s="914"/>
      <c r="WWP27" s="914"/>
      <c r="WWQ27" s="914"/>
      <c r="WWR27" s="914"/>
      <c r="WWS27" s="914"/>
      <c r="WWT27" s="914"/>
      <c r="WWU27" s="914"/>
      <c r="WWV27" s="911"/>
      <c r="WWW27" s="911"/>
      <c r="WWX27" s="911"/>
      <c r="WWY27" s="915"/>
      <c r="WWZ27" s="914"/>
      <c r="WXA27" s="914"/>
      <c r="WXB27" s="914"/>
      <c r="WXC27" s="914"/>
      <c r="WXD27" s="914"/>
      <c r="WXE27" s="914"/>
      <c r="WXF27" s="914"/>
      <c r="WXG27" s="911"/>
      <c r="WXH27" s="911"/>
      <c r="WXI27" s="911"/>
      <c r="WXJ27" s="915"/>
      <c r="WXK27" s="914"/>
      <c r="WXL27" s="914"/>
      <c r="WXM27" s="914"/>
      <c r="WXN27" s="914"/>
      <c r="WXO27" s="914"/>
      <c r="WXP27" s="914"/>
      <c r="WXQ27" s="914"/>
      <c r="WXR27" s="911"/>
      <c r="WXS27" s="911"/>
      <c r="WXT27" s="911"/>
      <c r="WXU27" s="915"/>
      <c r="WXV27" s="914"/>
      <c r="WXW27" s="914"/>
      <c r="WXX27" s="914"/>
      <c r="WXY27" s="914"/>
      <c r="WXZ27" s="914"/>
      <c r="WYA27" s="914"/>
      <c r="WYB27" s="914"/>
      <c r="WYC27" s="911"/>
      <c r="WYD27" s="911"/>
      <c r="WYE27" s="911"/>
      <c r="WYF27" s="915"/>
      <c r="WYG27" s="914"/>
      <c r="WYH27" s="914"/>
      <c r="WYI27" s="914"/>
      <c r="WYJ27" s="914"/>
      <c r="WYK27" s="914"/>
      <c r="WYL27" s="914"/>
      <c r="WYM27" s="914"/>
      <c r="WYN27" s="911"/>
      <c r="WYO27" s="911"/>
      <c r="WYP27" s="911"/>
      <c r="WYQ27" s="915"/>
      <c r="WYR27" s="914"/>
      <c r="WYS27" s="914"/>
      <c r="WYT27" s="914"/>
      <c r="WYU27" s="914"/>
      <c r="WYV27" s="914"/>
      <c r="WYW27" s="914"/>
      <c r="WYX27" s="914"/>
      <c r="WYY27" s="911"/>
      <c r="WYZ27" s="911"/>
      <c r="WZA27" s="911"/>
      <c r="WZB27" s="915"/>
      <c r="WZC27" s="914"/>
      <c r="WZD27" s="914"/>
      <c r="WZE27" s="914"/>
      <c r="WZF27" s="914"/>
      <c r="WZG27" s="914"/>
      <c r="WZH27" s="914"/>
      <c r="WZI27" s="914"/>
      <c r="WZJ27" s="911"/>
      <c r="WZK27" s="911"/>
      <c r="WZL27" s="911"/>
      <c r="WZM27" s="915"/>
      <c r="WZN27" s="914"/>
      <c r="WZO27" s="914"/>
      <c r="WZP27" s="914"/>
      <c r="WZQ27" s="914"/>
      <c r="WZR27" s="914"/>
      <c r="WZS27" s="914"/>
      <c r="WZT27" s="914"/>
      <c r="WZU27" s="911"/>
      <c r="WZV27" s="911"/>
      <c r="WZW27" s="911"/>
      <c r="WZX27" s="915"/>
      <c r="WZY27" s="914"/>
      <c r="WZZ27" s="914"/>
      <c r="XAA27" s="914"/>
      <c r="XAB27" s="914"/>
      <c r="XAC27" s="914"/>
      <c r="XAD27" s="914"/>
      <c r="XAE27" s="914"/>
      <c r="XAF27" s="911"/>
      <c r="XAG27" s="911"/>
      <c r="XAH27" s="911"/>
      <c r="XAI27" s="915"/>
      <c r="XAJ27" s="914"/>
      <c r="XAK27" s="914"/>
      <c r="XAL27" s="914"/>
      <c r="XAM27" s="914"/>
      <c r="XAN27" s="914"/>
      <c r="XAO27" s="914"/>
      <c r="XAP27" s="914"/>
      <c r="XAQ27" s="911"/>
      <c r="XAR27" s="911"/>
      <c r="XAS27" s="911"/>
      <c r="XAT27" s="915"/>
      <c r="XAU27" s="914"/>
      <c r="XAV27" s="914"/>
      <c r="XAW27" s="914"/>
      <c r="XAX27" s="914"/>
      <c r="XAY27" s="914"/>
      <c r="XAZ27" s="914"/>
      <c r="XBA27" s="914"/>
      <c r="XBB27" s="911"/>
      <c r="XBC27" s="911"/>
      <c r="XBD27" s="911"/>
      <c r="XBE27" s="915"/>
      <c r="XBF27" s="914"/>
      <c r="XBG27" s="914"/>
      <c r="XBH27" s="914"/>
      <c r="XBI27" s="914"/>
      <c r="XBJ27" s="914"/>
      <c r="XBK27" s="914"/>
      <c r="XBL27" s="914"/>
      <c r="XBM27" s="911"/>
      <c r="XBN27" s="911"/>
      <c r="XBO27" s="911"/>
      <c r="XBP27" s="915"/>
      <c r="XBQ27" s="914"/>
      <c r="XBR27" s="914"/>
      <c r="XBS27" s="914"/>
      <c r="XBT27" s="914"/>
      <c r="XBU27" s="914"/>
      <c r="XBV27" s="914"/>
      <c r="XBW27" s="914"/>
      <c r="XBX27" s="911"/>
      <c r="XBY27" s="911"/>
      <c r="XBZ27" s="911"/>
      <c r="XCA27" s="915"/>
      <c r="XCB27" s="914"/>
      <c r="XCC27" s="914"/>
      <c r="XCD27" s="914"/>
      <c r="XCE27" s="914"/>
      <c r="XCF27" s="914"/>
      <c r="XCG27" s="914"/>
      <c r="XCH27" s="914"/>
      <c r="XCI27" s="911"/>
      <c r="XCJ27" s="911"/>
      <c r="XCK27" s="911"/>
      <c r="XCL27" s="915"/>
      <c r="XCM27" s="914"/>
      <c r="XCN27" s="914"/>
      <c r="XCO27" s="914"/>
      <c r="XCP27" s="914"/>
      <c r="XCQ27" s="914"/>
      <c r="XCR27" s="914"/>
      <c r="XCS27" s="914"/>
      <c r="XCT27" s="911"/>
      <c r="XCU27" s="911"/>
      <c r="XCV27" s="911"/>
      <c r="XCW27" s="915"/>
      <c r="XCX27" s="914"/>
      <c r="XCY27" s="914"/>
      <c r="XCZ27" s="914"/>
      <c r="XDA27" s="914"/>
      <c r="XDB27" s="914"/>
      <c r="XDC27" s="914"/>
      <c r="XDD27" s="914"/>
      <c r="XDE27" s="911"/>
      <c r="XDF27" s="911"/>
      <c r="XDG27" s="911"/>
      <c r="XDH27" s="915"/>
      <c r="XDI27" s="914"/>
      <c r="XDJ27" s="914"/>
      <c r="XDK27" s="914"/>
      <c r="XDL27" s="914"/>
      <c r="XDM27" s="914"/>
      <c r="XDN27" s="914"/>
      <c r="XDO27" s="914"/>
      <c r="XDP27" s="911"/>
      <c r="XDQ27" s="911"/>
      <c r="XDR27" s="911"/>
      <c r="XDS27" s="915"/>
      <c r="XDT27" s="914"/>
      <c r="XDU27" s="914"/>
      <c r="XDV27" s="914"/>
      <c r="XDW27" s="914"/>
      <c r="XDX27" s="914"/>
      <c r="XDY27" s="914"/>
      <c r="XDZ27" s="914"/>
      <c r="XEA27" s="911"/>
      <c r="XEB27" s="911"/>
      <c r="XEC27" s="911"/>
      <c r="XED27" s="915"/>
      <c r="XEE27" s="914"/>
      <c r="XEF27" s="914"/>
      <c r="XEG27" s="914"/>
      <c r="XEH27" s="914"/>
      <c r="XEI27" s="914"/>
      <c r="XEJ27" s="914"/>
      <c r="XEK27" s="914"/>
      <c r="XEL27" s="911"/>
      <c r="XEM27" s="911"/>
      <c r="XEN27" s="911"/>
      <c r="XEO27" s="915"/>
      <c r="XEP27" s="914"/>
      <c r="XEQ27" s="914"/>
      <c r="XER27" s="914"/>
      <c r="XES27" s="914"/>
      <c r="XET27" s="914"/>
      <c r="XEU27" s="914"/>
      <c r="XEV27" s="914"/>
      <c r="XEW27" s="911"/>
      <c r="XEX27" s="911"/>
      <c r="XEY27" s="911"/>
      <c r="XEZ27" s="915"/>
      <c r="XFA27" s="914"/>
      <c r="XFB27" s="914"/>
      <c r="XFC27" s="914"/>
      <c r="XFD27" s="914"/>
    </row>
    <row r="28" spans="1:16384" s="675" customFormat="1" ht="13">
      <c r="A28" s="915" t="s">
        <v>653</v>
      </c>
      <c r="B28" s="914"/>
      <c r="C28" s="914"/>
      <c r="D28" s="914"/>
      <c r="E28" s="914"/>
      <c r="F28" s="914"/>
      <c r="G28" s="914"/>
      <c r="H28" s="914"/>
      <c r="I28" s="911"/>
      <c r="J28" s="911"/>
      <c r="K28" s="911"/>
      <c r="L28" s="915"/>
      <c r="M28" s="914"/>
      <c r="N28" s="914"/>
      <c r="O28" s="914"/>
      <c r="P28" s="914"/>
      <c r="Q28" s="914"/>
      <c r="R28" s="914"/>
      <c r="S28" s="914"/>
      <c r="T28" s="911"/>
      <c r="U28" s="911"/>
      <c r="V28" s="911"/>
      <c r="W28" s="915"/>
      <c r="X28" s="914"/>
      <c r="Y28" s="914"/>
      <c r="Z28" s="914"/>
      <c r="AA28" s="914"/>
      <c r="AB28" s="914"/>
      <c r="AC28" s="914"/>
      <c r="AD28" s="914"/>
      <c r="AE28" s="911"/>
      <c r="AF28" s="911"/>
      <c r="AG28" s="911"/>
      <c r="AH28" s="915"/>
      <c r="AI28" s="914"/>
      <c r="AJ28" s="914"/>
      <c r="AK28" s="914"/>
      <c r="AL28" s="914"/>
      <c r="AM28" s="914"/>
      <c r="AN28" s="914"/>
      <c r="AO28" s="914"/>
      <c r="AP28" s="911"/>
      <c r="AQ28" s="911"/>
      <c r="AR28" s="911"/>
      <c r="AS28" s="915"/>
      <c r="AT28" s="914"/>
      <c r="AU28" s="914"/>
      <c r="AV28" s="914"/>
      <c r="AW28" s="914"/>
      <c r="AX28" s="914"/>
      <c r="AY28" s="914"/>
      <c r="AZ28" s="914"/>
      <c r="BA28" s="911"/>
      <c r="BB28" s="911"/>
      <c r="BC28" s="911"/>
      <c r="BD28" s="915"/>
      <c r="BE28" s="914"/>
      <c r="BF28" s="914"/>
      <c r="BG28" s="914"/>
      <c r="BH28" s="914"/>
      <c r="BI28" s="914"/>
      <c r="BJ28" s="914"/>
      <c r="BK28" s="914"/>
      <c r="BL28" s="911"/>
      <c r="BM28" s="911"/>
      <c r="BN28" s="911"/>
      <c r="BO28" s="915"/>
      <c r="BP28" s="914"/>
      <c r="BQ28" s="914"/>
      <c r="BR28" s="914"/>
      <c r="BS28" s="914"/>
      <c r="BT28" s="914"/>
      <c r="BU28" s="914"/>
      <c r="BV28" s="914"/>
      <c r="BW28" s="911"/>
      <c r="BX28" s="911"/>
      <c r="BY28" s="911"/>
      <c r="BZ28" s="915"/>
      <c r="CA28" s="914"/>
      <c r="CB28" s="914"/>
      <c r="CC28" s="914"/>
      <c r="CD28" s="914"/>
      <c r="CE28" s="914"/>
      <c r="CF28" s="914"/>
      <c r="CG28" s="914"/>
      <c r="CH28" s="911"/>
      <c r="CI28" s="911"/>
      <c r="CJ28" s="911"/>
      <c r="CK28" s="915"/>
      <c r="CL28" s="914"/>
      <c r="CM28" s="914"/>
      <c r="CN28" s="914"/>
      <c r="CO28" s="914"/>
      <c r="CP28" s="914"/>
      <c r="CQ28" s="914"/>
      <c r="CR28" s="914"/>
      <c r="CS28" s="911"/>
      <c r="CT28" s="911"/>
      <c r="CU28" s="911"/>
      <c r="CV28" s="915"/>
      <c r="CW28" s="914"/>
      <c r="CX28" s="914"/>
      <c r="CY28" s="914"/>
      <c r="CZ28" s="914"/>
      <c r="DA28" s="914"/>
      <c r="DB28" s="914"/>
      <c r="DC28" s="914"/>
      <c r="DD28" s="911"/>
      <c r="DE28" s="911"/>
      <c r="DF28" s="911"/>
      <c r="DG28" s="915"/>
      <c r="DH28" s="914"/>
      <c r="DI28" s="914"/>
      <c r="DJ28" s="914"/>
      <c r="DK28" s="914"/>
      <c r="DL28" s="914"/>
      <c r="DM28" s="914"/>
      <c r="DN28" s="914"/>
      <c r="DO28" s="911"/>
      <c r="DP28" s="911"/>
      <c r="DQ28" s="911"/>
      <c r="DR28" s="915"/>
      <c r="DS28" s="914"/>
      <c r="DT28" s="914"/>
      <c r="DU28" s="914"/>
      <c r="DV28" s="914"/>
      <c r="DW28" s="914"/>
      <c r="DX28" s="914"/>
      <c r="DY28" s="914"/>
      <c r="DZ28" s="911"/>
      <c r="EA28" s="911"/>
      <c r="EB28" s="911"/>
      <c r="EC28" s="915"/>
      <c r="ED28" s="914"/>
      <c r="EE28" s="914"/>
      <c r="EF28" s="914"/>
      <c r="EG28" s="914"/>
      <c r="EH28" s="914"/>
      <c r="EI28" s="914"/>
      <c r="EJ28" s="914"/>
      <c r="EK28" s="911"/>
      <c r="EL28" s="911"/>
      <c r="EM28" s="911"/>
      <c r="EN28" s="915"/>
      <c r="EO28" s="914"/>
      <c r="EP28" s="914"/>
      <c r="EQ28" s="914"/>
      <c r="ER28" s="914"/>
      <c r="ES28" s="914"/>
      <c r="ET28" s="914"/>
      <c r="EU28" s="914"/>
      <c r="EV28" s="911"/>
      <c r="EW28" s="911"/>
      <c r="EX28" s="911"/>
      <c r="EY28" s="915"/>
      <c r="EZ28" s="914"/>
      <c r="FA28" s="914"/>
      <c r="FB28" s="914"/>
      <c r="FC28" s="914"/>
      <c r="FD28" s="914"/>
      <c r="FE28" s="914"/>
      <c r="FF28" s="914"/>
      <c r="FG28" s="911"/>
      <c r="FH28" s="911"/>
      <c r="FI28" s="911"/>
      <c r="FJ28" s="915"/>
      <c r="FK28" s="914"/>
      <c r="FL28" s="914"/>
      <c r="FM28" s="914"/>
      <c r="FN28" s="914"/>
      <c r="FO28" s="914"/>
      <c r="FP28" s="914"/>
      <c r="FQ28" s="914"/>
      <c r="FR28" s="911"/>
      <c r="FS28" s="911"/>
      <c r="FT28" s="911"/>
      <c r="FU28" s="915"/>
      <c r="FV28" s="914"/>
      <c r="FW28" s="914"/>
      <c r="FX28" s="914"/>
      <c r="FY28" s="914"/>
      <c r="FZ28" s="914"/>
      <c r="GA28" s="914"/>
      <c r="GB28" s="914"/>
      <c r="GC28" s="911"/>
      <c r="GD28" s="911"/>
      <c r="GE28" s="911"/>
      <c r="GF28" s="915"/>
      <c r="GG28" s="914"/>
      <c r="GH28" s="914"/>
      <c r="GI28" s="914"/>
      <c r="GJ28" s="914"/>
      <c r="GK28" s="914"/>
      <c r="GL28" s="914"/>
      <c r="GM28" s="914"/>
      <c r="GN28" s="911"/>
      <c r="GO28" s="911"/>
      <c r="GP28" s="911"/>
      <c r="GQ28" s="915"/>
      <c r="GR28" s="914"/>
      <c r="GS28" s="914"/>
      <c r="GT28" s="914"/>
      <c r="GU28" s="914"/>
      <c r="GV28" s="914"/>
      <c r="GW28" s="914"/>
      <c r="GX28" s="914"/>
      <c r="GY28" s="911"/>
      <c r="GZ28" s="911"/>
      <c r="HA28" s="911"/>
      <c r="HB28" s="915"/>
      <c r="HC28" s="914"/>
      <c r="HD28" s="914"/>
      <c r="HE28" s="914"/>
      <c r="HF28" s="914"/>
      <c r="HG28" s="914"/>
      <c r="HH28" s="914"/>
      <c r="HI28" s="914"/>
      <c r="HJ28" s="911"/>
      <c r="HK28" s="911"/>
      <c r="HL28" s="911"/>
      <c r="HM28" s="915"/>
      <c r="HN28" s="914"/>
      <c r="HO28" s="914"/>
      <c r="HP28" s="914"/>
      <c r="HQ28" s="914"/>
      <c r="HR28" s="914"/>
      <c r="HS28" s="914"/>
      <c r="HT28" s="914"/>
      <c r="HU28" s="911"/>
      <c r="HV28" s="911"/>
      <c r="HW28" s="911"/>
      <c r="HX28" s="915"/>
      <c r="HY28" s="914"/>
      <c r="HZ28" s="914"/>
      <c r="IA28" s="914"/>
      <c r="IB28" s="914"/>
      <c r="IC28" s="914"/>
      <c r="ID28" s="914"/>
      <c r="IE28" s="914"/>
      <c r="IF28" s="911"/>
      <c r="IG28" s="911"/>
      <c r="IH28" s="911"/>
      <c r="II28" s="915"/>
      <c r="IJ28" s="914"/>
      <c r="IK28" s="914"/>
      <c r="IL28" s="914"/>
      <c r="IM28" s="914"/>
      <c r="IN28" s="914"/>
      <c r="IO28" s="914"/>
      <c r="IP28" s="914"/>
      <c r="IQ28" s="911"/>
      <c r="IR28" s="911"/>
      <c r="IS28" s="911"/>
      <c r="IT28" s="915"/>
      <c r="IU28" s="914"/>
      <c r="IV28" s="914"/>
      <c r="IW28" s="914"/>
      <c r="IX28" s="914"/>
      <c r="IY28" s="914"/>
      <c r="IZ28" s="914"/>
      <c r="JA28" s="914"/>
      <c r="JB28" s="911"/>
      <c r="JC28" s="911"/>
      <c r="JD28" s="911"/>
      <c r="JE28" s="915"/>
      <c r="JF28" s="914"/>
      <c r="JG28" s="914"/>
      <c r="JH28" s="914"/>
      <c r="JI28" s="914"/>
      <c r="JJ28" s="914"/>
      <c r="JK28" s="914"/>
      <c r="JL28" s="914"/>
      <c r="JM28" s="911"/>
      <c r="JN28" s="911"/>
      <c r="JO28" s="911"/>
      <c r="JP28" s="915"/>
      <c r="JQ28" s="914"/>
      <c r="JR28" s="914"/>
      <c r="JS28" s="914"/>
      <c r="JT28" s="914"/>
      <c r="JU28" s="914"/>
      <c r="JV28" s="914"/>
      <c r="JW28" s="914"/>
      <c r="JX28" s="911"/>
      <c r="JY28" s="911"/>
      <c r="JZ28" s="911"/>
      <c r="KA28" s="915"/>
      <c r="KB28" s="914"/>
      <c r="KC28" s="914"/>
      <c r="KD28" s="914"/>
      <c r="KE28" s="914"/>
      <c r="KF28" s="914"/>
      <c r="KG28" s="914"/>
      <c r="KH28" s="914"/>
      <c r="KI28" s="911"/>
      <c r="KJ28" s="911"/>
      <c r="KK28" s="911"/>
      <c r="KL28" s="915"/>
      <c r="KM28" s="914"/>
      <c r="KN28" s="914"/>
      <c r="KO28" s="914"/>
      <c r="KP28" s="914"/>
      <c r="KQ28" s="914"/>
      <c r="KR28" s="914"/>
      <c r="KS28" s="914"/>
      <c r="KT28" s="911"/>
      <c r="KU28" s="911"/>
      <c r="KV28" s="911"/>
      <c r="KW28" s="915"/>
      <c r="KX28" s="914"/>
      <c r="KY28" s="914"/>
      <c r="KZ28" s="914"/>
      <c r="LA28" s="914"/>
      <c r="LB28" s="914"/>
      <c r="LC28" s="914"/>
      <c r="LD28" s="914"/>
      <c r="LE28" s="911"/>
      <c r="LF28" s="911"/>
      <c r="LG28" s="911"/>
      <c r="LH28" s="915"/>
      <c r="LI28" s="914"/>
      <c r="LJ28" s="914"/>
      <c r="LK28" s="914"/>
      <c r="LL28" s="914"/>
      <c r="LM28" s="914"/>
      <c r="LN28" s="914"/>
      <c r="LO28" s="914"/>
      <c r="LP28" s="911"/>
      <c r="LQ28" s="911"/>
      <c r="LR28" s="911"/>
      <c r="LS28" s="915"/>
      <c r="LT28" s="914"/>
      <c r="LU28" s="914"/>
      <c r="LV28" s="914"/>
      <c r="LW28" s="914"/>
      <c r="LX28" s="914"/>
      <c r="LY28" s="914"/>
      <c r="LZ28" s="914"/>
      <c r="MA28" s="911"/>
      <c r="MB28" s="911"/>
      <c r="MC28" s="911"/>
      <c r="MD28" s="915"/>
      <c r="ME28" s="914"/>
      <c r="MF28" s="914"/>
      <c r="MG28" s="914"/>
      <c r="MH28" s="914"/>
      <c r="MI28" s="914"/>
      <c r="MJ28" s="914"/>
      <c r="MK28" s="914"/>
      <c r="ML28" s="911"/>
      <c r="MM28" s="911"/>
      <c r="MN28" s="911"/>
      <c r="MO28" s="915"/>
      <c r="MP28" s="914"/>
      <c r="MQ28" s="914"/>
      <c r="MR28" s="914"/>
      <c r="MS28" s="914"/>
      <c r="MT28" s="914"/>
      <c r="MU28" s="914"/>
      <c r="MV28" s="914"/>
      <c r="MW28" s="911"/>
      <c r="MX28" s="911"/>
      <c r="MY28" s="911"/>
      <c r="MZ28" s="915"/>
      <c r="NA28" s="914"/>
      <c r="NB28" s="914"/>
      <c r="NC28" s="914"/>
      <c r="ND28" s="914"/>
      <c r="NE28" s="914"/>
      <c r="NF28" s="914"/>
      <c r="NG28" s="914"/>
      <c r="NH28" s="911"/>
      <c r="NI28" s="911"/>
      <c r="NJ28" s="911"/>
      <c r="NK28" s="915"/>
      <c r="NL28" s="914"/>
      <c r="NM28" s="914"/>
      <c r="NN28" s="914"/>
      <c r="NO28" s="914"/>
      <c r="NP28" s="914"/>
      <c r="NQ28" s="914"/>
      <c r="NR28" s="914"/>
      <c r="NS28" s="911"/>
      <c r="NT28" s="911"/>
      <c r="NU28" s="911"/>
      <c r="NV28" s="915"/>
      <c r="NW28" s="914"/>
      <c r="NX28" s="914"/>
      <c r="NY28" s="914"/>
      <c r="NZ28" s="914"/>
      <c r="OA28" s="914"/>
      <c r="OB28" s="914"/>
      <c r="OC28" s="914"/>
      <c r="OD28" s="911"/>
      <c r="OE28" s="911"/>
      <c r="OF28" s="911"/>
      <c r="OG28" s="915"/>
      <c r="OH28" s="914"/>
      <c r="OI28" s="914"/>
      <c r="OJ28" s="914"/>
      <c r="OK28" s="914"/>
      <c r="OL28" s="914"/>
      <c r="OM28" s="914"/>
      <c r="ON28" s="914"/>
      <c r="OO28" s="911"/>
      <c r="OP28" s="911"/>
      <c r="OQ28" s="911"/>
      <c r="OR28" s="915"/>
      <c r="OS28" s="914"/>
      <c r="OT28" s="914"/>
      <c r="OU28" s="914"/>
      <c r="OV28" s="914"/>
      <c r="OW28" s="914"/>
      <c r="OX28" s="914"/>
      <c r="OY28" s="914"/>
      <c r="OZ28" s="911"/>
      <c r="PA28" s="911"/>
      <c r="PB28" s="911"/>
      <c r="PC28" s="915"/>
      <c r="PD28" s="914"/>
      <c r="PE28" s="914"/>
      <c r="PF28" s="914"/>
      <c r="PG28" s="914"/>
      <c r="PH28" s="914"/>
      <c r="PI28" s="914"/>
      <c r="PJ28" s="914"/>
      <c r="PK28" s="911"/>
      <c r="PL28" s="911"/>
      <c r="PM28" s="911"/>
      <c r="PN28" s="915"/>
      <c r="PO28" s="914"/>
      <c r="PP28" s="914"/>
      <c r="PQ28" s="914"/>
      <c r="PR28" s="914"/>
      <c r="PS28" s="914"/>
      <c r="PT28" s="914"/>
      <c r="PU28" s="914"/>
      <c r="PV28" s="911"/>
      <c r="PW28" s="911"/>
      <c r="PX28" s="911"/>
      <c r="PY28" s="915"/>
      <c r="PZ28" s="914"/>
      <c r="QA28" s="914"/>
      <c r="QB28" s="914"/>
      <c r="QC28" s="914"/>
      <c r="QD28" s="914"/>
      <c r="QE28" s="914"/>
      <c r="QF28" s="914"/>
      <c r="QG28" s="911"/>
      <c r="QH28" s="911"/>
      <c r="QI28" s="911"/>
      <c r="QJ28" s="915"/>
      <c r="QK28" s="914"/>
      <c r="QL28" s="914"/>
      <c r="QM28" s="914"/>
      <c r="QN28" s="914"/>
      <c r="QO28" s="914"/>
      <c r="QP28" s="914"/>
      <c r="QQ28" s="914"/>
      <c r="QR28" s="911"/>
      <c r="QS28" s="911"/>
      <c r="QT28" s="911"/>
      <c r="QU28" s="915"/>
      <c r="QV28" s="914"/>
      <c r="QW28" s="914"/>
      <c r="QX28" s="914"/>
      <c r="QY28" s="914"/>
      <c r="QZ28" s="914"/>
      <c r="RA28" s="914"/>
      <c r="RB28" s="914"/>
      <c r="RC28" s="911"/>
      <c r="RD28" s="911"/>
      <c r="RE28" s="911"/>
      <c r="RF28" s="915"/>
      <c r="RG28" s="914"/>
      <c r="RH28" s="914"/>
      <c r="RI28" s="914"/>
      <c r="RJ28" s="914"/>
      <c r="RK28" s="914"/>
      <c r="RL28" s="914"/>
      <c r="RM28" s="914"/>
      <c r="RN28" s="911"/>
      <c r="RO28" s="911"/>
      <c r="RP28" s="911"/>
      <c r="RQ28" s="915"/>
      <c r="RR28" s="914"/>
      <c r="RS28" s="914"/>
      <c r="RT28" s="914"/>
      <c r="RU28" s="914"/>
      <c r="RV28" s="914"/>
      <c r="RW28" s="914"/>
      <c r="RX28" s="914"/>
      <c r="RY28" s="911"/>
      <c r="RZ28" s="911"/>
      <c r="SA28" s="911"/>
      <c r="SB28" s="915"/>
      <c r="SC28" s="914"/>
      <c r="SD28" s="914"/>
      <c r="SE28" s="914"/>
      <c r="SF28" s="914"/>
      <c r="SG28" s="914"/>
      <c r="SH28" s="914"/>
      <c r="SI28" s="914"/>
      <c r="SJ28" s="911"/>
      <c r="SK28" s="911"/>
      <c r="SL28" s="911"/>
      <c r="SM28" s="915"/>
      <c r="SN28" s="914"/>
      <c r="SO28" s="914"/>
      <c r="SP28" s="914"/>
      <c r="SQ28" s="914"/>
      <c r="SR28" s="914"/>
      <c r="SS28" s="914"/>
      <c r="ST28" s="914"/>
      <c r="SU28" s="911"/>
      <c r="SV28" s="911"/>
      <c r="SW28" s="911"/>
      <c r="SX28" s="915"/>
      <c r="SY28" s="914"/>
      <c r="SZ28" s="914"/>
      <c r="TA28" s="914"/>
      <c r="TB28" s="914"/>
      <c r="TC28" s="914"/>
      <c r="TD28" s="914"/>
      <c r="TE28" s="914"/>
      <c r="TF28" s="911"/>
      <c r="TG28" s="911"/>
      <c r="TH28" s="911"/>
      <c r="TI28" s="915"/>
      <c r="TJ28" s="914"/>
      <c r="TK28" s="914"/>
      <c r="TL28" s="914"/>
      <c r="TM28" s="914"/>
      <c r="TN28" s="914"/>
      <c r="TO28" s="914"/>
      <c r="TP28" s="914"/>
      <c r="TQ28" s="911"/>
      <c r="TR28" s="911"/>
      <c r="TS28" s="911"/>
      <c r="TT28" s="915"/>
      <c r="TU28" s="914"/>
      <c r="TV28" s="914"/>
      <c r="TW28" s="914"/>
      <c r="TX28" s="914"/>
      <c r="TY28" s="914"/>
      <c r="TZ28" s="914"/>
      <c r="UA28" s="914"/>
      <c r="UB28" s="911"/>
      <c r="UC28" s="911"/>
      <c r="UD28" s="911"/>
      <c r="UE28" s="915"/>
      <c r="UF28" s="914"/>
      <c r="UG28" s="914"/>
      <c r="UH28" s="914"/>
      <c r="UI28" s="914"/>
      <c r="UJ28" s="914"/>
      <c r="UK28" s="914"/>
      <c r="UL28" s="914"/>
      <c r="UM28" s="911"/>
      <c r="UN28" s="911"/>
      <c r="UO28" s="911"/>
      <c r="UP28" s="915"/>
      <c r="UQ28" s="914"/>
      <c r="UR28" s="914"/>
      <c r="US28" s="914"/>
      <c r="UT28" s="914"/>
      <c r="UU28" s="914"/>
      <c r="UV28" s="914"/>
      <c r="UW28" s="914"/>
      <c r="UX28" s="911"/>
      <c r="UY28" s="911"/>
      <c r="UZ28" s="911"/>
      <c r="VA28" s="915"/>
      <c r="VB28" s="914"/>
      <c r="VC28" s="914"/>
      <c r="VD28" s="914"/>
      <c r="VE28" s="914"/>
      <c r="VF28" s="914"/>
      <c r="VG28" s="914"/>
      <c r="VH28" s="914"/>
      <c r="VI28" s="911"/>
      <c r="VJ28" s="911"/>
      <c r="VK28" s="911"/>
      <c r="VL28" s="915"/>
      <c r="VM28" s="914"/>
      <c r="VN28" s="914"/>
      <c r="VO28" s="914"/>
      <c r="VP28" s="914"/>
      <c r="VQ28" s="914"/>
      <c r="VR28" s="914"/>
      <c r="VS28" s="914"/>
      <c r="VT28" s="911"/>
      <c r="VU28" s="911"/>
      <c r="VV28" s="911"/>
      <c r="VW28" s="915"/>
      <c r="VX28" s="914"/>
      <c r="VY28" s="914"/>
      <c r="VZ28" s="914"/>
      <c r="WA28" s="914"/>
      <c r="WB28" s="914"/>
      <c r="WC28" s="914"/>
      <c r="WD28" s="914"/>
      <c r="WE28" s="911"/>
      <c r="WF28" s="911"/>
      <c r="WG28" s="911"/>
      <c r="WH28" s="915"/>
      <c r="WI28" s="914"/>
      <c r="WJ28" s="914"/>
      <c r="WK28" s="914"/>
      <c r="WL28" s="914"/>
      <c r="WM28" s="914"/>
      <c r="WN28" s="914"/>
      <c r="WO28" s="914"/>
      <c r="WP28" s="911"/>
      <c r="WQ28" s="911"/>
      <c r="WR28" s="911"/>
      <c r="WS28" s="915"/>
      <c r="WT28" s="914"/>
      <c r="WU28" s="914"/>
      <c r="WV28" s="914"/>
      <c r="WW28" s="914"/>
      <c r="WX28" s="914"/>
      <c r="WY28" s="914"/>
      <c r="WZ28" s="914"/>
      <c r="XA28" s="911"/>
      <c r="XB28" s="911"/>
      <c r="XC28" s="911"/>
      <c r="XD28" s="915"/>
      <c r="XE28" s="914"/>
      <c r="XF28" s="914"/>
      <c r="XG28" s="914"/>
      <c r="XH28" s="914"/>
      <c r="XI28" s="914"/>
      <c r="XJ28" s="914"/>
      <c r="XK28" s="914"/>
      <c r="XL28" s="911"/>
      <c r="XM28" s="911"/>
      <c r="XN28" s="911"/>
      <c r="XO28" s="915"/>
      <c r="XP28" s="914"/>
      <c r="XQ28" s="914"/>
      <c r="XR28" s="914"/>
      <c r="XS28" s="914"/>
      <c r="XT28" s="914"/>
      <c r="XU28" s="914"/>
      <c r="XV28" s="914"/>
      <c r="XW28" s="911"/>
      <c r="XX28" s="911"/>
      <c r="XY28" s="911"/>
      <c r="XZ28" s="915"/>
      <c r="YA28" s="914"/>
      <c r="YB28" s="914"/>
      <c r="YC28" s="914"/>
      <c r="YD28" s="914"/>
      <c r="YE28" s="914"/>
      <c r="YF28" s="914"/>
      <c r="YG28" s="914"/>
      <c r="YH28" s="911"/>
      <c r="YI28" s="911"/>
      <c r="YJ28" s="911"/>
      <c r="YK28" s="915"/>
      <c r="YL28" s="914"/>
      <c r="YM28" s="914"/>
      <c r="YN28" s="914"/>
      <c r="YO28" s="914"/>
      <c r="YP28" s="914"/>
      <c r="YQ28" s="914"/>
      <c r="YR28" s="914"/>
      <c r="YS28" s="911"/>
      <c r="YT28" s="911"/>
      <c r="YU28" s="911"/>
      <c r="YV28" s="915"/>
      <c r="YW28" s="914"/>
      <c r="YX28" s="914"/>
      <c r="YY28" s="914"/>
      <c r="YZ28" s="914"/>
      <c r="ZA28" s="914"/>
      <c r="ZB28" s="914"/>
      <c r="ZC28" s="914"/>
      <c r="ZD28" s="911"/>
      <c r="ZE28" s="911"/>
      <c r="ZF28" s="911"/>
      <c r="ZG28" s="915"/>
      <c r="ZH28" s="914"/>
      <c r="ZI28" s="914"/>
      <c r="ZJ28" s="914"/>
      <c r="ZK28" s="914"/>
      <c r="ZL28" s="914"/>
      <c r="ZM28" s="914"/>
      <c r="ZN28" s="914"/>
      <c r="ZO28" s="911"/>
      <c r="ZP28" s="911"/>
      <c r="ZQ28" s="911"/>
      <c r="ZR28" s="915"/>
      <c r="ZS28" s="914"/>
      <c r="ZT28" s="914"/>
      <c r="ZU28" s="914"/>
      <c r="ZV28" s="914"/>
      <c r="ZW28" s="914"/>
      <c r="ZX28" s="914"/>
      <c r="ZY28" s="914"/>
      <c r="ZZ28" s="911"/>
      <c r="AAA28" s="911"/>
      <c r="AAB28" s="911"/>
      <c r="AAC28" s="915"/>
      <c r="AAD28" s="914"/>
      <c r="AAE28" s="914"/>
      <c r="AAF28" s="914"/>
      <c r="AAG28" s="914"/>
      <c r="AAH28" s="914"/>
      <c r="AAI28" s="914"/>
      <c r="AAJ28" s="914"/>
      <c r="AAK28" s="911"/>
      <c r="AAL28" s="911"/>
      <c r="AAM28" s="911"/>
      <c r="AAN28" s="915"/>
      <c r="AAO28" s="914"/>
      <c r="AAP28" s="914"/>
      <c r="AAQ28" s="914"/>
      <c r="AAR28" s="914"/>
      <c r="AAS28" s="914"/>
      <c r="AAT28" s="914"/>
      <c r="AAU28" s="914"/>
      <c r="AAV28" s="911"/>
      <c r="AAW28" s="911"/>
      <c r="AAX28" s="911"/>
      <c r="AAY28" s="915"/>
      <c r="AAZ28" s="914"/>
      <c r="ABA28" s="914"/>
      <c r="ABB28" s="914"/>
      <c r="ABC28" s="914"/>
      <c r="ABD28" s="914"/>
      <c r="ABE28" s="914"/>
      <c r="ABF28" s="914"/>
      <c r="ABG28" s="911"/>
      <c r="ABH28" s="911"/>
      <c r="ABI28" s="911"/>
      <c r="ABJ28" s="915"/>
      <c r="ABK28" s="914"/>
      <c r="ABL28" s="914"/>
      <c r="ABM28" s="914"/>
      <c r="ABN28" s="914"/>
      <c r="ABO28" s="914"/>
      <c r="ABP28" s="914"/>
      <c r="ABQ28" s="914"/>
      <c r="ABR28" s="911"/>
      <c r="ABS28" s="911"/>
      <c r="ABT28" s="911"/>
      <c r="ABU28" s="915"/>
      <c r="ABV28" s="914"/>
      <c r="ABW28" s="914"/>
      <c r="ABX28" s="914"/>
      <c r="ABY28" s="914"/>
      <c r="ABZ28" s="914"/>
      <c r="ACA28" s="914"/>
      <c r="ACB28" s="914"/>
      <c r="ACC28" s="911"/>
      <c r="ACD28" s="911"/>
      <c r="ACE28" s="911"/>
      <c r="ACF28" s="915"/>
      <c r="ACG28" s="914"/>
      <c r="ACH28" s="914"/>
      <c r="ACI28" s="914"/>
      <c r="ACJ28" s="914"/>
      <c r="ACK28" s="914"/>
      <c r="ACL28" s="914"/>
      <c r="ACM28" s="914"/>
      <c r="ACN28" s="911"/>
      <c r="ACO28" s="911"/>
      <c r="ACP28" s="911"/>
      <c r="ACQ28" s="915"/>
      <c r="ACR28" s="914"/>
      <c r="ACS28" s="914"/>
      <c r="ACT28" s="914"/>
      <c r="ACU28" s="914"/>
      <c r="ACV28" s="914"/>
      <c r="ACW28" s="914"/>
      <c r="ACX28" s="914"/>
      <c r="ACY28" s="911"/>
      <c r="ACZ28" s="911"/>
      <c r="ADA28" s="911"/>
      <c r="ADB28" s="915"/>
      <c r="ADC28" s="914"/>
      <c r="ADD28" s="914"/>
      <c r="ADE28" s="914"/>
      <c r="ADF28" s="914"/>
      <c r="ADG28" s="914"/>
      <c r="ADH28" s="914"/>
      <c r="ADI28" s="914"/>
      <c r="ADJ28" s="911"/>
      <c r="ADK28" s="911"/>
      <c r="ADL28" s="911"/>
      <c r="ADM28" s="915"/>
      <c r="ADN28" s="914"/>
      <c r="ADO28" s="914"/>
      <c r="ADP28" s="914"/>
      <c r="ADQ28" s="914"/>
      <c r="ADR28" s="914"/>
      <c r="ADS28" s="914"/>
      <c r="ADT28" s="914"/>
      <c r="ADU28" s="911"/>
      <c r="ADV28" s="911"/>
      <c r="ADW28" s="911"/>
      <c r="ADX28" s="915"/>
      <c r="ADY28" s="914"/>
      <c r="ADZ28" s="914"/>
      <c r="AEA28" s="914"/>
      <c r="AEB28" s="914"/>
      <c r="AEC28" s="914"/>
      <c r="AED28" s="914"/>
      <c r="AEE28" s="914"/>
      <c r="AEF28" s="911"/>
      <c r="AEG28" s="911"/>
      <c r="AEH28" s="911"/>
      <c r="AEI28" s="915"/>
      <c r="AEJ28" s="914"/>
      <c r="AEK28" s="914"/>
      <c r="AEL28" s="914"/>
      <c r="AEM28" s="914"/>
      <c r="AEN28" s="914"/>
      <c r="AEO28" s="914"/>
      <c r="AEP28" s="914"/>
      <c r="AEQ28" s="911"/>
      <c r="AER28" s="911"/>
      <c r="AES28" s="911"/>
      <c r="AET28" s="915"/>
      <c r="AEU28" s="914"/>
      <c r="AEV28" s="914"/>
      <c r="AEW28" s="914"/>
      <c r="AEX28" s="914"/>
      <c r="AEY28" s="914"/>
      <c r="AEZ28" s="914"/>
      <c r="AFA28" s="914"/>
      <c r="AFB28" s="911"/>
      <c r="AFC28" s="911"/>
      <c r="AFD28" s="911"/>
      <c r="AFE28" s="915"/>
      <c r="AFF28" s="914"/>
      <c r="AFG28" s="914"/>
      <c r="AFH28" s="914"/>
      <c r="AFI28" s="914"/>
      <c r="AFJ28" s="914"/>
      <c r="AFK28" s="914"/>
      <c r="AFL28" s="914"/>
      <c r="AFM28" s="911"/>
      <c r="AFN28" s="911"/>
      <c r="AFO28" s="911"/>
      <c r="AFP28" s="915"/>
      <c r="AFQ28" s="914"/>
      <c r="AFR28" s="914"/>
      <c r="AFS28" s="914"/>
      <c r="AFT28" s="914"/>
      <c r="AFU28" s="914"/>
      <c r="AFV28" s="914"/>
      <c r="AFW28" s="914"/>
      <c r="AFX28" s="911"/>
      <c r="AFY28" s="911"/>
      <c r="AFZ28" s="911"/>
      <c r="AGA28" s="915"/>
      <c r="AGB28" s="914"/>
      <c r="AGC28" s="914"/>
      <c r="AGD28" s="914"/>
      <c r="AGE28" s="914"/>
      <c r="AGF28" s="914"/>
      <c r="AGG28" s="914"/>
      <c r="AGH28" s="914"/>
      <c r="AGI28" s="911"/>
      <c r="AGJ28" s="911"/>
      <c r="AGK28" s="911"/>
      <c r="AGL28" s="915"/>
      <c r="AGM28" s="914"/>
      <c r="AGN28" s="914"/>
      <c r="AGO28" s="914"/>
      <c r="AGP28" s="914"/>
      <c r="AGQ28" s="914"/>
      <c r="AGR28" s="914"/>
      <c r="AGS28" s="914"/>
      <c r="AGT28" s="911"/>
      <c r="AGU28" s="911"/>
      <c r="AGV28" s="911"/>
      <c r="AGW28" s="915"/>
      <c r="AGX28" s="914"/>
      <c r="AGY28" s="914"/>
      <c r="AGZ28" s="914"/>
      <c r="AHA28" s="914"/>
      <c r="AHB28" s="914"/>
      <c r="AHC28" s="914"/>
      <c r="AHD28" s="914"/>
      <c r="AHE28" s="911"/>
      <c r="AHF28" s="911"/>
      <c r="AHG28" s="911"/>
      <c r="AHH28" s="915"/>
      <c r="AHI28" s="914"/>
      <c r="AHJ28" s="914"/>
      <c r="AHK28" s="914"/>
      <c r="AHL28" s="914"/>
      <c r="AHM28" s="914"/>
      <c r="AHN28" s="914"/>
      <c r="AHO28" s="914"/>
      <c r="AHP28" s="911"/>
      <c r="AHQ28" s="911"/>
      <c r="AHR28" s="911"/>
      <c r="AHS28" s="915"/>
      <c r="AHT28" s="914"/>
      <c r="AHU28" s="914"/>
      <c r="AHV28" s="914"/>
      <c r="AHW28" s="914"/>
      <c r="AHX28" s="914"/>
      <c r="AHY28" s="914"/>
      <c r="AHZ28" s="914"/>
      <c r="AIA28" s="911"/>
      <c r="AIB28" s="911"/>
      <c r="AIC28" s="911"/>
      <c r="AID28" s="915"/>
      <c r="AIE28" s="914"/>
      <c r="AIF28" s="914"/>
      <c r="AIG28" s="914"/>
      <c r="AIH28" s="914"/>
      <c r="AII28" s="914"/>
      <c r="AIJ28" s="914"/>
      <c r="AIK28" s="914"/>
      <c r="AIL28" s="911"/>
      <c r="AIM28" s="911"/>
      <c r="AIN28" s="911"/>
      <c r="AIO28" s="915"/>
      <c r="AIP28" s="914"/>
      <c r="AIQ28" s="914"/>
      <c r="AIR28" s="914"/>
      <c r="AIS28" s="914"/>
      <c r="AIT28" s="914"/>
      <c r="AIU28" s="914"/>
      <c r="AIV28" s="914"/>
      <c r="AIW28" s="911"/>
      <c r="AIX28" s="911"/>
      <c r="AIY28" s="911"/>
      <c r="AIZ28" s="915"/>
      <c r="AJA28" s="914"/>
      <c r="AJB28" s="914"/>
      <c r="AJC28" s="914"/>
      <c r="AJD28" s="914"/>
      <c r="AJE28" s="914"/>
      <c r="AJF28" s="914"/>
      <c r="AJG28" s="914"/>
      <c r="AJH28" s="911"/>
      <c r="AJI28" s="911"/>
      <c r="AJJ28" s="911"/>
      <c r="AJK28" s="915"/>
      <c r="AJL28" s="914"/>
      <c r="AJM28" s="914"/>
      <c r="AJN28" s="914"/>
      <c r="AJO28" s="914"/>
      <c r="AJP28" s="914"/>
      <c r="AJQ28" s="914"/>
      <c r="AJR28" s="914"/>
      <c r="AJS28" s="911"/>
      <c r="AJT28" s="911"/>
      <c r="AJU28" s="911"/>
      <c r="AJV28" s="915"/>
      <c r="AJW28" s="914"/>
      <c r="AJX28" s="914"/>
      <c r="AJY28" s="914"/>
      <c r="AJZ28" s="914"/>
      <c r="AKA28" s="914"/>
      <c r="AKB28" s="914"/>
      <c r="AKC28" s="914"/>
      <c r="AKD28" s="911"/>
      <c r="AKE28" s="911"/>
      <c r="AKF28" s="911"/>
      <c r="AKG28" s="915"/>
      <c r="AKH28" s="914"/>
      <c r="AKI28" s="914"/>
      <c r="AKJ28" s="914"/>
      <c r="AKK28" s="914"/>
      <c r="AKL28" s="914"/>
      <c r="AKM28" s="914"/>
      <c r="AKN28" s="914"/>
      <c r="AKO28" s="911"/>
      <c r="AKP28" s="911"/>
      <c r="AKQ28" s="911"/>
      <c r="AKR28" s="915"/>
      <c r="AKS28" s="914"/>
      <c r="AKT28" s="914"/>
      <c r="AKU28" s="914"/>
      <c r="AKV28" s="914"/>
      <c r="AKW28" s="914"/>
      <c r="AKX28" s="914"/>
      <c r="AKY28" s="914"/>
      <c r="AKZ28" s="911"/>
      <c r="ALA28" s="911"/>
      <c r="ALB28" s="911"/>
      <c r="ALC28" s="915"/>
      <c r="ALD28" s="914"/>
      <c r="ALE28" s="914"/>
      <c r="ALF28" s="914"/>
      <c r="ALG28" s="914"/>
      <c r="ALH28" s="914"/>
      <c r="ALI28" s="914"/>
      <c r="ALJ28" s="914"/>
      <c r="ALK28" s="911"/>
      <c r="ALL28" s="911"/>
      <c r="ALM28" s="911"/>
      <c r="ALN28" s="915"/>
      <c r="ALO28" s="914"/>
      <c r="ALP28" s="914"/>
      <c r="ALQ28" s="914"/>
      <c r="ALR28" s="914"/>
      <c r="ALS28" s="914"/>
      <c r="ALT28" s="914"/>
      <c r="ALU28" s="914"/>
      <c r="ALV28" s="911"/>
      <c r="ALW28" s="911"/>
      <c r="ALX28" s="911"/>
      <c r="ALY28" s="915"/>
      <c r="ALZ28" s="914"/>
      <c r="AMA28" s="914"/>
      <c r="AMB28" s="914"/>
      <c r="AMC28" s="914"/>
      <c r="AMD28" s="914"/>
      <c r="AME28" s="914"/>
      <c r="AMF28" s="914"/>
      <c r="AMG28" s="911"/>
      <c r="AMH28" s="911"/>
      <c r="AMI28" s="911"/>
      <c r="AMJ28" s="915"/>
      <c r="AMK28" s="914"/>
      <c r="AML28" s="914"/>
      <c r="AMM28" s="914"/>
      <c r="AMN28" s="914"/>
      <c r="AMO28" s="914"/>
      <c r="AMP28" s="914"/>
      <c r="AMQ28" s="914"/>
      <c r="AMR28" s="911"/>
      <c r="AMS28" s="911"/>
      <c r="AMT28" s="911"/>
      <c r="AMU28" s="915"/>
      <c r="AMV28" s="914"/>
      <c r="AMW28" s="914"/>
      <c r="AMX28" s="914"/>
      <c r="AMY28" s="914"/>
      <c r="AMZ28" s="914"/>
      <c r="ANA28" s="914"/>
      <c r="ANB28" s="914"/>
      <c r="ANC28" s="911"/>
      <c r="AND28" s="911"/>
      <c r="ANE28" s="911"/>
      <c r="ANF28" s="915"/>
      <c r="ANG28" s="914"/>
      <c r="ANH28" s="914"/>
      <c r="ANI28" s="914"/>
      <c r="ANJ28" s="914"/>
      <c r="ANK28" s="914"/>
      <c r="ANL28" s="914"/>
      <c r="ANM28" s="914"/>
      <c r="ANN28" s="911"/>
      <c r="ANO28" s="911"/>
      <c r="ANP28" s="911"/>
      <c r="ANQ28" s="915"/>
      <c r="ANR28" s="914"/>
      <c r="ANS28" s="914"/>
      <c r="ANT28" s="914"/>
      <c r="ANU28" s="914"/>
      <c r="ANV28" s="914"/>
      <c r="ANW28" s="914"/>
      <c r="ANX28" s="914"/>
      <c r="ANY28" s="911"/>
      <c r="ANZ28" s="911"/>
      <c r="AOA28" s="911"/>
      <c r="AOB28" s="915"/>
      <c r="AOC28" s="914"/>
      <c r="AOD28" s="914"/>
      <c r="AOE28" s="914"/>
      <c r="AOF28" s="914"/>
      <c r="AOG28" s="914"/>
      <c r="AOH28" s="914"/>
      <c r="AOI28" s="914"/>
      <c r="AOJ28" s="911"/>
      <c r="AOK28" s="911"/>
      <c r="AOL28" s="911"/>
      <c r="AOM28" s="915"/>
      <c r="AON28" s="914"/>
      <c r="AOO28" s="914"/>
      <c r="AOP28" s="914"/>
      <c r="AOQ28" s="914"/>
      <c r="AOR28" s="914"/>
      <c r="AOS28" s="914"/>
      <c r="AOT28" s="914"/>
      <c r="AOU28" s="911"/>
      <c r="AOV28" s="911"/>
      <c r="AOW28" s="911"/>
      <c r="AOX28" s="915"/>
      <c r="AOY28" s="914"/>
      <c r="AOZ28" s="914"/>
      <c r="APA28" s="914"/>
      <c r="APB28" s="914"/>
      <c r="APC28" s="914"/>
      <c r="APD28" s="914"/>
      <c r="APE28" s="914"/>
      <c r="APF28" s="911"/>
      <c r="APG28" s="911"/>
      <c r="APH28" s="911"/>
      <c r="API28" s="915"/>
      <c r="APJ28" s="914"/>
      <c r="APK28" s="914"/>
      <c r="APL28" s="914"/>
      <c r="APM28" s="914"/>
      <c r="APN28" s="914"/>
      <c r="APO28" s="914"/>
      <c r="APP28" s="914"/>
      <c r="APQ28" s="911"/>
      <c r="APR28" s="911"/>
      <c r="APS28" s="911"/>
      <c r="APT28" s="915"/>
      <c r="APU28" s="914"/>
      <c r="APV28" s="914"/>
      <c r="APW28" s="914"/>
      <c r="APX28" s="914"/>
      <c r="APY28" s="914"/>
      <c r="APZ28" s="914"/>
      <c r="AQA28" s="914"/>
      <c r="AQB28" s="911"/>
      <c r="AQC28" s="911"/>
      <c r="AQD28" s="911"/>
      <c r="AQE28" s="915"/>
      <c r="AQF28" s="914"/>
      <c r="AQG28" s="914"/>
      <c r="AQH28" s="914"/>
      <c r="AQI28" s="914"/>
      <c r="AQJ28" s="914"/>
      <c r="AQK28" s="914"/>
      <c r="AQL28" s="914"/>
      <c r="AQM28" s="911"/>
      <c r="AQN28" s="911"/>
      <c r="AQO28" s="911"/>
      <c r="AQP28" s="915"/>
      <c r="AQQ28" s="914"/>
      <c r="AQR28" s="914"/>
      <c r="AQS28" s="914"/>
      <c r="AQT28" s="914"/>
      <c r="AQU28" s="914"/>
      <c r="AQV28" s="914"/>
      <c r="AQW28" s="914"/>
      <c r="AQX28" s="911"/>
      <c r="AQY28" s="911"/>
      <c r="AQZ28" s="911"/>
      <c r="ARA28" s="915"/>
      <c r="ARB28" s="914"/>
      <c r="ARC28" s="914"/>
      <c r="ARD28" s="914"/>
      <c r="ARE28" s="914"/>
      <c r="ARF28" s="914"/>
      <c r="ARG28" s="914"/>
      <c r="ARH28" s="914"/>
      <c r="ARI28" s="911"/>
      <c r="ARJ28" s="911"/>
      <c r="ARK28" s="911"/>
      <c r="ARL28" s="915"/>
      <c r="ARM28" s="914"/>
      <c r="ARN28" s="914"/>
      <c r="ARO28" s="914"/>
      <c r="ARP28" s="914"/>
      <c r="ARQ28" s="914"/>
      <c r="ARR28" s="914"/>
      <c r="ARS28" s="914"/>
      <c r="ART28" s="911"/>
      <c r="ARU28" s="911"/>
      <c r="ARV28" s="911"/>
      <c r="ARW28" s="915"/>
      <c r="ARX28" s="914"/>
      <c r="ARY28" s="914"/>
      <c r="ARZ28" s="914"/>
      <c r="ASA28" s="914"/>
      <c r="ASB28" s="914"/>
      <c r="ASC28" s="914"/>
      <c r="ASD28" s="914"/>
      <c r="ASE28" s="911"/>
      <c r="ASF28" s="911"/>
      <c r="ASG28" s="911"/>
      <c r="ASH28" s="915"/>
      <c r="ASI28" s="914"/>
      <c r="ASJ28" s="914"/>
      <c r="ASK28" s="914"/>
      <c r="ASL28" s="914"/>
      <c r="ASM28" s="914"/>
      <c r="ASN28" s="914"/>
      <c r="ASO28" s="914"/>
      <c r="ASP28" s="911"/>
      <c r="ASQ28" s="911"/>
      <c r="ASR28" s="911"/>
      <c r="ASS28" s="915"/>
      <c r="AST28" s="914"/>
      <c r="ASU28" s="914"/>
      <c r="ASV28" s="914"/>
      <c r="ASW28" s="914"/>
      <c r="ASX28" s="914"/>
      <c r="ASY28" s="914"/>
      <c r="ASZ28" s="914"/>
      <c r="ATA28" s="911"/>
      <c r="ATB28" s="911"/>
      <c r="ATC28" s="911"/>
      <c r="ATD28" s="915"/>
      <c r="ATE28" s="914"/>
      <c r="ATF28" s="914"/>
      <c r="ATG28" s="914"/>
      <c r="ATH28" s="914"/>
      <c r="ATI28" s="914"/>
      <c r="ATJ28" s="914"/>
      <c r="ATK28" s="914"/>
      <c r="ATL28" s="911"/>
      <c r="ATM28" s="911"/>
      <c r="ATN28" s="911"/>
      <c r="ATO28" s="915"/>
      <c r="ATP28" s="914"/>
      <c r="ATQ28" s="914"/>
      <c r="ATR28" s="914"/>
      <c r="ATS28" s="914"/>
      <c r="ATT28" s="914"/>
      <c r="ATU28" s="914"/>
      <c r="ATV28" s="914"/>
      <c r="ATW28" s="911"/>
      <c r="ATX28" s="911"/>
      <c r="ATY28" s="911"/>
      <c r="ATZ28" s="915"/>
      <c r="AUA28" s="914"/>
      <c r="AUB28" s="914"/>
      <c r="AUC28" s="914"/>
      <c r="AUD28" s="914"/>
      <c r="AUE28" s="914"/>
      <c r="AUF28" s="914"/>
      <c r="AUG28" s="914"/>
      <c r="AUH28" s="911"/>
      <c r="AUI28" s="911"/>
      <c r="AUJ28" s="911"/>
      <c r="AUK28" s="915"/>
      <c r="AUL28" s="914"/>
      <c r="AUM28" s="914"/>
      <c r="AUN28" s="914"/>
      <c r="AUO28" s="914"/>
      <c r="AUP28" s="914"/>
      <c r="AUQ28" s="914"/>
      <c r="AUR28" s="914"/>
      <c r="AUS28" s="911"/>
      <c r="AUT28" s="911"/>
      <c r="AUU28" s="911"/>
      <c r="AUV28" s="915"/>
      <c r="AUW28" s="914"/>
      <c r="AUX28" s="914"/>
      <c r="AUY28" s="914"/>
      <c r="AUZ28" s="914"/>
      <c r="AVA28" s="914"/>
      <c r="AVB28" s="914"/>
      <c r="AVC28" s="914"/>
      <c r="AVD28" s="911"/>
      <c r="AVE28" s="911"/>
      <c r="AVF28" s="911"/>
      <c r="AVG28" s="915"/>
      <c r="AVH28" s="914"/>
      <c r="AVI28" s="914"/>
      <c r="AVJ28" s="914"/>
      <c r="AVK28" s="914"/>
      <c r="AVL28" s="914"/>
      <c r="AVM28" s="914"/>
      <c r="AVN28" s="914"/>
      <c r="AVO28" s="911"/>
      <c r="AVP28" s="911"/>
      <c r="AVQ28" s="911"/>
      <c r="AVR28" s="915"/>
      <c r="AVS28" s="914"/>
      <c r="AVT28" s="914"/>
      <c r="AVU28" s="914"/>
      <c r="AVV28" s="914"/>
      <c r="AVW28" s="914"/>
      <c r="AVX28" s="914"/>
      <c r="AVY28" s="914"/>
      <c r="AVZ28" s="911"/>
      <c r="AWA28" s="911"/>
      <c r="AWB28" s="911"/>
      <c r="AWC28" s="915"/>
      <c r="AWD28" s="914"/>
      <c r="AWE28" s="914"/>
      <c r="AWF28" s="914"/>
      <c r="AWG28" s="914"/>
      <c r="AWH28" s="914"/>
      <c r="AWI28" s="914"/>
      <c r="AWJ28" s="914"/>
      <c r="AWK28" s="911"/>
      <c r="AWL28" s="911"/>
      <c r="AWM28" s="911"/>
      <c r="AWN28" s="915"/>
      <c r="AWO28" s="914"/>
      <c r="AWP28" s="914"/>
      <c r="AWQ28" s="914"/>
      <c r="AWR28" s="914"/>
      <c r="AWS28" s="914"/>
      <c r="AWT28" s="914"/>
      <c r="AWU28" s="914"/>
      <c r="AWV28" s="911"/>
      <c r="AWW28" s="911"/>
      <c r="AWX28" s="911"/>
      <c r="AWY28" s="915"/>
      <c r="AWZ28" s="914"/>
      <c r="AXA28" s="914"/>
      <c r="AXB28" s="914"/>
      <c r="AXC28" s="914"/>
      <c r="AXD28" s="914"/>
      <c r="AXE28" s="914"/>
      <c r="AXF28" s="914"/>
      <c r="AXG28" s="911"/>
      <c r="AXH28" s="911"/>
      <c r="AXI28" s="911"/>
      <c r="AXJ28" s="915"/>
      <c r="AXK28" s="914"/>
      <c r="AXL28" s="914"/>
      <c r="AXM28" s="914"/>
      <c r="AXN28" s="914"/>
      <c r="AXO28" s="914"/>
      <c r="AXP28" s="914"/>
      <c r="AXQ28" s="914"/>
      <c r="AXR28" s="911"/>
      <c r="AXS28" s="911"/>
      <c r="AXT28" s="911"/>
      <c r="AXU28" s="915"/>
      <c r="AXV28" s="914"/>
      <c r="AXW28" s="914"/>
      <c r="AXX28" s="914"/>
      <c r="AXY28" s="914"/>
      <c r="AXZ28" s="914"/>
      <c r="AYA28" s="914"/>
      <c r="AYB28" s="914"/>
      <c r="AYC28" s="911"/>
      <c r="AYD28" s="911"/>
      <c r="AYE28" s="911"/>
      <c r="AYF28" s="915"/>
      <c r="AYG28" s="914"/>
      <c r="AYH28" s="914"/>
      <c r="AYI28" s="914"/>
      <c r="AYJ28" s="914"/>
      <c r="AYK28" s="914"/>
      <c r="AYL28" s="914"/>
      <c r="AYM28" s="914"/>
      <c r="AYN28" s="911"/>
      <c r="AYO28" s="911"/>
      <c r="AYP28" s="911"/>
      <c r="AYQ28" s="915"/>
      <c r="AYR28" s="914"/>
      <c r="AYS28" s="914"/>
      <c r="AYT28" s="914"/>
      <c r="AYU28" s="914"/>
      <c r="AYV28" s="914"/>
      <c r="AYW28" s="914"/>
      <c r="AYX28" s="914"/>
      <c r="AYY28" s="911"/>
      <c r="AYZ28" s="911"/>
      <c r="AZA28" s="911"/>
      <c r="AZB28" s="915"/>
      <c r="AZC28" s="914"/>
      <c r="AZD28" s="914"/>
      <c r="AZE28" s="914"/>
      <c r="AZF28" s="914"/>
      <c r="AZG28" s="914"/>
      <c r="AZH28" s="914"/>
      <c r="AZI28" s="914"/>
      <c r="AZJ28" s="911"/>
      <c r="AZK28" s="911"/>
      <c r="AZL28" s="911"/>
      <c r="AZM28" s="915"/>
      <c r="AZN28" s="914"/>
      <c r="AZO28" s="914"/>
      <c r="AZP28" s="914"/>
      <c r="AZQ28" s="914"/>
      <c r="AZR28" s="914"/>
      <c r="AZS28" s="914"/>
      <c r="AZT28" s="914"/>
      <c r="AZU28" s="911"/>
      <c r="AZV28" s="911"/>
      <c r="AZW28" s="911"/>
      <c r="AZX28" s="915"/>
      <c r="AZY28" s="914"/>
      <c r="AZZ28" s="914"/>
      <c r="BAA28" s="914"/>
      <c r="BAB28" s="914"/>
      <c r="BAC28" s="914"/>
      <c r="BAD28" s="914"/>
      <c r="BAE28" s="914"/>
      <c r="BAF28" s="911"/>
      <c r="BAG28" s="911"/>
      <c r="BAH28" s="911"/>
      <c r="BAI28" s="915"/>
      <c r="BAJ28" s="914"/>
      <c r="BAK28" s="914"/>
      <c r="BAL28" s="914"/>
      <c r="BAM28" s="914"/>
      <c r="BAN28" s="914"/>
      <c r="BAO28" s="914"/>
      <c r="BAP28" s="914"/>
      <c r="BAQ28" s="911"/>
      <c r="BAR28" s="911"/>
      <c r="BAS28" s="911"/>
      <c r="BAT28" s="915"/>
      <c r="BAU28" s="914"/>
      <c r="BAV28" s="914"/>
      <c r="BAW28" s="914"/>
      <c r="BAX28" s="914"/>
      <c r="BAY28" s="914"/>
      <c r="BAZ28" s="914"/>
      <c r="BBA28" s="914"/>
      <c r="BBB28" s="911"/>
      <c r="BBC28" s="911"/>
      <c r="BBD28" s="911"/>
      <c r="BBE28" s="915"/>
      <c r="BBF28" s="914"/>
      <c r="BBG28" s="914"/>
      <c r="BBH28" s="914"/>
      <c r="BBI28" s="914"/>
      <c r="BBJ28" s="914"/>
      <c r="BBK28" s="914"/>
      <c r="BBL28" s="914"/>
      <c r="BBM28" s="911"/>
      <c r="BBN28" s="911"/>
      <c r="BBO28" s="911"/>
      <c r="BBP28" s="915"/>
      <c r="BBQ28" s="914"/>
      <c r="BBR28" s="914"/>
      <c r="BBS28" s="914"/>
      <c r="BBT28" s="914"/>
      <c r="BBU28" s="914"/>
      <c r="BBV28" s="914"/>
      <c r="BBW28" s="914"/>
      <c r="BBX28" s="911"/>
      <c r="BBY28" s="911"/>
      <c r="BBZ28" s="911"/>
      <c r="BCA28" s="915"/>
      <c r="BCB28" s="914"/>
      <c r="BCC28" s="914"/>
      <c r="BCD28" s="914"/>
      <c r="BCE28" s="914"/>
      <c r="BCF28" s="914"/>
      <c r="BCG28" s="914"/>
      <c r="BCH28" s="914"/>
      <c r="BCI28" s="911"/>
      <c r="BCJ28" s="911"/>
      <c r="BCK28" s="911"/>
      <c r="BCL28" s="915"/>
      <c r="BCM28" s="914"/>
      <c r="BCN28" s="914"/>
      <c r="BCO28" s="914"/>
      <c r="BCP28" s="914"/>
      <c r="BCQ28" s="914"/>
      <c r="BCR28" s="914"/>
      <c r="BCS28" s="914"/>
      <c r="BCT28" s="911"/>
      <c r="BCU28" s="911"/>
      <c r="BCV28" s="911"/>
      <c r="BCW28" s="915"/>
      <c r="BCX28" s="914"/>
      <c r="BCY28" s="914"/>
      <c r="BCZ28" s="914"/>
      <c r="BDA28" s="914"/>
      <c r="BDB28" s="914"/>
      <c r="BDC28" s="914"/>
      <c r="BDD28" s="914"/>
      <c r="BDE28" s="911"/>
      <c r="BDF28" s="911"/>
      <c r="BDG28" s="911"/>
      <c r="BDH28" s="915"/>
      <c r="BDI28" s="914"/>
      <c r="BDJ28" s="914"/>
      <c r="BDK28" s="914"/>
      <c r="BDL28" s="914"/>
      <c r="BDM28" s="914"/>
      <c r="BDN28" s="914"/>
      <c r="BDO28" s="914"/>
      <c r="BDP28" s="911"/>
      <c r="BDQ28" s="911"/>
      <c r="BDR28" s="911"/>
      <c r="BDS28" s="915"/>
      <c r="BDT28" s="914"/>
      <c r="BDU28" s="914"/>
      <c r="BDV28" s="914"/>
      <c r="BDW28" s="914"/>
      <c r="BDX28" s="914"/>
      <c r="BDY28" s="914"/>
      <c r="BDZ28" s="914"/>
      <c r="BEA28" s="911"/>
      <c r="BEB28" s="911"/>
      <c r="BEC28" s="911"/>
      <c r="BED28" s="915"/>
      <c r="BEE28" s="914"/>
      <c r="BEF28" s="914"/>
      <c r="BEG28" s="914"/>
      <c r="BEH28" s="914"/>
      <c r="BEI28" s="914"/>
      <c r="BEJ28" s="914"/>
      <c r="BEK28" s="914"/>
      <c r="BEL28" s="911"/>
      <c r="BEM28" s="911"/>
      <c r="BEN28" s="911"/>
      <c r="BEO28" s="915"/>
      <c r="BEP28" s="914"/>
      <c r="BEQ28" s="914"/>
      <c r="BER28" s="914"/>
      <c r="BES28" s="914"/>
      <c r="BET28" s="914"/>
      <c r="BEU28" s="914"/>
      <c r="BEV28" s="914"/>
      <c r="BEW28" s="911"/>
      <c r="BEX28" s="911"/>
      <c r="BEY28" s="911"/>
      <c r="BEZ28" s="915"/>
      <c r="BFA28" s="914"/>
      <c r="BFB28" s="914"/>
      <c r="BFC28" s="914"/>
      <c r="BFD28" s="914"/>
      <c r="BFE28" s="914"/>
      <c r="BFF28" s="914"/>
      <c r="BFG28" s="914"/>
      <c r="BFH28" s="911"/>
      <c r="BFI28" s="911"/>
      <c r="BFJ28" s="911"/>
      <c r="BFK28" s="915"/>
      <c r="BFL28" s="914"/>
      <c r="BFM28" s="914"/>
      <c r="BFN28" s="914"/>
      <c r="BFO28" s="914"/>
      <c r="BFP28" s="914"/>
      <c r="BFQ28" s="914"/>
      <c r="BFR28" s="914"/>
      <c r="BFS28" s="911"/>
      <c r="BFT28" s="911"/>
      <c r="BFU28" s="911"/>
      <c r="BFV28" s="915"/>
      <c r="BFW28" s="914"/>
      <c r="BFX28" s="914"/>
      <c r="BFY28" s="914"/>
      <c r="BFZ28" s="914"/>
      <c r="BGA28" s="914"/>
      <c r="BGB28" s="914"/>
      <c r="BGC28" s="914"/>
      <c r="BGD28" s="911"/>
      <c r="BGE28" s="911"/>
      <c r="BGF28" s="911"/>
      <c r="BGG28" s="915"/>
      <c r="BGH28" s="914"/>
      <c r="BGI28" s="914"/>
      <c r="BGJ28" s="914"/>
      <c r="BGK28" s="914"/>
      <c r="BGL28" s="914"/>
      <c r="BGM28" s="914"/>
      <c r="BGN28" s="914"/>
      <c r="BGO28" s="911"/>
      <c r="BGP28" s="911"/>
      <c r="BGQ28" s="911"/>
      <c r="BGR28" s="915"/>
      <c r="BGS28" s="914"/>
      <c r="BGT28" s="914"/>
      <c r="BGU28" s="914"/>
      <c r="BGV28" s="914"/>
      <c r="BGW28" s="914"/>
      <c r="BGX28" s="914"/>
      <c r="BGY28" s="914"/>
      <c r="BGZ28" s="911"/>
      <c r="BHA28" s="911"/>
      <c r="BHB28" s="911"/>
      <c r="BHC28" s="915"/>
      <c r="BHD28" s="914"/>
      <c r="BHE28" s="914"/>
      <c r="BHF28" s="914"/>
      <c r="BHG28" s="914"/>
      <c r="BHH28" s="914"/>
      <c r="BHI28" s="914"/>
      <c r="BHJ28" s="914"/>
      <c r="BHK28" s="911"/>
      <c r="BHL28" s="911"/>
      <c r="BHM28" s="911"/>
      <c r="BHN28" s="915"/>
      <c r="BHO28" s="914"/>
      <c r="BHP28" s="914"/>
      <c r="BHQ28" s="914"/>
      <c r="BHR28" s="914"/>
      <c r="BHS28" s="914"/>
      <c r="BHT28" s="914"/>
      <c r="BHU28" s="914"/>
      <c r="BHV28" s="911"/>
      <c r="BHW28" s="911"/>
      <c r="BHX28" s="911"/>
      <c r="BHY28" s="915"/>
      <c r="BHZ28" s="914"/>
      <c r="BIA28" s="914"/>
      <c r="BIB28" s="914"/>
      <c r="BIC28" s="914"/>
      <c r="BID28" s="914"/>
      <c r="BIE28" s="914"/>
      <c r="BIF28" s="914"/>
      <c r="BIG28" s="911"/>
      <c r="BIH28" s="911"/>
      <c r="BII28" s="911"/>
      <c r="BIJ28" s="915"/>
      <c r="BIK28" s="914"/>
      <c r="BIL28" s="914"/>
      <c r="BIM28" s="914"/>
      <c r="BIN28" s="914"/>
      <c r="BIO28" s="914"/>
      <c r="BIP28" s="914"/>
      <c r="BIQ28" s="914"/>
      <c r="BIR28" s="911"/>
      <c r="BIS28" s="911"/>
      <c r="BIT28" s="911"/>
      <c r="BIU28" s="915"/>
      <c r="BIV28" s="914"/>
      <c r="BIW28" s="914"/>
      <c r="BIX28" s="914"/>
      <c r="BIY28" s="914"/>
      <c r="BIZ28" s="914"/>
      <c r="BJA28" s="914"/>
      <c r="BJB28" s="914"/>
      <c r="BJC28" s="911"/>
      <c r="BJD28" s="911"/>
      <c r="BJE28" s="911"/>
      <c r="BJF28" s="915"/>
      <c r="BJG28" s="914"/>
      <c r="BJH28" s="914"/>
      <c r="BJI28" s="914"/>
      <c r="BJJ28" s="914"/>
      <c r="BJK28" s="914"/>
      <c r="BJL28" s="914"/>
      <c r="BJM28" s="914"/>
      <c r="BJN28" s="911"/>
      <c r="BJO28" s="911"/>
      <c r="BJP28" s="911"/>
      <c r="BJQ28" s="915"/>
      <c r="BJR28" s="914"/>
      <c r="BJS28" s="914"/>
      <c r="BJT28" s="914"/>
      <c r="BJU28" s="914"/>
      <c r="BJV28" s="914"/>
      <c r="BJW28" s="914"/>
      <c r="BJX28" s="914"/>
      <c r="BJY28" s="911"/>
      <c r="BJZ28" s="911"/>
      <c r="BKA28" s="911"/>
      <c r="BKB28" s="915"/>
      <c r="BKC28" s="914"/>
      <c r="BKD28" s="914"/>
      <c r="BKE28" s="914"/>
      <c r="BKF28" s="914"/>
      <c r="BKG28" s="914"/>
      <c r="BKH28" s="914"/>
      <c r="BKI28" s="914"/>
      <c r="BKJ28" s="911"/>
      <c r="BKK28" s="911"/>
      <c r="BKL28" s="911"/>
      <c r="BKM28" s="915"/>
      <c r="BKN28" s="914"/>
      <c r="BKO28" s="914"/>
      <c r="BKP28" s="914"/>
      <c r="BKQ28" s="914"/>
      <c r="BKR28" s="914"/>
      <c r="BKS28" s="914"/>
      <c r="BKT28" s="914"/>
      <c r="BKU28" s="911"/>
      <c r="BKV28" s="911"/>
      <c r="BKW28" s="911"/>
      <c r="BKX28" s="915"/>
      <c r="BKY28" s="914"/>
      <c r="BKZ28" s="914"/>
      <c r="BLA28" s="914"/>
      <c r="BLB28" s="914"/>
      <c r="BLC28" s="914"/>
      <c r="BLD28" s="914"/>
      <c r="BLE28" s="914"/>
      <c r="BLF28" s="911"/>
      <c r="BLG28" s="911"/>
      <c r="BLH28" s="911"/>
      <c r="BLI28" s="915"/>
      <c r="BLJ28" s="914"/>
      <c r="BLK28" s="914"/>
      <c r="BLL28" s="914"/>
      <c r="BLM28" s="914"/>
      <c r="BLN28" s="914"/>
      <c r="BLO28" s="914"/>
      <c r="BLP28" s="914"/>
      <c r="BLQ28" s="911"/>
      <c r="BLR28" s="911"/>
      <c r="BLS28" s="911"/>
      <c r="BLT28" s="915"/>
      <c r="BLU28" s="914"/>
      <c r="BLV28" s="914"/>
      <c r="BLW28" s="914"/>
      <c r="BLX28" s="914"/>
      <c r="BLY28" s="914"/>
      <c r="BLZ28" s="914"/>
      <c r="BMA28" s="914"/>
      <c r="BMB28" s="911"/>
      <c r="BMC28" s="911"/>
      <c r="BMD28" s="911"/>
      <c r="BME28" s="915"/>
      <c r="BMF28" s="914"/>
      <c r="BMG28" s="914"/>
      <c r="BMH28" s="914"/>
      <c r="BMI28" s="914"/>
      <c r="BMJ28" s="914"/>
      <c r="BMK28" s="914"/>
      <c r="BML28" s="914"/>
      <c r="BMM28" s="911"/>
      <c r="BMN28" s="911"/>
      <c r="BMO28" s="911"/>
      <c r="BMP28" s="915"/>
      <c r="BMQ28" s="914"/>
      <c r="BMR28" s="914"/>
      <c r="BMS28" s="914"/>
      <c r="BMT28" s="914"/>
      <c r="BMU28" s="914"/>
      <c r="BMV28" s="914"/>
      <c r="BMW28" s="914"/>
      <c r="BMX28" s="911"/>
      <c r="BMY28" s="911"/>
      <c r="BMZ28" s="911"/>
      <c r="BNA28" s="915"/>
      <c r="BNB28" s="914"/>
      <c r="BNC28" s="914"/>
      <c r="BND28" s="914"/>
      <c r="BNE28" s="914"/>
      <c r="BNF28" s="914"/>
      <c r="BNG28" s="914"/>
      <c r="BNH28" s="914"/>
      <c r="BNI28" s="911"/>
      <c r="BNJ28" s="911"/>
      <c r="BNK28" s="911"/>
      <c r="BNL28" s="915"/>
      <c r="BNM28" s="914"/>
      <c r="BNN28" s="914"/>
      <c r="BNO28" s="914"/>
      <c r="BNP28" s="914"/>
      <c r="BNQ28" s="914"/>
      <c r="BNR28" s="914"/>
      <c r="BNS28" s="914"/>
      <c r="BNT28" s="911"/>
      <c r="BNU28" s="911"/>
      <c r="BNV28" s="911"/>
      <c r="BNW28" s="915"/>
      <c r="BNX28" s="914"/>
      <c r="BNY28" s="914"/>
      <c r="BNZ28" s="914"/>
      <c r="BOA28" s="914"/>
      <c r="BOB28" s="914"/>
      <c r="BOC28" s="914"/>
      <c r="BOD28" s="914"/>
      <c r="BOE28" s="911"/>
      <c r="BOF28" s="911"/>
      <c r="BOG28" s="911"/>
      <c r="BOH28" s="915"/>
      <c r="BOI28" s="914"/>
      <c r="BOJ28" s="914"/>
      <c r="BOK28" s="914"/>
      <c r="BOL28" s="914"/>
      <c r="BOM28" s="914"/>
      <c r="BON28" s="914"/>
      <c r="BOO28" s="914"/>
      <c r="BOP28" s="911"/>
      <c r="BOQ28" s="911"/>
      <c r="BOR28" s="911"/>
      <c r="BOS28" s="915"/>
      <c r="BOT28" s="914"/>
      <c r="BOU28" s="914"/>
      <c r="BOV28" s="914"/>
      <c r="BOW28" s="914"/>
      <c r="BOX28" s="914"/>
      <c r="BOY28" s="914"/>
      <c r="BOZ28" s="914"/>
      <c r="BPA28" s="911"/>
      <c r="BPB28" s="911"/>
      <c r="BPC28" s="911"/>
      <c r="BPD28" s="915"/>
      <c r="BPE28" s="914"/>
      <c r="BPF28" s="914"/>
      <c r="BPG28" s="914"/>
      <c r="BPH28" s="914"/>
      <c r="BPI28" s="914"/>
      <c r="BPJ28" s="914"/>
      <c r="BPK28" s="914"/>
      <c r="BPL28" s="911"/>
      <c r="BPM28" s="911"/>
      <c r="BPN28" s="911"/>
      <c r="BPO28" s="915"/>
      <c r="BPP28" s="914"/>
      <c r="BPQ28" s="914"/>
      <c r="BPR28" s="914"/>
      <c r="BPS28" s="914"/>
      <c r="BPT28" s="914"/>
      <c r="BPU28" s="914"/>
      <c r="BPV28" s="914"/>
      <c r="BPW28" s="911"/>
      <c r="BPX28" s="911"/>
      <c r="BPY28" s="911"/>
      <c r="BPZ28" s="915"/>
      <c r="BQA28" s="914"/>
      <c r="BQB28" s="914"/>
      <c r="BQC28" s="914"/>
      <c r="BQD28" s="914"/>
      <c r="BQE28" s="914"/>
      <c r="BQF28" s="914"/>
      <c r="BQG28" s="914"/>
      <c r="BQH28" s="911"/>
      <c r="BQI28" s="911"/>
      <c r="BQJ28" s="911"/>
      <c r="BQK28" s="915"/>
      <c r="BQL28" s="914"/>
      <c r="BQM28" s="914"/>
      <c r="BQN28" s="914"/>
      <c r="BQO28" s="914"/>
      <c r="BQP28" s="914"/>
      <c r="BQQ28" s="914"/>
      <c r="BQR28" s="914"/>
      <c r="BQS28" s="911"/>
      <c r="BQT28" s="911"/>
      <c r="BQU28" s="911"/>
      <c r="BQV28" s="915"/>
      <c r="BQW28" s="914"/>
      <c r="BQX28" s="914"/>
      <c r="BQY28" s="914"/>
      <c r="BQZ28" s="914"/>
      <c r="BRA28" s="914"/>
      <c r="BRB28" s="914"/>
      <c r="BRC28" s="914"/>
      <c r="BRD28" s="911"/>
      <c r="BRE28" s="911"/>
      <c r="BRF28" s="911"/>
      <c r="BRG28" s="915"/>
      <c r="BRH28" s="914"/>
      <c r="BRI28" s="914"/>
      <c r="BRJ28" s="914"/>
      <c r="BRK28" s="914"/>
      <c r="BRL28" s="914"/>
      <c r="BRM28" s="914"/>
      <c r="BRN28" s="914"/>
      <c r="BRO28" s="911"/>
      <c r="BRP28" s="911"/>
      <c r="BRQ28" s="911"/>
      <c r="BRR28" s="915"/>
      <c r="BRS28" s="914"/>
      <c r="BRT28" s="914"/>
      <c r="BRU28" s="914"/>
      <c r="BRV28" s="914"/>
      <c r="BRW28" s="914"/>
      <c r="BRX28" s="914"/>
      <c r="BRY28" s="914"/>
      <c r="BRZ28" s="911"/>
      <c r="BSA28" s="911"/>
      <c r="BSB28" s="911"/>
      <c r="BSC28" s="915"/>
      <c r="BSD28" s="914"/>
      <c r="BSE28" s="914"/>
      <c r="BSF28" s="914"/>
      <c r="BSG28" s="914"/>
      <c r="BSH28" s="914"/>
      <c r="BSI28" s="914"/>
      <c r="BSJ28" s="914"/>
      <c r="BSK28" s="911"/>
      <c r="BSL28" s="911"/>
      <c r="BSM28" s="911"/>
      <c r="BSN28" s="915"/>
      <c r="BSO28" s="914"/>
      <c r="BSP28" s="914"/>
      <c r="BSQ28" s="914"/>
      <c r="BSR28" s="914"/>
      <c r="BSS28" s="914"/>
      <c r="BST28" s="914"/>
      <c r="BSU28" s="914"/>
      <c r="BSV28" s="911"/>
      <c r="BSW28" s="911"/>
      <c r="BSX28" s="911"/>
      <c r="BSY28" s="915"/>
      <c r="BSZ28" s="914"/>
      <c r="BTA28" s="914"/>
      <c r="BTB28" s="914"/>
      <c r="BTC28" s="914"/>
      <c r="BTD28" s="914"/>
      <c r="BTE28" s="914"/>
      <c r="BTF28" s="914"/>
      <c r="BTG28" s="911"/>
      <c r="BTH28" s="911"/>
      <c r="BTI28" s="911"/>
      <c r="BTJ28" s="915"/>
      <c r="BTK28" s="914"/>
      <c r="BTL28" s="914"/>
      <c r="BTM28" s="914"/>
      <c r="BTN28" s="914"/>
      <c r="BTO28" s="914"/>
      <c r="BTP28" s="914"/>
      <c r="BTQ28" s="914"/>
      <c r="BTR28" s="911"/>
      <c r="BTS28" s="911"/>
      <c r="BTT28" s="911"/>
      <c r="BTU28" s="915"/>
      <c r="BTV28" s="914"/>
      <c r="BTW28" s="914"/>
      <c r="BTX28" s="914"/>
      <c r="BTY28" s="914"/>
      <c r="BTZ28" s="914"/>
      <c r="BUA28" s="914"/>
      <c r="BUB28" s="914"/>
      <c r="BUC28" s="911"/>
      <c r="BUD28" s="911"/>
      <c r="BUE28" s="911"/>
      <c r="BUF28" s="915"/>
      <c r="BUG28" s="914"/>
      <c r="BUH28" s="914"/>
      <c r="BUI28" s="914"/>
      <c r="BUJ28" s="914"/>
      <c r="BUK28" s="914"/>
      <c r="BUL28" s="914"/>
      <c r="BUM28" s="914"/>
      <c r="BUN28" s="911"/>
      <c r="BUO28" s="911"/>
      <c r="BUP28" s="911"/>
      <c r="BUQ28" s="915"/>
      <c r="BUR28" s="914"/>
      <c r="BUS28" s="914"/>
      <c r="BUT28" s="914"/>
      <c r="BUU28" s="914"/>
      <c r="BUV28" s="914"/>
      <c r="BUW28" s="914"/>
      <c r="BUX28" s="914"/>
      <c r="BUY28" s="911"/>
      <c r="BUZ28" s="911"/>
      <c r="BVA28" s="911"/>
      <c r="BVB28" s="915"/>
      <c r="BVC28" s="914"/>
      <c r="BVD28" s="914"/>
      <c r="BVE28" s="914"/>
      <c r="BVF28" s="914"/>
      <c r="BVG28" s="914"/>
      <c r="BVH28" s="914"/>
      <c r="BVI28" s="914"/>
      <c r="BVJ28" s="911"/>
      <c r="BVK28" s="911"/>
      <c r="BVL28" s="911"/>
      <c r="BVM28" s="915"/>
      <c r="BVN28" s="914"/>
      <c r="BVO28" s="914"/>
      <c r="BVP28" s="914"/>
      <c r="BVQ28" s="914"/>
      <c r="BVR28" s="914"/>
      <c r="BVS28" s="914"/>
      <c r="BVT28" s="914"/>
      <c r="BVU28" s="911"/>
      <c r="BVV28" s="911"/>
      <c r="BVW28" s="911"/>
      <c r="BVX28" s="915"/>
      <c r="BVY28" s="914"/>
      <c r="BVZ28" s="914"/>
      <c r="BWA28" s="914"/>
      <c r="BWB28" s="914"/>
      <c r="BWC28" s="914"/>
      <c r="BWD28" s="914"/>
      <c r="BWE28" s="914"/>
      <c r="BWF28" s="911"/>
      <c r="BWG28" s="911"/>
      <c r="BWH28" s="911"/>
      <c r="BWI28" s="915"/>
      <c r="BWJ28" s="914"/>
      <c r="BWK28" s="914"/>
      <c r="BWL28" s="914"/>
      <c r="BWM28" s="914"/>
      <c r="BWN28" s="914"/>
      <c r="BWO28" s="914"/>
      <c r="BWP28" s="914"/>
      <c r="BWQ28" s="911"/>
      <c r="BWR28" s="911"/>
      <c r="BWS28" s="911"/>
      <c r="BWT28" s="915"/>
      <c r="BWU28" s="914"/>
      <c r="BWV28" s="914"/>
      <c r="BWW28" s="914"/>
      <c r="BWX28" s="914"/>
      <c r="BWY28" s="914"/>
      <c r="BWZ28" s="914"/>
      <c r="BXA28" s="914"/>
      <c r="BXB28" s="911"/>
      <c r="BXC28" s="911"/>
      <c r="BXD28" s="911"/>
      <c r="BXE28" s="915"/>
      <c r="BXF28" s="914"/>
      <c r="BXG28" s="914"/>
      <c r="BXH28" s="914"/>
      <c r="BXI28" s="914"/>
      <c r="BXJ28" s="914"/>
      <c r="BXK28" s="914"/>
      <c r="BXL28" s="914"/>
      <c r="BXM28" s="911"/>
      <c r="BXN28" s="911"/>
      <c r="BXO28" s="911"/>
      <c r="BXP28" s="915"/>
      <c r="BXQ28" s="914"/>
      <c r="BXR28" s="914"/>
      <c r="BXS28" s="914"/>
      <c r="BXT28" s="914"/>
      <c r="BXU28" s="914"/>
      <c r="BXV28" s="914"/>
      <c r="BXW28" s="914"/>
      <c r="BXX28" s="911"/>
      <c r="BXY28" s="911"/>
      <c r="BXZ28" s="911"/>
      <c r="BYA28" s="915"/>
      <c r="BYB28" s="914"/>
      <c r="BYC28" s="914"/>
      <c r="BYD28" s="914"/>
      <c r="BYE28" s="914"/>
      <c r="BYF28" s="914"/>
      <c r="BYG28" s="914"/>
      <c r="BYH28" s="914"/>
      <c r="BYI28" s="911"/>
      <c r="BYJ28" s="911"/>
      <c r="BYK28" s="911"/>
      <c r="BYL28" s="915"/>
      <c r="BYM28" s="914"/>
      <c r="BYN28" s="914"/>
      <c r="BYO28" s="914"/>
      <c r="BYP28" s="914"/>
      <c r="BYQ28" s="914"/>
      <c r="BYR28" s="914"/>
      <c r="BYS28" s="914"/>
      <c r="BYT28" s="911"/>
      <c r="BYU28" s="911"/>
      <c r="BYV28" s="911"/>
      <c r="BYW28" s="915"/>
      <c r="BYX28" s="914"/>
      <c r="BYY28" s="914"/>
      <c r="BYZ28" s="914"/>
      <c r="BZA28" s="914"/>
      <c r="BZB28" s="914"/>
      <c r="BZC28" s="914"/>
      <c r="BZD28" s="914"/>
      <c r="BZE28" s="911"/>
      <c r="BZF28" s="911"/>
      <c r="BZG28" s="911"/>
      <c r="BZH28" s="915"/>
      <c r="BZI28" s="914"/>
      <c r="BZJ28" s="914"/>
      <c r="BZK28" s="914"/>
      <c r="BZL28" s="914"/>
      <c r="BZM28" s="914"/>
      <c r="BZN28" s="914"/>
      <c r="BZO28" s="914"/>
      <c r="BZP28" s="911"/>
      <c r="BZQ28" s="911"/>
      <c r="BZR28" s="911"/>
      <c r="BZS28" s="915"/>
      <c r="BZT28" s="914"/>
      <c r="BZU28" s="914"/>
      <c r="BZV28" s="914"/>
      <c r="BZW28" s="914"/>
      <c r="BZX28" s="914"/>
      <c r="BZY28" s="914"/>
      <c r="BZZ28" s="914"/>
      <c r="CAA28" s="911"/>
      <c r="CAB28" s="911"/>
      <c r="CAC28" s="911"/>
      <c r="CAD28" s="915"/>
      <c r="CAE28" s="914"/>
      <c r="CAF28" s="914"/>
      <c r="CAG28" s="914"/>
      <c r="CAH28" s="914"/>
      <c r="CAI28" s="914"/>
      <c r="CAJ28" s="914"/>
      <c r="CAK28" s="914"/>
      <c r="CAL28" s="911"/>
      <c r="CAM28" s="911"/>
      <c r="CAN28" s="911"/>
      <c r="CAO28" s="915"/>
      <c r="CAP28" s="914"/>
      <c r="CAQ28" s="914"/>
      <c r="CAR28" s="914"/>
      <c r="CAS28" s="914"/>
      <c r="CAT28" s="914"/>
      <c r="CAU28" s="914"/>
      <c r="CAV28" s="914"/>
      <c r="CAW28" s="911"/>
      <c r="CAX28" s="911"/>
      <c r="CAY28" s="911"/>
      <c r="CAZ28" s="915"/>
      <c r="CBA28" s="914"/>
      <c r="CBB28" s="914"/>
      <c r="CBC28" s="914"/>
      <c r="CBD28" s="914"/>
      <c r="CBE28" s="914"/>
      <c r="CBF28" s="914"/>
      <c r="CBG28" s="914"/>
      <c r="CBH28" s="911"/>
      <c r="CBI28" s="911"/>
      <c r="CBJ28" s="911"/>
      <c r="CBK28" s="915"/>
      <c r="CBL28" s="914"/>
      <c r="CBM28" s="914"/>
      <c r="CBN28" s="914"/>
      <c r="CBO28" s="914"/>
      <c r="CBP28" s="914"/>
      <c r="CBQ28" s="914"/>
      <c r="CBR28" s="914"/>
      <c r="CBS28" s="911"/>
      <c r="CBT28" s="911"/>
      <c r="CBU28" s="911"/>
      <c r="CBV28" s="915"/>
      <c r="CBW28" s="914"/>
      <c r="CBX28" s="914"/>
      <c r="CBY28" s="914"/>
      <c r="CBZ28" s="914"/>
      <c r="CCA28" s="914"/>
      <c r="CCB28" s="914"/>
      <c r="CCC28" s="914"/>
      <c r="CCD28" s="911"/>
      <c r="CCE28" s="911"/>
      <c r="CCF28" s="911"/>
      <c r="CCG28" s="915"/>
      <c r="CCH28" s="914"/>
      <c r="CCI28" s="914"/>
      <c r="CCJ28" s="914"/>
      <c r="CCK28" s="914"/>
      <c r="CCL28" s="914"/>
      <c r="CCM28" s="914"/>
      <c r="CCN28" s="914"/>
      <c r="CCO28" s="911"/>
      <c r="CCP28" s="911"/>
      <c r="CCQ28" s="911"/>
      <c r="CCR28" s="915"/>
      <c r="CCS28" s="914"/>
      <c r="CCT28" s="914"/>
      <c r="CCU28" s="914"/>
      <c r="CCV28" s="914"/>
      <c r="CCW28" s="914"/>
      <c r="CCX28" s="914"/>
      <c r="CCY28" s="914"/>
      <c r="CCZ28" s="911"/>
      <c r="CDA28" s="911"/>
      <c r="CDB28" s="911"/>
      <c r="CDC28" s="915"/>
      <c r="CDD28" s="914"/>
      <c r="CDE28" s="914"/>
      <c r="CDF28" s="914"/>
      <c r="CDG28" s="914"/>
      <c r="CDH28" s="914"/>
      <c r="CDI28" s="914"/>
      <c r="CDJ28" s="914"/>
      <c r="CDK28" s="911"/>
      <c r="CDL28" s="911"/>
      <c r="CDM28" s="911"/>
      <c r="CDN28" s="915"/>
      <c r="CDO28" s="914"/>
      <c r="CDP28" s="914"/>
      <c r="CDQ28" s="914"/>
      <c r="CDR28" s="914"/>
      <c r="CDS28" s="914"/>
      <c r="CDT28" s="914"/>
      <c r="CDU28" s="914"/>
      <c r="CDV28" s="911"/>
      <c r="CDW28" s="911"/>
      <c r="CDX28" s="911"/>
      <c r="CDY28" s="915"/>
      <c r="CDZ28" s="914"/>
      <c r="CEA28" s="914"/>
      <c r="CEB28" s="914"/>
      <c r="CEC28" s="914"/>
      <c r="CED28" s="914"/>
      <c r="CEE28" s="914"/>
      <c r="CEF28" s="914"/>
      <c r="CEG28" s="911"/>
      <c r="CEH28" s="911"/>
      <c r="CEI28" s="911"/>
      <c r="CEJ28" s="915"/>
      <c r="CEK28" s="914"/>
      <c r="CEL28" s="914"/>
      <c r="CEM28" s="914"/>
      <c r="CEN28" s="914"/>
      <c r="CEO28" s="914"/>
      <c r="CEP28" s="914"/>
      <c r="CEQ28" s="914"/>
      <c r="CER28" s="911"/>
      <c r="CES28" s="911"/>
      <c r="CET28" s="911"/>
      <c r="CEU28" s="915"/>
      <c r="CEV28" s="914"/>
      <c r="CEW28" s="914"/>
      <c r="CEX28" s="914"/>
      <c r="CEY28" s="914"/>
      <c r="CEZ28" s="914"/>
      <c r="CFA28" s="914"/>
      <c r="CFB28" s="914"/>
      <c r="CFC28" s="911"/>
      <c r="CFD28" s="911"/>
      <c r="CFE28" s="911"/>
      <c r="CFF28" s="915"/>
      <c r="CFG28" s="914"/>
      <c r="CFH28" s="914"/>
      <c r="CFI28" s="914"/>
      <c r="CFJ28" s="914"/>
      <c r="CFK28" s="914"/>
      <c r="CFL28" s="914"/>
      <c r="CFM28" s="914"/>
      <c r="CFN28" s="911"/>
      <c r="CFO28" s="911"/>
      <c r="CFP28" s="911"/>
      <c r="CFQ28" s="915"/>
      <c r="CFR28" s="914"/>
      <c r="CFS28" s="914"/>
      <c r="CFT28" s="914"/>
      <c r="CFU28" s="914"/>
      <c r="CFV28" s="914"/>
      <c r="CFW28" s="914"/>
      <c r="CFX28" s="914"/>
      <c r="CFY28" s="911"/>
      <c r="CFZ28" s="911"/>
      <c r="CGA28" s="911"/>
      <c r="CGB28" s="915"/>
      <c r="CGC28" s="914"/>
      <c r="CGD28" s="914"/>
      <c r="CGE28" s="914"/>
      <c r="CGF28" s="914"/>
      <c r="CGG28" s="914"/>
      <c r="CGH28" s="914"/>
      <c r="CGI28" s="914"/>
      <c r="CGJ28" s="911"/>
      <c r="CGK28" s="911"/>
      <c r="CGL28" s="911"/>
      <c r="CGM28" s="915"/>
      <c r="CGN28" s="914"/>
      <c r="CGO28" s="914"/>
      <c r="CGP28" s="914"/>
      <c r="CGQ28" s="914"/>
      <c r="CGR28" s="914"/>
      <c r="CGS28" s="914"/>
      <c r="CGT28" s="914"/>
      <c r="CGU28" s="911"/>
      <c r="CGV28" s="911"/>
      <c r="CGW28" s="911"/>
      <c r="CGX28" s="915"/>
      <c r="CGY28" s="914"/>
      <c r="CGZ28" s="914"/>
      <c r="CHA28" s="914"/>
      <c r="CHB28" s="914"/>
      <c r="CHC28" s="914"/>
      <c r="CHD28" s="914"/>
      <c r="CHE28" s="914"/>
      <c r="CHF28" s="911"/>
      <c r="CHG28" s="911"/>
      <c r="CHH28" s="911"/>
      <c r="CHI28" s="915"/>
      <c r="CHJ28" s="914"/>
      <c r="CHK28" s="914"/>
      <c r="CHL28" s="914"/>
      <c r="CHM28" s="914"/>
      <c r="CHN28" s="914"/>
      <c r="CHO28" s="914"/>
      <c r="CHP28" s="914"/>
      <c r="CHQ28" s="911"/>
      <c r="CHR28" s="911"/>
      <c r="CHS28" s="911"/>
      <c r="CHT28" s="915"/>
      <c r="CHU28" s="914"/>
      <c r="CHV28" s="914"/>
      <c r="CHW28" s="914"/>
      <c r="CHX28" s="914"/>
      <c r="CHY28" s="914"/>
      <c r="CHZ28" s="914"/>
      <c r="CIA28" s="914"/>
      <c r="CIB28" s="911"/>
      <c r="CIC28" s="911"/>
      <c r="CID28" s="911"/>
      <c r="CIE28" s="915"/>
      <c r="CIF28" s="914"/>
      <c r="CIG28" s="914"/>
      <c r="CIH28" s="914"/>
      <c r="CII28" s="914"/>
      <c r="CIJ28" s="914"/>
      <c r="CIK28" s="914"/>
      <c r="CIL28" s="914"/>
      <c r="CIM28" s="911"/>
      <c r="CIN28" s="911"/>
      <c r="CIO28" s="911"/>
      <c r="CIP28" s="915"/>
      <c r="CIQ28" s="914"/>
      <c r="CIR28" s="914"/>
      <c r="CIS28" s="914"/>
      <c r="CIT28" s="914"/>
      <c r="CIU28" s="914"/>
      <c r="CIV28" s="914"/>
      <c r="CIW28" s="914"/>
      <c r="CIX28" s="911"/>
      <c r="CIY28" s="911"/>
      <c r="CIZ28" s="911"/>
      <c r="CJA28" s="915"/>
      <c r="CJB28" s="914"/>
      <c r="CJC28" s="914"/>
      <c r="CJD28" s="914"/>
      <c r="CJE28" s="914"/>
      <c r="CJF28" s="914"/>
      <c r="CJG28" s="914"/>
      <c r="CJH28" s="914"/>
      <c r="CJI28" s="911"/>
      <c r="CJJ28" s="911"/>
      <c r="CJK28" s="911"/>
      <c r="CJL28" s="915"/>
      <c r="CJM28" s="914"/>
      <c r="CJN28" s="914"/>
      <c r="CJO28" s="914"/>
      <c r="CJP28" s="914"/>
      <c r="CJQ28" s="914"/>
      <c r="CJR28" s="914"/>
      <c r="CJS28" s="914"/>
      <c r="CJT28" s="911"/>
      <c r="CJU28" s="911"/>
      <c r="CJV28" s="911"/>
      <c r="CJW28" s="915"/>
      <c r="CJX28" s="914"/>
      <c r="CJY28" s="914"/>
      <c r="CJZ28" s="914"/>
      <c r="CKA28" s="914"/>
      <c r="CKB28" s="914"/>
      <c r="CKC28" s="914"/>
      <c r="CKD28" s="914"/>
      <c r="CKE28" s="911"/>
      <c r="CKF28" s="911"/>
      <c r="CKG28" s="911"/>
      <c r="CKH28" s="915"/>
      <c r="CKI28" s="914"/>
      <c r="CKJ28" s="914"/>
      <c r="CKK28" s="914"/>
      <c r="CKL28" s="914"/>
      <c r="CKM28" s="914"/>
      <c r="CKN28" s="914"/>
      <c r="CKO28" s="914"/>
      <c r="CKP28" s="911"/>
      <c r="CKQ28" s="911"/>
      <c r="CKR28" s="911"/>
      <c r="CKS28" s="915"/>
      <c r="CKT28" s="914"/>
      <c r="CKU28" s="914"/>
      <c r="CKV28" s="914"/>
      <c r="CKW28" s="914"/>
      <c r="CKX28" s="914"/>
      <c r="CKY28" s="914"/>
      <c r="CKZ28" s="914"/>
      <c r="CLA28" s="911"/>
      <c r="CLB28" s="911"/>
      <c r="CLC28" s="911"/>
      <c r="CLD28" s="915"/>
      <c r="CLE28" s="914"/>
      <c r="CLF28" s="914"/>
      <c r="CLG28" s="914"/>
      <c r="CLH28" s="914"/>
      <c r="CLI28" s="914"/>
      <c r="CLJ28" s="914"/>
      <c r="CLK28" s="914"/>
      <c r="CLL28" s="911"/>
      <c r="CLM28" s="911"/>
      <c r="CLN28" s="911"/>
      <c r="CLO28" s="915"/>
      <c r="CLP28" s="914"/>
      <c r="CLQ28" s="914"/>
      <c r="CLR28" s="914"/>
      <c r="CLS28" s="914"/>
      <c r="CLT28" s="914"/>
      <c r="CLU28" s="914"/>
      <c r="CLV28" s="914"/>
      <c r="CLW28" s="911"/>
      <c r="CLX28" s="911"/>
      <c r="CLY28" s="911"/>
      <c r="CLZ28" s="915"/>
      <c r="CMA28" s="914"/>
      <c r="CMB28" s="914"/>
      <c r="CMC28" s="914"/>
      <c r="CMD28" s="914"/>
      <c r="CME28" s="914"/>
      <c r="CMF28" s="914"/>
      <c r="CMG28" s="914"/>
      <c r="CMH28" s="911"/>
      <c r="CMI28" s="911"/>
      <c r="CMJ28" s="911"/>
      <c r="CMK28" s="915"/>
      <c r="CML28" s="914"/>
      <c r="CMM28" s="914"/>
      <c r="CMN28" s="914"/>
      <c r="CMO28" s="914"/>
      <c r="CMP28" s="914"/>
      <c r="CMQ28" s="914"/>
      <c r="CMR28" s="914"/>
      <c r="CMS28" s="911"/>
      <c r="CMT28" s="911"/>
      <c r="CMU28" s="911"/>
      <c r="CMV28" s="915"/>
      <c r="CMW28" s="914"/>
      <c r="CMX28" s="914"/>
      <c r="CMY28" s="914"/>
      <c r="CMZ28" s="914"/>
      <c r="CNA28" s="914"/>
      <c r="CNB28" s="914"/>
      <c r="CNC28" s="914"/>
      <c r="CND28" s="911"/>
      <c r="CNE28" s="911"/>
      <c r="CNF28" s="911"/>
      <c r="CNG28" s="915"/>
      <c r="CNH28" s="914"/>
      <c r="CNI28" s="914"/>
      <c r="CNJ28" s="914"/>
      <c r="CNK28" s="914"/>
      <c r="CNL28" s="914"/>
      <c r="CNM28" s="914"/>
      <c r="CNN28" s="914"/>
      <c r="CNO28" s="911"/>
      <c r="CNP28" s="911"/>
      <c r="CNQ28" s="911"/>
      <c r="CNR28" s="915"/>
      <c r="CNS28" s="914"/>
      <c r="CNT28" s="914"/>
      <c r="CNU28" s="914"/>
      <c r="CNV28" s="914"/>
      <c r="CNW28" s="914"/>
      <c r="CNX28" s="914"/>
      <c r="CNY28" s="914"/>
      <c r="CNZ28" s="911"/>
      <c r="COA28" s="911"/>
      <c r="COB28" s="911"/>
      <c r="COC28" s="915"/>
      <c r="COD28" s="914"/>
      <c r="COE28" s="914"/>
      <c r="COF28" s="914"/>
      <c r="COG28" s="914"/>
      <c r="COH28" s="914"/>
      <c r="COI28" s="914"/>
      <c r="COJ28" s="914"/>
      <c r="COK28" s="911"/>
      <c r="COL28" s="911"/>
      <c r="COM28" s="911"/>
      <c r="CON28" s="915"/>
      <c r="COO28" s="914"/>
      <c r="COP28" s="914"/>
      <c r="COQ28" s="914"/>
      <c r="COR28" s="914"/>
      <c r="COS28" s="914"/>
      <c r="COT28" s="914"/>
      <c r="COU28" s="914"/>
      <c r="COV28" s="911"/>
      <c r="COW28" s="911"/>
      <c r="COX28" s="911"/>
      <c r="COY28" s="915"/>
      <c r="COZ28" s="914"/>
      <c r="CPA28" s="914"/>
      <c r="CPB28" s="914"/>
      <c r="CPC28" s="914"/>
      <c r="CPD28" s="914"/>
      <c r="CPE28" s="914"/>
      <c r="CPF28" s="914"/>
      <c r="CPG28" s="911"/>
      <c r="CPH28" s="911"/>
      <c r="CPI28" s="911"/>
      <c r="CPJ28" s="915"/>
      <c r="CPK28" s="914"/>
      <c r="CPL28" s="914"/>
      <c r="CPM28" s="914"/>
      <c r="CPN28" s="914"/>
      <c r="CPO28" s="914"/>
      <c r="CPP28" s="914"/>
      <c r="CPQ28" s="914"/>
      <c r="CPR28" s="911"/>
      <c r="CPS28" s="911"/>
      <c r="CPT28" s="911"/>
      <c r="CPU28" s="915"/>
      <c r="CPV28" s="914"/>
      <c r="CPW28" s="914"/>
      <c r="CPX28" s="914"/>
      <c r="CPY28" s="914"/>
      <c r="CPZ28" s="914"/>
      <c r="CQA28" s="914"/>
      <c r="CQB28" s="914"/>
      <c r="CQC28" s="911"/>
      <c r="CQD28" s="911"/>
      <c r="CQE28" s="911"/>
      <c r="CQF28" s="915"/>
      <c r="CQG28" s="914"/>
      <c r="CQH28" s="914"/>
      <c r="CQI28" s="914"/>
      <c r="CQJ28" s="914"/>
      <c r="CQK28" s="914"/>
      <c r="CQL28" s="914"/>
      <c r="CQM28" s="914"/>
      <c r="CQN28" s="911"/>
      <c r="CQO28" s="911"/>
      <c r="CQP28" s="911"/>
      <c r="CQQ28" s="915"/>
      <c r="CQR28" s="914"/>
      <c r="CQS28" s="914"/>
      <c r="CQT28" s="914"/>
      <c r="CQU28" s="914"/>
      <c r="CQV28" s="914"/>
      <c r="CQW28" s="914"/>
      <c r="CQX28" s="914"/>
      <c r="CQY28" s="911"/>
      <c r="CQZ28" s="911"/>
      <c r="CRA28" s="911"/>
      <c r="CRB28" s="915"/>
      <c r="CRC28" s="914"/>
      <c r="CRD28" s="914"/>
      <c r="CRE28" s="914"/>
      <c r="CRF28" s="914"/>
      <c r="CRG28" s="914"/>
      <c r="CRH28" s="914"/>
      <c r="CRI28" s="914"/>
      <c r="CRJ28" s="911"/>
      <c r="CRK28" s="911"/>
      <c r="CRL28" s="911"/>
      <c r="CRM28" s="915"/>
      <c r="CRN28" s="914"/>
      <c r="CRO28" s="914"/>
      <c r="CRP28" s="914"/>
      <c r="CRQ28" s="914"/>
      <c r="CRR28" s="914"/>
      <c r="CRS28" s="914"/>
      <c r="CRT28" s="914"/>
      <c r="CRU28" s="911"/>
      <c r="CRV28" s="911"/>
      <c r="CRW28" s="911"/>
      <c r="CRX28" s="915"/>
      <c r="CRY28" s="914"/>
      <c r="CRZ28" s="914"/>
      <c r="CSA28" s="914"/>
      <c r="CSB28" s="914"/>
      <c r="CSC28" s="914"/>
      <c r="CSD28" s="914"/>
      <c r="CSE28" s="914"/>
      <c r="CSF28" s="911"/>
      <c r="CSG28" s="911"/>
      <c r="CSH28" s="911"/>
      <c r="CSI28" s="915"/>
      <c r="CSJ28" s="914"/>
      <c r="CSK28" s="914"/>
      <c r="CSL28" s="914"/>
      <c r="CSM28" s="914"/>
      <c r="CSN28" s="914"/>
      <c r="CSO28" s="914"/>
      <c r="CSP28" s="914"/>
      <c r="CSQ28" s="911"/>
      <c r="CSR28" s="911"/>
      <c r="CSS28" s="911"/>
      <c r="CST28" s="915"/>
      <c r="CSU28" s="914"/>
      <c r="CSV28" s="914"/>
      <c r="CSW28" s="914"/>
      <c r="CSX28" s="914"/>
      <c r="CSY28" s="914"/>
      <c r="CSZ28" s="914"/>
      <c r="CTA28" s="914"/>
      <c r="CTB28" s="911"/>
      <c r="CTC28" s="911"/>
      <c r="CTD28" s="911"/>
      <c r="CTE28" s="915"/>
      <c r="CTF28" s="914"/>
      <c r="CTG28" s="914"/>
      <c r="CTH28" s="914"/>
      <c r="CTI28" s="914"/>
      <c r="CTJ28" s="914"/>
      <c r="CTK28" s="914"/>
      <c r="CTL28" s="914"/>
      <c r="CTM28" s="911"/>
      <c r="CTN28" s="911"/>
      <c r="CTO28" s="911"/>
      <c r="CTP28" s="915"/>
      <c r="CTQ28" s="914"/>
      <c r="CTR28" s="914"/>
      <c r="CTS28" s="914"/>
      <c r="CTT28" s="914"/>
      <c r="CTU28" s="914"/>
      <c r="CTV28" s="914"/>
      <c r="CTW28" s="914"/>
      <c r="CTX28" s="911"/>
      <c r="CTY28" s="911"/>
      <c r="CTZ28" s="911"/>
      <c r="CUA28" s="915"/>
      <c r="CUB28" s="914"/>
      <c r="CUC28" s="914"/>
      <c r="CUD28" s="914"/>
      <c r="CUE28" s="914"/>
      <c r="CUF28" s="914"/>
      <c r="CUG28" s="914"/>
      <c r="CUH28" s="914"/>
      <c r="CUI28" s="911"/>
      <c r="CUJ28" s="911"/>
      <c r="CUK28" s="911"/>
      <c r="CUL28" s="915"/>
      <c r="CUM28" s="914"/>
      <c r="CUN28" s="914"/>
      <c r="CUO28" s="914"/>
      <c r="CUP28" s="914"/>
      <c r="CUQ28" s="914"/>
      <c r="CUR28" s="914"/>
      <c r="CUS28" s="914"/>
      <c r="CUT28" s="911"/>
      <c r="CUU28" s="911"/>
      <c r="CUV28" s="911"/>
      <c r="CUW28" s="915"/>
      <c r="CUX28" s="914"/>
      <c r="CUY28" s="914"/>
      <c r="CUZ28" s="914"/>
      <c r="CVA28" s="914"/>
      <c r="CVB28" s="914"/>
      <c r="CVC28" s="914"/>
      <c r="CVD28" s="914"/>
      <c r="CVE28" s="911"/>
      <c r="CVF28" s="911"/>
      <c r="CVG28" s="911"/>
      <c r="CVH28" s="915"/>
      <c r="CVI28" s="914"/>
      <c r="CVJ28" s="914"/>
      <c r="CVK28" s="914"/>
      <c r="CVL28" s="914"/>
      <c r="CVM28" s="914"/>
      <c r="CVN28" s="914"/>
      <c r="CVO28" s="914"/>
      <c r="CVP28" s="911"/>
      <c r="CVQ28" s="911"/>
      <c r="CVR28" s="911"/>
      <c r="CVS28" s="915"/>
      <c r="CVT28" s="914"/>
      <c r="CVU28" s="914"/>
      <c r="CVV28" s="914"/>
      <c r="CVW28" s="914"/>
      <c r="CVX28" s="914"/>
      <c r="CVY28" s="914"/>
      <c r="CVZ28" s="914"/>
      <c r="CWA28" s="911"/>
      <c r="CWB28" s="911"/>
      <c r="CWC28" s="911"/>
      <c r="CWD28" s="915"/>
      <c r="CWE28" s="914"/>
      <c r="CWF28" s="914"/>
      <c r="CWG28" s="914"/>
      <c r="CWH28" s="914"/>
      <c r="CWI28" s="914"/>
      <c r="CWJ28" s="914"/>
      <c r="CWK28" s="914"/>
      <c r="CWL28" s="911"/>
      <c r="CWM28" s="911"/>
      <c r="CWN28" s="911"/>
      <c r="CWO28" s="915"/>
      <c r="CWP28" s="914"/>
      <c r="CWQ28" s="914"/>
      <c r="CWR28" s="914"/>
      <c r="CWS28" s="914"/>
      <c r="CWT28" s="914"/>
      <c r="CWU28" s="914"/>
      <c r="CWV28" s="914"/>
      <c r="CWW28" s="911"/>
      <c r="CWX28" s="911"/>
      <c r="CWY28" s="911"/>
      <c r="CWZ28" s="915"/>
      <c r="CXA28" s="914"/>
      <c r="CXB28" s="914"/>
      <c r="CXC28" s="914"/>
      <c r="CXD28" s="914"/>
      <c r="CXE28" s="914"/>
      <c r="CXF28" s="914"/>
      <c r="CXG28" s="914"/>
      <c r="CXH28" s="911"/>
      <c r="CXI28" s="911"/>
      <c r="CXJ28" s="911"/>
      <c r="CXK28" s="915"/>
      <c r="CXL28" s="914"/>
      <c r="CXM28" s="914"/>
      <c r="CXN28" s="914"/>
      <c r="CXO28" s="914"/>
      <c r="CXP28" s="914"/>
      <c r="CXQ28" s="914"/>
      <c r="CXR28" s="914"/>
      <c r="CXS28" s="911"/>
      <c r="CXT28" s="911"/>
      <c r="CXU28" s="911"/>
      <c r="CXV28" s="915"/>
      <c r="CXW28" s="914"/>
      <c r="CXX28" s="914"/>
      <c r="CXY28" s="914"/>
      <c r="CXZ28" s="914"/>
      <c r="CYA28" s="914"/>
      <c r="CYB28" s="914"/>
      <c r="CYC28" s="914"/>
      <c r="CYD28" s="911"/>
      <c r="CYE28" s="911"/>
      <c r="CYF28" s="911"/>
      <c r="CYG28" s="915"/>
      <c r="CYH28" s="914"/>
      <c r="CYI28" s="914"/>
      <c r="CYJ28" s="914"/>
      <c r="CYK28" s="914"/>
      <c r="CYL28" s="914"/>
      <c r="CYM28" s="914"/>
      <c r="CYN28" s="914"/>
      <c r="CYO28" s="911"/>
      <c r="CYP28" s="911"/>
      <c r="CYQ28" s="911"/>
      <c r="CYR28" s="915"/>
      <c r="CYS28" s="914"/>
      <c r="CYT28" s="914"/>
      <c r="CYU28" s="914"/>
      <c r="CYV28" s="914"/>
      <c r="CYW28" s="914"/>
      <c r="CYX28" s="914"/>
      <c r="CYY28" s="914"/>
      <c r="CYZ28" s="911"/>
      <c r="CZA28" s="911"/>
      <c r="CZB28" s="911"/>
      <c r="CZC28" s="915"/>
      <c r="CZD28" s="914"/>
      <c r="CZE28" s="914"/>
      <c r="CZF28" s="914"/>
      <c r="CZG28" s="914"/>
      <c r="CZH28" s="914"/>
      <c r="CZI28" s="914"/>
      <c r="CZJ28" s="914"/>
      <c r="CZK28" s="911"/>
      <c r="CZL28" s="911"/>
      <c r="CZM28" s="911"/>
      <c r="CZN28" s="915"/>
      <c r="CZO28" s="914"/>
      <c r="CZP28" s="914"/>
      <c r="CZQ28" s="914"/>
      <c r="CZR28" s="914"/>
      <c r="CZS28" s="914"/>
      <c r="CZT28" s="914"/>
      <c r="CZU28" s="914"/>
      <c r="CZV28" s="911"/>
      <c r="CZW28" s="911"/>
      <c r="CZX28" s="911"/>
      <c r="CZY28" s="915"/>
      <c r="CZZ28" s="914"/>
      <c r="DAA28" s="914"/>
      <c r="DAB28" s="914"/>
      <c r="DAC28" s="914"/>
      <c r="DAD28" s="914"/>
      <c r="DAE28" s="914"/>
      <c r="DAF28" s="914"/>
      <c r="DAG28" s="911"/>
      <c r="DAH28" s="911"/>
      <c r="DAI28" s="911"/>
      <c r="DAJ28" s="915"/>
      <c r="DAK28" s="914"/>
      <c r="DAL28" s="914"/>
      <c r="DAM28" s="914"/>
      <c r="DAN28" s="914"/>
      <c r="DAO28" s="914"/>
      <c r="DAP28" s="914"/>
      <c r="DAQ28" s="914"/>
      <c r="DAR28" s="911"/>
      <c r="DAS28" s="911"/>
      <c r="DAT28" s="911"/>
      <c r="DAU28" s="915"/>
      <c r="DAV28" s="914"/>
      <c r="DAW28" s="914"/>
      <c r="DAX28" s="914"/>
      <c r="DAY28" s="914"/>
      <c r="DAZ28" s="914"/>
      <c r="DBA28" s="914"/>
      <c r="DBB28" s="914"/>
      <c r="DBC28" s="911"/>
      <c r="DBD28" s="911"/>
      <c r="DBE28" s="911"/>
      <c r="DBF28" s="915"/>
      <c r="DBG28" s="914"/>
      <c r="DBH28" s="914"/>
      <c r="DBI28" s="914"/>
      <c r="DBJ28" s="914"/>
      <c r="DBK28" s="914"/>
      <c r="DBL28" s="914"/>
      <c r="DBM28" s="914"/>
      <c r="DBN28" s="911"/>
      <c r="DBO28" s="911"/>
      <c r="DBP28" s="911"/>
      <c r="DBQ28" s="915"/>
      <c r="DBR28" s="914"/>
      <c r="DBS28" s="914"/>
      <c r="DBT28" s="914"/>
      <c r="DBU28" s="914"/>
      <c r="DBV28" s="914"/>
      <c r="DBW28" s="914"/>
      <c r="DBX28" s="914"/>
      <c r="DBY28" s="911"/>
      <c r="DBZ28" s="911"/>
      <c r="DCA28" s="911"/>
      <c r="DCB28" s="915"/>
      <c r="DCC28" s="914"/>
      <c r="DCD28" s="914"/>
      <c r="DCE28" s="914"/>
      <c r="DCF28" s="914"/>
      <c r="DCG28" s="914"/>
      <c r="DCH28" s="914"/>
      <c r="DCI28" s="914"/>
      <c r="DCJ28" s="911"/>
      <c r="DCK28" s="911"/>
      <c r="DCL28" s="911"/>
      <c r="DCM28" s="915"/>
      <c r="DCN28" s="914"/>
      <c r="DCO28" s="914"/>
      <c r="DCP28" s="914"/>
      <c r="DCQ28" s="914"/>
      <c r="DCR28" s="914"/>
      <c r="DCS28" s="914"/>
      <c r="DCT28" s="914"/>
      <c r="DCU28" s="911"/>
      <c r="DCV28" s="911"/>
      <c r="DCW28" s="911"/>
      <c r="DCX28" s="915"/>
      <c r="DCY28" s="914"/>
      <c r="DCZ28" s="914"/>
      <c r="DDA28" s="914"/>
      <c r="DDB28" s="914"/>
      <c r="DDC28" s="914"/>
      <c r="DDD28" s="914"/>
      <c r="DDE28" s="914"/>
      <c r="DDF28" s="911"/>
      <c r="DDG28" s="911"/>
      <c r="DDH28" s="911"/>
      <c r="DDI28" s="915"/>
      <c r="DDJ28" s="914"/>
      <c r="DDK28" s="914"/>
      <c r="DDL28" s="914"/>
      <c r="DDM28" s="914"/>
      <c r="DDN28" s="914"/>
      <c r="DDO28" s="914"/>
      <c r="DDP28" s="914"/>
      <c r="DDQ28" s="911"/>
      <c r="DDR28" s="911"/>
      <c r="DDS28" s="911"/>
      <c r="DDT28" s="915"/>
      <c r="DDU28" s="914"/>
      <c r="DDV28" s="914"/>
      <c r="DDW28" s="914"/>
      <c r="DDX28" s="914"/>
      <c r="DDY28" s="914"/>
      <c r="DDZ28" s="914"/>
      <c r="DEA28" s="914"/>
      <c r="DEB28" s="911"/>
      <c r="DEC28" s="911"/>
      <c r="DED28" s="911"/>
      <c r="DEE28" s="915"/>
      <c r="DEF28" s="914"/>
      <c r="DEG28" s="914"/>
      <c r="DEH28" s="914"/>
      <c r="DEI28" s="914"/>
      <c r="DEJ28" s="914"/>
      <c r="DEK28" s="914"/>
      <c r="DEL28" s="914"/>
      <c r="DEM28" s="911"/>
      <c r="DEN28" s="911"/>
      <c r="DEO28" s="911"/>
      <c r="DEP28" s="915"/>
      <c r="DEQ28" s="914"/>
      <c r="DER28" s="914"/>
      <c r="DES28" s="914"/>
      <c r="DET28" s="914"/>
      <c r="DEU28" s="914"/>
      <c r="DEV28" s="914"/>
      <c r="DEW28" s="914"/>
      <c r="DEX28" s="911"/>
      <c r="DEY28" s="911"/>
      <c r="DEZ28" s="911"/>
      <c r="DFA28" s="915"/>
      <c r="DFB28" s="914"/>
      <c r="DFC28" s="914"/>
      <c r="DFD28" s="914"/>
      <c r="DFE28" s="914"/>
      <c r="DFF28" s="914"/>
      <c r="DFG28" s="914"/>
      <c r="DFH28" s="914"/>
      <c r="DFI28" s="911"/>
      <c r="DFJ28" s="911"/>
      <c r="DFK28" s="911"/>
      <c r="DFL28" s="915"/>
      <c r="DFM28" s="914"/>
      <c r="DFN28" s="914"/>
      <c r="DFO28" s="914"/>
      <c r="DFP28" s="914"/>
      <c r="DFQ28" s="914"/>
      <c r="DFR28" s="914"/>
      <c r="DFS28" s="914"/>
      <c r="DFT28" s="911"/>
      <c r="DFU28" s="911"/>
      <c r="DFV28" s="911"/>
      <c r="DFW28" s="915"/>
      <c r="DFX28" s="914"/>
      <c r="DFY28" s="914"/>
      <c r="DFZ28" s="914"/>
      <c r="DGA28" s="914"/>
      <c r="DGB28" s="914"/>
      <c r="DGC28" s="914"/>
      <c r="DGD28" s="914"/>
      <c r="DGE28" s="911"/>
      <c r="DGF28" s="911"/>
      <c r="DGG28" s="911"/>
      <c r="DGH28" s="915"/>
      <c r="DGI28" s="914"/>
      <c r="DGJ28" s="914"/>
      <c r="DGK28" s="914"/>
      <c r="DGL28" s="914"/>
      <c r="DGM28" s="914"/>
      <c r="DGN28" s="914"/>
      <c r="DGO28" s="914"/>
      <c r="DGP28" s="911"/>
      <c r="DGQ28" s="911"/>
      <c r="DGR28" s="911"/>
      <c r="DGS28" s="915"/>
      <c r="DGT28" s="914"/>
      <c r="DGU28" s="914"/>
      <c r="DGV28" s="914"/>
      <c r="DGW28" s="914"/>
      <c r="DGX28" s="914"/>
      <c r="DGY28" s="914"/>
      <c r="DGZ28" s="914"/>
      <c r="DHA28" s="911"/>
      <c r="DHB28" s="911"/>
      <c r="DHC28" s="911"/>
      <c r="DHD28" s="915"/>
      <c r="DHE28" s="914"/>
      <c r="DHF28" s="914"/>
      <c r="DHG28" s="914"/>
      <c r="DHH28" s="914"/>
      <c r="DHI28" s="914"/>
      <c r="DHJ28" s="914"/>
      <c r="DHK28" s="914"/>
      <c r="DHL28" s="911"/>
      <c r="DHM28" s="911"/>
      <c r="DHN28" s="911"/>
      <c r="DHO28" s="915"/>
      <c r="DHP28" s="914"/>
      <c r="DHQ28" s="914"/>
      <c r="DHR28" s="914"/>
      <c r="DHS28" s="914"/>
      <c r="DHT28" s="914"/>
      <c r="DHU28" s="914"/>
      <c r="DHV28" s="914"/>
      <c r="DHW28" s="911"/>
      <c r="DHX28" s="911"/>
      <c r="DHY28" s="911"/>
      <c r="DHZ28" s="915"/>
      <c r="DIA28" s="914"/>
      <c r="DIB28" s="914"/>
      <c r="DIC28" s="914"/>
      <c r="DID28" s="914"/>
      <c r="DIE28" s="914"/>
      <c r="DIF28" s="914"/>
      <c r="DIG28" s="914"/>
      <c r="DIH28" s="911"/>
      <c r="DII28" s="911"/>
      <c r="DIJ28" s="911"/>
      <c r="DIK28" s="915"/>
      <c r="DIL28" s="914"/>
      <c r="DIM28" s="914"/>
      <c r="DIN28" s="914"/>
      <c r="DIO28" s="914"/>
      <c r="DIP28" s="914"/>
      <c r="DIQ28" s="914"/>
      <c r="DIR28" s="914"/>
      <c r="DIS28" s="911"/>
      <c r="DIT28" s="911"/>
      <c r="DIU28" s="911"/>
      <c r="DIV28" s="915"/>
      <c r="DIW28" s="914"/>
      <c r="DIX28" s="914"/>
      <c r="DIY28" s="914"/>
      <c r="DIZ28" s="914"/>
      <c r="DJA28" s="914"/>
      <c r="DJB28" s="914"/>
      <c r="DJC28" s="914"/>
      <c r="DJD28" s="911"/>
      <c r="DJE28" s="911"/>
      <c r="DJF28" s="911"/>
      <c r="DJG28" s="915"/>
      <c r="DJH28" s="914"/>
      <c r="DJI28" s="914"/>
      <c r="DJJ28" s="914"/>
      <c r="DJK28" s="914"/>
      <c r="DJL28" s="914"/>
      <c r="DJM28" s="914"/>
      <c r="DJN28" s="914"/>
      <c r="DJO28" s="911"/>
      <c r="DJP28" s="911"/>
      <c r="DJQ28" s="911"/>
      <c r="DJR28" s="915"/>
      <c r="DJS28" s="914"/>
      <c r="DJT28" s="914"/>
      <c r="DJU28" s="914"/>
      <c r="DJV28" s="914"/>
      <c r="DJW28" s="914"/>
      <c r="DJX28" s="914"/>
      <c r="DJY28" s="914"/>
      <c r="DJZ28" s="911"/>
      <c r="DKA28" s="911"/>
      <c r="DKB28" s="911"/>
      <c r="DKC28" s="915"/>
      <c r="DKD28" s="914"/>
      <c r="DKE28" s="914"/>
      <c r="DKF28" s="914"/>
      <c r="DKG28" s="914"/>
      <c r="DKH28" s="914"/>
      <c r="DKI28" s="914"/>
      <c r="DKJ28" s="914"/>
      <c r="DKK28" s="911"/>
      <c r="DKL28" s="911"/>
      <c r="DKM28" s="911"/>
      <c r="DKN28" s="915"/>
      <c r="DKO28" s="914"/>
      <c r="DKP28" s="914"/>
      <c r="DKQ28" s="914"/>
      <c r="DKR28" s="914"/>
      <c r="DKS28" s="914"/>
      <c r="DKT28" s="914"/>
      <c r="DKU28" s="914"/>
      <c r="DKV28" s="911"/>
      <c r="DKW28" s="911"/>
      <c r="DKX28" s="911"/>
      <c r="DKY28" s="915"/>
      <c r="DKZ28" s="914"/>
      <c r="DLA28" s="914"/>
      <c r="DLB28" s="914"/>
      <c r="DLC28" s="914"/>
      <c r="DLD28" s="914"/>
      <c r="DLE28" s="914"/>
      <c r="DLF28" s="914"/>
      <c r="DLG28" s="911"/>
      <c r="DLH28" s="911"/>
      <c r="DLI28" s="911"/>
      <c r="DLJ28" s="915"/>
      <c r="DLK28" s="914"/>
      <c r="DLL28" s="914"/>
      <c r="DLM28" s="914"/>
      <c r="DLN28" s="914"/>
      <c r="DLO28" s="914"/>
      <c r="DLP28" s="914"/>
      <c r="DLQ28" s="914"/>
      <c r="DLR28" s="911"/>
      <c r="DLS28" s="911"/>
      <c r="DLT28" s="911"/>
      <c r="DLU28" s="915"/>
      <c r="DLV28" s="914"/>
      <c r="DLW28" s="914"/>
      <c r="DLX28" s="914"/>
      <c r="DLY28" s="914"/>
      <c r="DLZ28" s="914"/>
      <c r="DMA28" s="914"/>
      <c r="DMB28" s="914"/>
      <c r="DMC28" s="911"/>
      <c r="DMD28" s="911"/>
      <c r="DME28" s="911"/>
      <c r="DMF28" s="915"/>
      <c r="DMG28" s="914"/>
      <c r="DMH28" s="914"/>
      <c r="DMI28" s="914"/>
      <c r="DMJ28" s="914"/>
      <c r="DMK28" s="914"/>
      <c r="DML28" s="914"/>
      <c r="DMM28" s="914"/>
      <c r="DMN28" s="911"/>
      <c r="DMO28" s="911"/>
      <c r="DMP28" s="911"/>
      <c r="DMQ28" s="915"/>
      <c r="DMR28" s="914"/>
      <c r="DMS28" s="914"/>
      <c r="DMT28" s="914"/>
      <c r="DMU28" s="914"/>
      <c r="DMV28" s="914"/>
      <c r="DMW28" s="914"/>
      <c r="DMX28" s="914"/>
      <c r="DMY28" s="911"/>
      <c r="DMZ28" s="911"/>
      <c r="DNA28" s="911"/>
      <c r="DNB28" s="915"/>
      <c r="DNC28" s="914"/>
      <c r="DND28" s="914"/>
      <c r="DNE28" s="914"/>
      <c r="DNF28" s="914"/>
      <c r="DNG28" s="914"/>
      <c r="DNH28" s="914"/>
      <c r="DNI28" s="914"/>
      <c r="DNJ28" s="911"/>
      <c r="DNK28" s="911"/>
      <c r="DNL28" s="911"/>
      <c r="DNM28" s="915"/>
      <c r="DNN28" s="914"/>
      <c r="DNO28" s="914"/>
      <c r="DNP28" s="914"/>
      <c r="DNQ28" s="914"/>
      <c r="DNR28" s="914"/>
      <c r="DNS28" s="914"/>
      <c r="DNT28" s="914"/>
      <c r="DNU28" s="911"/>
      <c r="DNV28" s="911"/>
      <c r="DNW28" s="911"/>
      <c r="DNX28" s="915"/>
      <c r="DNY28" s="914"/>
      <c r="DNZ28" s="914"/>
      <c r="DOA28" s="914"/>
      <c r="DOB28" s="914"/>
      <c r="DOC28" s="914"/>
      <c r="DOD28" s="914"/>
      <c r="DOE28" s="914"/>
      <c r="DOF28" s="911"/>
      <c r="DOG28" s="911"/>
      <c r="DOH28" s="911"/>
      <c r="DOI28" s="915"/>
      <c r="DOJ28" s="914"/>
      <c r="DOK28" s="914"/>
      <c r="DOL28" s="914"/>
      <c r="DOM28" s="914"/>
      <c r="DON28" s="914"/>
      <c r="DOO28" s="914"/>
      <c r="DOP28" s="914"/>
      <c r="DOQ28" s="911"/>
      <c r="DOR28" s="911"/>
      <c r="DOS28" s="911"/>
      <c r="DOT28" s="915"/>
      <c r="DOU28" s="914"/>
      <c r="DOV28" s="914"/>
      <c r="DOW28" s="914"/>
      <c r="DOX28" s="914"/>
      <c r="DOY28" s="914"/>
      <c r="DOZ28" s="914"/>
      <c r="DPA28" s="914"/>
      <c r="DPB28" s="911"/>
      <c r="DPC28" s="911"/>
      <c r="DPD28" s="911"/>
      <c r="DPE28" s="915"/>
      <c r="DPF28" s="914"/>
      <c r="DPG28" s="914"/>
      <c r="DPH28" s="914"/>
      <c r="DPI28" s="914"/>
      <c r="DPJ28" s="914"/>
      <c r="DPK28" s="914"/>
      <c r="DPL28" s="914"/>
      <c r="DPM28" s="911"/>
      <c r="DPN28" s="911"/>
      <c r="DPO28" s="911"/>
      <c r="DPP28" s="915"/>
      <c r="DPQ28" s="914"/>
      <c r="DPR28" s="914"/>
      <c r="DPS28" s="914"/>
      <c r="DPT28" s="914"/>
      <c r="DPU28" s="914"/>
      <c r="DPV28" s="914"/>
      <c r="DPW28" s="914"/>
      <c r="DPX28" s="911"/>
      <c r="DPY28" s="911"/>
      <c r="DPZ28" s="911"/>
      <c r="DQA28" s="915"/>
      <c r="DQB28" s="914"/>
      <c r="DQC28" s="914"/>
      <c r="DQD28" s="914"/>
      <c r="DQE28" s="914"/>
      <c r="DQF28" s="914"/>
      <c r="DQG28" s="914"/>
      <c r="DQH28" s="914"/>
      <c r="DQI28" s="911"/>
      <c r="DQJ28" s="911"/>
      <c r="DQK28" s="911"/>
      <c r="DQL28" s="915"/>
      <c r="DQM28" s="914"/>
      <c r="DQN28" s="914"/>
      <c r="DQO28" s="914"/>
      <c r="DQP28" s="914"/>
      <c r="DQQ28" s="914"/>
      <c r="DQR28" s="914"/>
      <c r="DQS28" s="914"/>
      <c r="DQT28" s="911"/>
      <c r="DQU28" s="911"/>
      <c r="DQV28" s="911"/>
      <c r="DQW28" s="915"/>
      <c r="DQX28" s="914"/>
      <c r="DQY28" s="914"/>
      <c r="DQZ28" s="914"/>
      <c r="DRA28" s="914"/>
      <c r="DRB28" s="914"/>
      <c r="DRC28" s="914"/>
      <c r="DRD28" s="914"/>
      <c r="DRE28" s="911"/>
      <c r="DRF28" s="911"/>
      <c r="DRG28" s="911"/>
      <c r="DRH28" s="915"/>
      <c r="DRI28" s="914"/>
      <c r="DRJ28" s="914"/>
      <c r="DRK28" s="914"/>
      <c r="DRL28" s="914"/>
      <c r="DRM28" s="914"/>
      <c r="DRN28" s="914"/>
      <c r="DRO28" s="914"/>
      <c r="DRP28" s="911"/>
      <c r="DRQ28" s="911"/>
      <c r="DRR28" s="911"/>
      <c r="DRS28" s="915"/>
      <c r="DRT28" s="914"/>
      <c r="DRU28" s="914"/>
      <c r="DRV28" s="914"/>
      <c r="DRW28" s="914"/>
      <c r="DRX28" s="914"/>
      <c r="DRY28" s="914"/>
      <c r="DRZ28" s="914"/>
      <c r="DSA28" s="911"/>
      <c r="DSB28" s="911"/>
      <c r="DSC28" s="911"/>
      <c r="DSD28" s="915"/>
      <c r="DSE28" s="914"/>
      <c r="DSF28" s="914"/>
      <c r="DSG28" s="914"/>
      <c r="DSH28" s="914"/>
      <c r="DSI28" s="914"/>
      <c r="DSJ28" s="914"/>
      <c r="DSK28" s="914"/>
      <c r="DSL28" s="911"/>
      <c r="DSM28" s="911"/>
      <c r="DSN28" s="911"/>
      <c r="DSO28" s="915"/>
      <c r="DSP28" s="914"/>
      <c r="DSQ28" s="914"/>
      <c r="DSR28" s="914"/>
      <c r="DSS28" s="914"/>
      <c r="DST28" s="914"/>
      <c r="DSU28" s="914"/>
      <c r="DSV28" s="914"/>
      <c r="DSW28" s="911"/>
      <c r="DSX28" s="911"/>
      <c r="DSY28" s="911"/>
      <c r="DSZ28" s="915"/>
      <c r="DTA28" s="914"/>
      <c r="DTB28" s="914"/>
      <c r="DTC28" s="914"/>
      <c r="DTD28" s="914"/>
      <c r="DTE28" s="914"/>
      <c r="DTF28" s="914"/>
      <c r="DTG28" s="914"/>
      <c r="DTH28" s="911"/>
      <c r="DTI28" s="911"/>
      <c r="DTJ28" s="911"/>
      <c r="DTK28" s="915"/>
      <c r="DTL28" s="914"/>
      <c r="DTM28" s="914"/>
      <c r="DTN28" s="914"/>
      <c r="DTO28" s="914"/>
      <c r="DTP28" s="914"/>
      <c r="DTQ28" s="914"/>
      <c r="DTR28" s="914"/>
      <c r="DTS28" s="911"/>
      <c r="DTT28" s="911"/>
      <c r="DTU28" s="911"/>
      <c r="DTV28" s="915"/>
      <c r="DTW28" s="914"/>
      <c r="DTX28" s="914"/>
      <c r="DTY28" s="914"/>
      <c r="DTZ28" s="914"/>
      <c r="DUA28" s="914"/>
      <c r="DUB28" s="914"/>
      <c r="DUC28" s="914"/>
      <c r="DUD28" s="911"/>
      <c r="DUE28" s="911"/>
      <c r="DUF28" s="911"/>
      <c r="DUG28" s="915"/>
      <c r="DUH28" s="914"/>
      <c r="DUI28" s="914"/>
      <c r="DUJ28" s="914"/>
      <c r="DUK28" s="914"/>
      <c r="DUL28" s="914"/>
      <c r="DUM28" s="914"/>
      <c r="DUN28" s="914"/>
      <c r="DUO28" s="911"/>
      <c r="DUP28" s="911"/>
      <c r="DUQ28" s="911"/>
      <c r="DUR28" s="915"/>
      <c r="DUS28" s="914"/>
      <c r="DUT28" s="914"/>
      <c r="DUU28" s="914"/>
      <c r="DUV28" s="914"/>
      <c r="DUW28" s="914"/>
      <c r="DUX28" s="914"/>
      <c r="DUY28" s="914"/>
      <c r="DUZ28" s="911"/>
      <c r="DVA28" s="911"/>
      <c r="DVB28" s="911"/>
      <c r="DVC28" s="915"/>
      <c r="DVD28" s="914"/>
      <c r="DVE28" s="914"/>
      <c r="DVF28" s="914"/>
      <c r="DVG28" s="914"/>
      <c r="DVH28" s="914"/>
      <c r="DVI28" s="914"/>
      <c r="DVJ28" s="914"/>
      <c r="DVK28" s="911"/>
      <c r="DVL28" s="911"/>
      <c r="DVM28" s="911"/>
      <c r="DVN28" s="915"/>
      <c r="DVO28" s="914"/>
      <c r="DVP28" s="914"/>
      <c r="DVQ28" s="914"/>
      <c r="DVR28" s="914"/>
      <c r="DVS28" s="914"/>
      <c r="DVT28" s="914"/>
      <c r="DVU28" s="914"/>
      <c r="DVV28" s="911"/>
      <c r="DVW28" s="911"/>
      <c r="DVX28" s="911"/>
      <c r="DVY28" s="915"/>
      <c r="DVZ28" s="914"/>
      <c r="DWA28" s="914"/>
      <c r="DWB28" s="914"/>
      <c r="DWC28" s="914"/>
      <c r="DWD28" s="914"/>
      <c r="DWE28" s="914"/>
      <c r="DWF28" s="914"/>
      <c r="DWG28" s="911"/>
      <c r="DWH28" s="911"/>
      <c r="DWI28" s="911"/>
      <c r="DWJ28" s="915"/>
      <c r="DWK28" s="914"/>
      <c r="DWL28" s="914"/>
      <c r="DWM28" s="914"/>
      <c r="DWN28" s="914"/>
      <c r="DWO28" s="914"/>
      <c r="DWP28" s="914"/>
      <c r="DWQ28" s="914"/>
      <c r="DWR28" s="911"/>
      <c r="DWS28" s="911"/>
      <c r="DWT28" s="911"/>
      <c r="DWU28" s="915"/>
      <c r="DWV28" s="914"/>
      <c r="DWW28" s="914"/>
      <c r="DWX28" s="914"/>
      <c r="DWY28" s="914"/>
      <c r="DWZ28" s="914"/>
      <c r="DXA28" s="914"/>
      <c r="DXB28" s="914"/>
      <c r="DXC28" s="911"/>
      <c r="DXD28" s="911"/>
      <c r="DXE28" s="911"/>
      <c r="DXF28" s="915"/>
      <c r="DXG28" s="914"/>
      <c r="DXH28" s="914"/>
      <c r="DXI28" s="914"/>
      <c r="DXJ28" s="914"/>
      <c r="DXK28" s="914"/>
      <c r="DXL28" s="914"/>
      <c r="DXM28" s="914"/>
      <c r="DXN28" s="911"/>
      <c r="DXO28" s="911"/>
      <c r="DXP28" s="911"/>
      <c r="DXQ28" s="915"/>
      <c r="DXR28" s="914"/>
      <c r="DXS28" s="914"/>
      <c r="DXT28" s="914"/>
      <c r="DXU28" s="914"/>
      <c r="DXV28" s="914"/>
      <c r="DXW28" s="914"/>
      <c r="DXX28" s="914"/>
      <c r="DXY28" s="911"/>
      <c r="DXZ28" s="911"/>
      <c r="DYA28" s="911"/>
      <c r="DYB28" s="915"/>
      <c r="DYC28" s="914"/>
      <c r="DYD28" s="914"/>
      <c r="DYE28" s="914"/>
      <c r="DYF28" s="914"/>
      <c r="DYG28" s="914"/>
      <c r="DYH28" s="914"/>
      <c r="DYI28" s="914"/>
      <c r="DYJ28" s="911"/>
      <c r="DYK28" s="911"/>
      <c r="DYL28" s="911"/>
      <c r="DYM28" s="915"/>
      <c r="DYN28" s="914"/>
      <c r="DYO28" s="914"/>
      <c r="DYP28" s="914"/>
      <c r="DYQ28" s="914"/>
      <c r="DYR28" s="914"/>
      <c r="DYS28" s="914"/>
      <c r="DYT28" s="914"/>
      <c r="DYU28" s="911"/>
      <c r="DYV28" s="911"/>
      <c r="DYW28" s="911"/>
      <c r="DYX28" s="915"/>
      <c r="DYY28" s="914"/>
      <c r="DYZ28" s="914"/>
      <c r="DZA28" s="914"/>
      <c r="DZB28" s="914"/>
      <c r="DZC28" s="914"/>
      <c r="DZD28" s="914"/>
      <c r="DZE28" s="914"/>
      <c r="DZF28" s="911"/>
      <c r="DZG28" s="911"/>
      <c r="DZH28" s="911"/>
      <c r="DZI28" s="915"/>
      <c r="DZJ28" s="914"/>
      <c r="DZK28" s="914"/>
      <c r="DZL28" s="914"/>
      <c r="DZM28" s="914"/>
      <c r="DZN28" s="914"/>
      <c r="DZO28" s="914"/>
      <c r="DZP28" s="914"/>
      <c r="DZQ28" s="911"/>
      <c r="DZR28" s="911"/>
      <c r="DZS28" s="911"/>
      <c r="DZT28" s="915"/>
      <c r="DZU28" s="914"/>
      <c r="DZV28" s="914"/>
      <c r="DZW28" s="914"/>
      <c r="DZX28" s="914"/>
      <c r="DZY28" s="914"/>
      <c r="DZZ28" s="914"/>
      <c r="EAA28" s="914"/>
      <c r="EAB28" s="911"/>
      <c r="EAC28" s="911"/>
      <c r="EAD28" s="911"/>
      <c r="EAE28" s="915"/>
      <c r="EAF28" s="914"/>
      <c r="EAG28" s="914"/>
      <c r="EAH28" s="914"/>
      <c r="EAI28" s="914"/>
      <c r="EAJ28" s="914"/>
      <c r="EAK28" s="914"/>
      <c r="EAL28" s="914"/>
      <c r="EAM28" s="911"/>
      <c r="EAN28" s="911"/>
      <c r="EAO28" s="911"/>
      <c r="EAP28" s="915"/>
      <c r="EAQ28" s="914"/>
      <c r="EAR28" s="914"/>
      <c r="EAS28" s="914"/>
      <c r="EAT28" s="914"/>
      <c r="EAU28" s="914"/>
      <c r="EAV28" s="914"/>
      <c r="EAW28" s="914"/>
      <c r="EAX28" s="911"/>
      <c r="EAY28" s="911"/>
      <c r="EAZ28" s="911"/>
      <c r="EBA28" s="915"/>
      <c r="EBB28" s="914"/>
      <c r="EBC28" s="914"/>
      <c r="EBD28" s="914"/>
      <c r="EBE28" s="914"/>
      <c r="EBF28" s="914"/>
      <c r="EBG28" s="914"/>
      <c r="EBH28" s="914"/>
      <c r="EBI28" s="911"/>
      <c r="EBJ28" s="911"/>
      <c r="EBK28" s="911"/>
      <c r="EBL28" s="915"/>
      <c r="EBM28" s="914"/>
      <c r="EBN28" s="914"/>
      <c r="EBO28" s="914"/>
      <c r="EBP28" s="914"/>
      <c r="EBQ28" s="914"/>
      <c r="EBR28" s="914"/>
      <c r="EBS28" s="914"/>
      <c r="EBT28" s="911"/>
      <c r="EBU28" s="911"/>
      <c r="EBV28" s="911"/>
      <c r="EBW28" s="915"/>
      <c r="EBX28" s="914"/>
      <c r="EBY28" s="914"/>
      <c r="EBZ28" s="914"/>
      <c r="ECA28" s="914"/>
      <c r="ECB28" s="914"/>
      <c r="ECC28" s="914"/>
      <c r="ECD28" s="914"/>
      <c r="ECE28" s="911"/>
      <c r="ECF28" s="911"/>
      <c r="ECG28" s="911"/>
      <c r="ECH28" s="915"/>
      <c r="ECI28" s="914"/>
      <c r="ECJ28" s="914"/>
      <c r="ECK28" s="914"/>
      <c r="ECL28" s="914"/>
      <c r="ECM28" s="914"/>
      <c r="ECN28" s="914"/>
      <c r="ECO28" s="914"/>
      <c r="ECP28" s="911"/>
      <c r="ECQ28" s="911"/>
      <c r="ECR28" s="911"/>
      <c r="ECS28" s="915"/>
      <c r="ECT28" s="914"/>
      <c r="ECU28" s="914"/>
      <c r="ECV28" s="914"/>
      <c r="ECW28" s="914"/>
      <c r="ECX28" s="914"/>
      <c r="ECY28" s="914"/>
      <c r="ECZ28" s="914"/>
      <c r="EDA28" s="911"/>
      <c r="EDB28" s="911"/>
      <c r="EDC28" s="911"/>
      <c r="EDD28" s="915"/>
      <c r="EDE28" s="914"/>
      <c r="EDF28" s="914"/>
      <c r="EDG28" s="914"/>
      <c r="EDH28" s="914"/>
      <c r="EDI28" s="914"/>
      <c r="EDJ28" s="914"/>
      <c r="EDK28" s="914"/>
      <c r="EDL28" s="911"/>
      <c r="EDM28" s="911"/>
      <c r="EDN28" s="911"/>
      <c r="EDO28" s="915"/>
      <c r="EDP28" s="914"/>
      <c r="EDQ28" s="914"/>
      <c r="EDR28" s="914"/>
      <c r="EDS28" s="914"/>
      <c r="EDT28" s="914"/>
      <c r="EDU28" s="914"/>
      <c r="EDV28" s="914"/>
      <c r="EDW28" s="911"/>
      <c r="EDX28" s="911"/>
      <c r="EDY28" s="911"/>
      <c r="EDZ28" s="915"/>
      <c r="EEA28" s="914"/>
      <c r="EEB28" s="914"/>
      <c r="EEC28" s="914"/>
      <c r="EED28" s="914"/>
      <c r="EEE28" s="914"/>
      <c r="EEF28" s="914"/>
      <c r="EEG28" s="914"/>
      <c r="EEH28" s="911"/>
      <c r="EEI28" s="911"/>
      <c r="EEJ28" s="911"/>
      <c r="EEK28" s="915"/>
      <c r="EEL28" s="914"/>
      <c r="EEM28" s="914"/>
      <c r="EEN28" s="914"/>
      <c r="EEO28" s="914"/>
      <c r="EEP28" s="914"/>
      <c r="EEQ28" s="914"/>
      <c r="EER28" s="914"/>
      <c r="EES28" s="911"/>
      <c r="EET28" s="911"/>
      <c r="EEU28" s="911"/>
      <c r="EEV28" s="915"/>
      <c r="EEW28" s="914"/>
      <c r="EEX28" s="914"/>
      <c r="EEY28" s="914"/>
      <c r="EEZ28" s="914"/>
      <c r="EFA28" s="914"/>
      <c r="EFB28" s="914"/>
      <c r="EFC28" s="914"/>
      <c r="EFD28" s="911"/>
      <c r="EFE28" s="911"/>
      <c r="EFF28" s="911"/>
      <c r="EFG28" s="915"/>
      <c r="EFH28" s="914"/>
      <c r="EFI28" s="914"/>
      <c r="EFJ28" s="914"/>
      <c r="EFK28" s="914"/>
      <c r="EFL28" s="914"/>
      <c r="EFM28" s="914"/>
      <c r="EFN28" s="914"/>
      <c r="EFO28" s="911"/>
      <c r="EFP28" s="911"/>
      <c r="EFQ28" s="911"/>
      <c r="EFR28" s="915"/>
      <c r="EFS28" s="914"/>
      <c r="EFT28" s="914"/>
      <c r="EFU28" s="914"/>
      <c r="EFV28" s="914"/>
      <c r="EFW28" s="914"/>
      <c r="EFX28" s="914"/>
      <c r="EFY28" s="914"/>
      <c r="EFZ28" s="911"/>
      <c r="EGA28" s="911"/>
      <c r="EGB28" s="911"/>
      <c r="EGC28" s="915"/>
      <c r="EGD28" s="914"/>
      <c r="EGE28" s="914"/>
      <c r="EGF28" s="914"/>
      <c r="EGG28" s="914"/>
      <c r="EGH28" s="914"/>
      <c r="EGI28" s="914"/>
      <c r="EGJ28" s="914"/>
      <c r="EGK28" s="911"/>
      <c r="EGL28" s="911"/>
      <c r="EGM28" s="911"/>
      <c r="EGN28" s="915"/>
      <c r="EGO28" s="914"/>
      <c r="EGP28" s="914"/>
      <c r="EGQ28" s="914"/>
      <c r="EGR28" s="914"/>
      <c r="EGS28" s="914"/>
      <c r="EGT28" s="914"/>
      <c r="EGU28" s="914"/>
      <c r="EGV28" s="911"/>
      <c r="EGW28" s="911"/>
      <c r="EGX28" s="911"/>
      <c r="EGY28" s="915"/>
      <c r="EGZ28" s="914"/>
      <c r="EHA28" s="914"/>
      <c r="EHB28" s="914"/>
      <c r="EHC28" s="914"/>
      <c r="EHD28" s="914"/>
      <c r="EHE28" s="914"/>
      <c r="EHF28" s="914"/>
      <c r="EHG28" s="911"/>
      <c r="EHH28" s="911"/>
      <c r="EHI28" s="911"/>
      <c r="EHJ28" s="915"/>
      <c r="EHK28" s="914"/>
      <c r="EHL28" s="914"/>
      <c r="EHM28" s="914"/>
      <c r="EHN28" s="914"/>
      <c r="EHO28" s="914"/>
      <c r="EHP28" s="914"/>
      <c r="EHQ28" s="914"/>
      <c r="EHR28" s="911"/>
      <c r="EHS28" s="911"/>
      <c r="EHT28" s="911"/>
      <c r="EHU28" s="915"/>
      <c r="EHV28" s="914"/>
      <c r="EHW28" s="914"/>
      <c r="EHX28" s="914"/>
      <c r="EHY28" s="914"/>
      <c r="EHZ28" s="914"/>
      <c r="EIA28" s="914"/>
      <c r="EIB28" s="914"/>
      <c r="EIC28" s="911"/>
      <c r="EID28" s="911"/>
      <c r="EIE28" s="911"/>
      <c r="EIF28" s="915"/>
      <c r="EIG28" s="914"/>
      <c r="EIH28" s="914"/>
      <c r="EII28" s="914"/>
      <c r="EIJ28" s="914"/>
      <c r="EIK28" s="914"/>
      <c r="EIL28" s="914"/>
      <c r="EIM28" s="914"/>
      <c r="EIN28" s="911"/>
      <c r="EIO28" s="911"/>
      <c r="EIP28" s="911"/>
      <c r="EIQ28" s="915"/>
      <c r="EIR28" s="914"/>
      <c r="EIS28" s="914"/>
      <c r="EIT28" s="914"/>
      <c r="EIU28" s="914"/>
      <c r="EIV28" s="914"/>
      <c r="EIW28" s="914"/>
      <c r="EIX28" s="914"/>
      <c r="EIY28" s="911"/>
      <c r="EIZ28" s="911"/>
      <c r="EJA28" s="911"/>
      <c r="EJB28" s="915"/>
      <c r="EJC28" s="914"/>
      <c r="EJD28" s="914"/>
      <c r="EJE28" s="914"/>
      <c r="EJF28" s="914"/>
      <c r="EJG28" s="914"/>
      <c r="EJH28" s="914"/>
      <c r="EJI28" s="914"/>
      <c r="EJJ28" s="911"/>
      <c r="EJK28" s="911"/>
      <c r="EJL28" s="911"/>
      <c r="EJM28" s="915"/>
      <c r="EJN28" s="914"/>
      <c r="EJO28" s="914"/>
      <c r="EJP28" s="914"/>
      <c r="EJQ28" s="914"/>
      <c r="EJR28" s="914"/>
      <c r="EJS28" s="914"/>
      <c r="EJT28" s="914"/>
      <c r="EJU28" s="911"/>
      <c r="EJV28" s="911"/>
      <c r="EJW28" s="911"/>
      <c r="EJX28" s="915"/>
      <c r="EJY28" s="914"/>
      <c r="EJZ28" s="914"/>
      <c r="EKA28" s="914"/>
      <c r="EKB28" s="914"/>
      <c r="EKC28" s="914"/>
      <c r="EKD28" s="914"/>
      <c r="EKE28" s="914"/>
      <c r="EKF28" s="911"/>
      <c r="EKG28" s="911"/>
      <c r="EKH28" s="911"/>
      <c r="EKI28" s="915"/>
      <c r="EKJ28" s="914"/>
      <c r="EKK28" s="914"/>
      <c r="EKL28" s="914"/>
      <c r="EKM28" s="914"/>
      <c r="EKN28" s="914"/>
      <c r="EKO28" s="914"/>
      <c r="EKP28" s="914"/>
      <c r="EKQ28" s="911"/>
      <c r="EKR28" s="911"/>
      <c r="EKS28" s="911"/>
      <c r="EKT28" s="915"/>
      <c r="EKU28" s="914"/>
      <c r="EKV28" s="914"/>
      <c r="EKW28" s="914"/>
      <c r="EKX28" s="914"/>
      <c r="EKY28" s="914"/>
      <c r="EKZ28" s="914"/>
      <c r="ELA28" s="914"/>
      <c r="ELB28" s="911"/>
      <c r="ELC28" s="911"/>
      <c r="ELD28" s="911"/>
      <c r="ELE28" s="915"/>
      <c r="ELF28" s="914"/>
      <c r="ELG28" s="914"/>
      <c r="ELH28" s="914"/>
      <c r="ELI28" s="914"/>
      <c r="ELJ28" s="914"/>
      <c r="ELK28" s="914"/>
      <c r="ELL28" s="914"/>
      <c r="ELM28" s="911"/>
      <c r="ELN28" s="911"/>
      <c r="ELO28" s="911"/>
      <c r="ELP28" s="915"/>
      <c r="ELQ28" s="914"/>
      <c r="ELR28" s="914"/>
      <c r="ELS28" s="914"/>
      <c r="ELT28" s="914"/>
      <c r="ELU28" s="914"/>
      <c r="ELV28" s="914"/>
      <c r="ELW28" s="914"/>
      <c r="ELX28" s="911"/>
      <c r="ELY28" s="911"/>
      <c r="ELZ28" s="911"/>
      <c r="EMA28" s="915"/>
      <c r="EMB28" s="914"/>
      <c r="EMC28" s="914"/>
      <c r="EMD28" s="914"/>
      <c r="EME28" s="914"/>
      <c r="EMF28" s="914"/>
      <c r="EMG28" s="914"/>
      <c r="EMH28" s="914"/>
      <c r="EMI28" s="911"/>
      <c r="EMJ28" s="911"/>
      <c r="EMK28" s="911"/>
      <c r="EML28" s="915"/>
      <c r="EMM28" s="914"/>
      <c r="EMN28" s="914"/>
      <c r="EMO28" s="914"/>
      <c r="EMP28" s="914"/>
      <c r="EMQ28" s="914"/>
      <c r="EMR28" s="914"/>
      <c r="EMS28" s="914"/>
      <c r="EMT28" s="911"/>
      <c r="EMU28" s="911"/>
      <c r="EMV28" s="911"/>
      <c r="EMW28" s="915"/>
      <c r="EMX28" s="914"/>
      <c r="EMY28" s="914"/>
      <c r="EMZ28" s="914"/>
      <c r="ENA28" s="914"/>
      <c r="ENB28" s="914"/>
      <c r="ENC28" s="914"/>
      <c r="END28" s="914"/>
      <c r="ENE28" s="911"/>
      <c r="ENF28" s="911"/>
      <c r="ENG28" s="911"/>
      <c r="ENH28" s="915"/>
      <c r="ENI28" s="914"/>
      <c r="ENJ28" s="914"/>
      <c r="ENK28" s="914"/>
      <c r="ENL28" s="914"/>
      <c r="ENM28" s="914"/>
      <c r="ENN28" s="914"/>
      <c r="ENO28" s="914"/>
      <c r="ENP28" s="911"/>
      <c r="ENQ28" s="911"/>
      <c r="ENR28" s="911"/>
      <c r="ENS28" s="915"/>
      <c r="ENT28" s="914"/>
      <c r="ENU28" s="914"/>
      <c r="ENV28" s="914"/>
      <c r="ENW28" s="914"/>
      <c r="ENX28" s="914"/>
      <c r="ENY28" s="914"/>
      <c r="ENZ28" s="914"/>
      <c r="EOA28" s="911"/>
      <c r="EOB28" s="911"/>
      <c r="EOC28" s="911"/>
      <c r="EOD28" s="915"/>
      <c r="EOE28" s="914"/>
      <c r="EOF28" s="914"/>
      <c r="EOG28" s="914"/>
      <c r="EOH28" s="914"/>
      <c r="EOI28" s="914"/>
      <c r="EOJ28" s="914"/>
      <c r="EOK28" s="914"/>
      <c r="EOL28" s="911"/>
      <c r="EOM28" s="911"/>
      <c r="EON28" s="911"/>
      <c r="EOO28" s="915"/>
      <c r="EOP28" s="914"/>
      <c r="EOQ28" s="914"/>
      <c r="EOR28" s="914"/>
      <c r="EOS28" s="914"/>
      <c r="EOT28" s="914"/>
      <c r="EOU28" s="914"/>
      <c r="EOV28" s="914"/>
      <c r="EOW28" s="911"/>
      <c r="EOX28" s="911"/>
      <c r="EOY28" s="911"/>
      <c r="EOZ28" s="915"/>
      <c r="EPA28" s="914"/>
      <c r="EPB28" s="914"/>
      <c r="EPC28" s="914"/>
      <c r="EPD28" s="914"/>
      <c r="EPE28" s="914"/>
      <c r="EPF28" s="914"/>
      <c r="EPG28" s="914"/>
      <c r="EPH28" s="911"/>
      <c r="EPI28" s="911"/>
      <c r="EPJ28" s="911"/>
      <c r="EPK28" s="915"/>
      <c r="EPL28" s="914"/>
      <c r="EPM28" s="914"/>
      <c r="EPN28" s="914"/>
      <c r="EPO28" s="914"/>
      <c r="EPP28" s="914"/>
      <c r="EPQ28" s="914"/>
      <c r="EPR28" s="914"/>
      <c r="EPS28" s="911"/>
      <c r="EPT28" s="911"/>
      <c r="EPU28" s="911"/>
      <c r="EPV28" s="915"/>
      <c r="EPW28" s="914"/>
      <c r="EPX28" s="914"/>
      <c r="EPY28" s="914"/>
      <c r="EPZ28" s="914"/>
      <c r="EQA28" s="914"/>
      <c r="EQB28" s="914"/>
      <c r="EQC28" s="914"/>
      <c r="EQD28" s="911"/>
      <c r="EQE28" s="911"/>
      <c r="EQF28" s="911"/>
      <c r="EQG28" s="915"/>
      <c r="EQH28" s="914"/>
      <c r="EQI28" s="914"/>
      <c r="EQJ28" s="914"/>
      <c r="EQK28" s="914"/>
      <c r="EQL28" s="914"/>
      <c r="EQM28" s="914"/>
      <c r="EQN28" s="914"/>
      <c r="EQO28" s="911"/>
      <c r="EQP28" s="911"/>
      <c r="EQQ28" s="911"/>
      <c r="EQR28" s="915"/>
      <c r="EQS28" s="914"/>
      <c r="EQT28" s="914"/>
      <c r="EQU28" s="914"/>
      <c r="EQV28" s="914"/>
      <c r="EQW28" s="914"/>
      <c r="EQX28" s="914"/>
      <c r="EQY28" s="914"/>
      <c r="EQZ28" s="911"/>
      <c r="ERA28" s="911"/>
      <c r="ERB28" s="911"/>
      <c r="ERC28" s="915"/>
      <c r="ERD28" s="914"/>
      <c r="ERE28" s="914"/>
      <c r="ERF28" s="914"/>
      <c r="ERG28" s="914"/>
      <c r="ERH28" s="914"/>
      <c r="ERI28" s="914"/>
      <c r="ERJ28" s="914"/>
      <c r="ERK28" s="911"/>
      <c r="ERL28" s="911"/>
      <c r="ERM28" s="911"/>
      <c r="ERN28" s="915"/>
      <c r="ERO28" s="914"/>
      <c r="ERP28" s="914"/>
      <c r="ERQ28" s="914"/>
      <c r="ERR28" s="914"/>
      <c r="ERS28" s="914"/>
      <c r="ERT28" s="914"/>
      <c r="ERU28" s="914"/>
      <c r="ERV28" s="911"/>
      <c r="ERW28" s="911"/>
      <c r="ERX28" s="911"/>
      <c r="ERY28" s="915"/>
      <c r="ERZ28" s="914"/>
      <c r="ESA28" s="914"/>
      <c r="ESB28" s="914"/>
      <c r="ESC28" s="914"/>
      <c r="ESD28" s="914"/>
      <c r="ESE28" s="914"/>
      <c r="ESF28" s="914"/>
      <c r="ESG28" s="911"/>
      <c r="ESH28" s="911"/>
      <c r="ESI28" s="911"/>
      <c r="ESJ28" s="915"/>
      <c r="ESK28" s="914"/>
      <c r="ESL28" s="914"/>
      <c r="ESM28" s="914"/>
      <c r="ESN28" s="914"/>
      <c r="ESO28" s="914"/>
      <c r="ESP28" s="914"/>
      <c r="ESQ28" s="914"/>
      <c r="ESR28" s="911"/>
      <c r="ESS28" s="911"/>
      <c r="EST28" s="911"/>
      <c r="ESU28" s="915"/>
      <c r="ESV28" s="914"/>
      <c r="ESW28" s="914"/>
      <c r="ESX28" s="914"/>
      <c r="ESY28" s="914"/>
      <c r="ESZ28" s="914"/>
      <c r="ETA28" s="914"/>
      <c r="ETB28" s="914"/>
      <c r="ETC28" s="911"/>
      <c r="ETD28" s="911"/>
      <c r="ETE28" s="911"/>
      <c r="ETF28" s="915"/>
      <c r="ETG28" s="914"/>
      <c r="ETH28" s="914"/>
      <c r="ETI28" s="914"/>
      <c r="ETJ28" s="914"/>
      <c r="ETK28" s="914"/>
      <c r="ETL28" s="914"/>
      <c r="ETM28" s="914"/>
      <c r="ETN28" s="911"/>
      <c r="ETO28" s="911"/>
      <c r="ETP28" s="911"/>
      <c r="ETQ28" s="915"/>
      <c r="ETR28" s="914"/>
      <c r="ETS28" s="914"/>
      <c r="ETT28" s="914"/>
      <c r="ETU28" s="914"/>
      <c r="ETV28" s="914"/>
      <c r="ETW28" s="914"/>
      <c r="ETX28" s="914"/>
      <c r="ETY28" s="911"/>
      <c r="ETZ28" s="911"/>
      <c r="EUA28" s="911"/>
      <c r="EUB28" s="915"/>
      <c r="EUC28" s="914"/>
      <c r="EUD28" s="914"/>
      <c r="EUE28" s="914"/>
      <c r="EUF28" s="914"/>
      <c r="EUG28" s="914"/>
      <c r="EUH28" s="914"/>
      <c r="EUI28" s="914"/>
      <c r="EUJ28" s="911"/>
      <c r="EUK28" s="911"/>
      <c r="EUL28" s="911"/>
      <c r="EUM28" s="915"/>
      <c r="EUN28" s="914"/>
      <c r="EUO28" s="914"/>
      <c r="EUP28" s="914"/>
      <c r="EUQ28" s="914"/>
      <c r="EUR28" s="914"/>
      <c r="EUS28" s="914"/>
      <c r="EUT28" s="914"/>
      <c r="EUU28" s="911"/>
      <c r="EUV28" s="911"/>
      <c r="EUW28" s="911"/>
      <c r="EUX28" s="915"/>
      <c r="EUY28" s="914"/>
      <c r="EUZ28" s="914"/>
      <c r="EVA28" s="914"/>
      <c r="EVB28" s="914"/>
      <c r="EVC28" s="914"/>
      <c r="EVD28" s="914"/>
      <c r="EVE28" s="914"/>
      <c r="EVF28" s="911"/>
      <c r="EVG28" s="911"/>
      <c r="EVH28" s="911"/>
      <c r="EVI28" s="915"/>
      <c r="EVJ28" s="914"/>
      <c r="EVK28" s="914"/>
      <c r="EVL28" s="914"/>
      <c r="EVM28" s="914"/>
      <c r="EVN28" s="914"/>
      <c r="EVO28" s="914"/>
      <c r="EVP28" s="914"/>
      <c r="EVQ28" s="911"/>
      <c r="EVR28" s="911"/>
      <c r="EVS28" s="911"/>
      <c r="EVT28" s="915"/>
      <c r="EVU28" s="914"/>
      <c r="EVV28" s="914"/>
      <c r="EVW28" s="914"/>
      <c r="EVX28" s="914"/>
      <c r="EVY28" s="914"/>
      <c r="EVZ28" s="914"/>
      <c r="EWA28" s="914"/>
      <c r="EWB28" s="911"/>
      <c r="EWC28" s="911"/>
      <c r="EWD28" s="911"/>
      <c r="EWE28" s="915"/>
      <c r="EWF28" s="914"/>
      <c r="EWG28" s="914"/>
      <c r="EWH28" s="914"/>
      <c r="EWI28" s="914"/>
      <c r="EWJ28" s="914"/>
      <c r="EWK28" s="914"/>
      <c r="EWL28" s="914"/>
      <c r="EWM28" s="911"/>
      <c r="EWN28" s="911"/>
      <c r="EWO28" s="911"/>
      <c r="EWP28" s="915"/>
      <c r="EWQ28" s="914"/>
      <c r="EWR28" s="914"/>
      <c r="EWS28" s="914"/>
      <c r="EWT28" s="914"/>
      <c r="EWU28" s="914"/>
      <c r="EWV28" s="914"/>
      <c r="EWW28" s="914"/>
      <c r="EWX28" s="911"/>
      <c r="EWY28" s="911"/>
      <c r="EWZ28" s="911"/>
      <c r="EXA28" s="915"/>
      <c r="EXB28" s="914"/>
      <c r="EXC28" s="914"/>
      <c r="EXD28" s="914"/>
      <c r="EXE28" s="914"/>
      <c r="EXF28" s="914"/>
      <c r="EXG28" s="914"/>
      <c r="EXH28" s="914"/>
      <c r="EXI28" s="911"/>
      <c r="EXJ28" s="911"/>
      <c r="EXK28" s="911"/>
      <c r="EXL28" s="915"/>
      <c r="EXM28" s="914"/>
      <c r="EXN28" s="914"/>
      <c r="EXO28" s="914"/>
      <c r="EXP28" s="914"/>
      <c r="EXQ28" s="914"/>
      <c r="EXR28" s="914"/>
      <c r="EXS28" s="914"/>
      <c r="EXT28" s="911"/>
      <c r="EXU28" s="911"/>
      <c r="EXV28" s="911"/>
      <c r="EXW28" s="915"/>
      <c r="EXX28" s="914"/>
      <c r="EXY28" s="914"/>
      <c r="EXZ28" s="914"/>
      <c r="EYA28" s="914"/>
      <c r="EYB28" s="914"/>
      <c r="EYC28" s="914"/>
      <c r="EYD28" s="914"/>
      <c r="EYE28" s="911"/>
      <c r="EYF28" s="911"/>
      <c r="EYG28" s="911"/>
      <c r="EYH28" s="915"/>
      <c r="EYI28" s="914"/>
      <c r="EYJ28" s="914"/>
      <c r="EYK28" s="914"/>
      <c r="EYL28" s="914"/>
      <c r="EYM28" s="914"/>
      <c r="EYN28" s="914"/>
      <c r="EYO28" s="914"/>
      <c r="EYP28" s="911"/>
      <c r="EYQ28" s="911"/>
      <c r="EYR28" s="911"/>
      <c r="EYS28" s="915"/>
      <c r="EYT28" s="914"/>
      <c r="EYU28" s="914"/>
      <c r="EYV28" s="914"/>
      <c r="EYW28" s="914"/>
      <c r="EYX28" s="914"/>
      <c r="EYY28" s="914"/>
      <c r="EYZ28" s="914"/>
      <c r="EZA28" s="911"/>
      <c r="EZB28" s="911"/>
      <c r="EZC28" s="911"/>
      <c r="EZD28" s="915"/>
      <c r="EZE28" s="914"/>
      <c r="EZF28" s="914"/>
      <c r="EZG28" s="914"/>
      <c r="EZH28" s="914"/>
      <c r="EZI28" s="914"/>
      <c r="EZJ28" s="914"/>
      <c r="EZK28" s="914"/>
      <c r="EZL28" s="911"/>
      <c r="EZM28" s="911"/>
      <c r="EZN28" s="911"/>
      <c r="EZO28" s="915"/>
      <c r="EZP28" s="914"/>
      <c r="EZQ28" s="914"/>
      <c r="EZR28" s="914"/>
      <c r="EZS28" s="914"/>
      <c r="EZT28" s="914"/>
      <c r="EZU28" s="914"/>
      <c r="EZV28" s="914"/>
      <c r="EZW28" s="911"/>
      <c r="EZX28" s="911"/>
      <c r="EZY28" s="911"/>
      <c r="EZZ28" s="915"/>
      <c r="FAA28" s="914"/>
      <c r="FAB28" s="914"/>
      <c r="FAC28" s="914"/>
      <c r="FAD28" s="914"/>
      <c r="FAE28" s="914"/>
      <c r="FAF28" s="914"/>
      <c r="FAG28" s="914"/>
      <c r="FAH28" s="911"/>
      <c r="FAI28" s="911"/>
      <c r="FAJ28" s="911"/>
      <c r="FAK28" s="915"/>
      <c r="FAL28" s="914"/>
      <c r="FAM28" s="914"/>
      <c r="FAN28" s="914"/>
      <c r="FAO28" s="914"/>
      <c r="FAP28" s="914"/>
      <c r="FAQ28" s="914"/>
      <c r="FAR28" s="914"/>
      <c r="FAS28" s="911"/>
      <c r="FAT28" s="911"/>
      <c r="FAU28" s="911"/>
      <c r="FAV28" s="915"/>
      <c r="FAW28" s="914"/>
      <c r="FAX28" s="914"/>
      <c r="FAY28" s="914"/>
      <c r="FAZ28" s="914"/>
      <c r="FBA28" s="914"/>
      <c r="FBB28" s="914"/>
      <c r="FBC28" s="914"/>
      <c r="FBD28" s="911"/>
      <c r="FBE28" s="911"/>
      <c r="FBF28" s="911"/>
      <c r="FBG28" s="915"/>
      <c r="FBH28" s="914"/>
      <c r="FBI28" s="914"/>
      <c r="FBJ28" s="914"/>
      <c r="FBK28" s="914"/>
      <c r="FBL28" s="914"/>
      <c r="FBM28" s="914"/>
      <c r="FBN28" s="914"/>
      <c r="FBO28" s="911"/>
      <c r="FBP28" s="911"/>
      <c r="FBQ28" s="911"/>
      <c r="FBR28" s="915"/>
      <c r="FBS28" s="914"/>
      <c r="FBT28" s="914"/>
      <c r="FBU28" s="914"/>
      <c r="FBV28" s="914"/>
      <c r="FBW28" s="914"/>
      <c r="FBX28" s="914"/>
      <c r="FBY28" s="914"/>
      <c r="FBZ28" s="911"/>
      <c r="FCA28" s="911"/>
      <c r="FCB28" s="911"/>
      <c r="FCC28" s="915"/>
      <c r="FCD28" s="914"/>
      <c r="FCE28" s="914"/>
      <c r="FCF28" s="914"/>
      <c r="FCG28" s="914"/>
      <c r="FCH28" s="914"/>
      <c r="FCI28" s="914"/>
      <c r="FCJ28" s="914"/>
      <c r="FCK28" s="911"/>
      <c r="FCL28" s="911"/>
      <c r="FCM28" s="911"/>
      <c r="FCN28" s="915"/>
      <c r="FCO28" s="914"/>
      <c r="FCP28" s="914"/>
      <c r="FCQ28" s="914"/>
      <c r="FCR28" s="914"/>
      <c r="FCS28" s="914"/>
      <c r="FCT28" s="914"/>
      <c r="FCU28" s="914"/>
      <c r="FCV28" s="911"/>
      <c r="FCW28" s="911"/>
      <c r="FCX28" s="911"/>
      <c r="FCY28" s="915"/>
      <c r="FCZ28" s="914"/>
      <c r="FDA28" s="914"/>
      <c r="FDB28" s="914"/>
      <c r="FDC28" s="914"/>
      <c r="FDD28" s="914"/>
      <c r="FDE28" s="914"/>
      <c r="FDF28" s="914"/>
      <c r="FDG28" s="911"/>
      <c r="FDH28" s="911"/>
      <c r="FDI28" s="911"/>
      <c r="FDJ28" s="915"/>
      <c r="FDK28" s="914"/>
      <c r="FDL28" s="914"/>
      <c r="FDM28" s="914"/>
      <c r="FDN28" s="914"/>
      <c r="FDO28" s="914"/>
      <c r="FDP28" s="914"/>
      <c r="FDQ28" s="914"/>
      <c r="FDR28" s="911"/>
      <c r="FDS28" s="911"/>
      <c r="FDT28" s="911"/>
      <c r="FDU28" s="915"/>
      <c r="FDV28" s="914"/>
      <c r="FDW28" s="914"/>
      <c r="FDX28" s="914"/>
      <c r="FDY28" s="914"/>
      <c r="FDZ28" s="914"/>
      <c r="FEA28" s="914"/>
      <c r="FEB28" s="914"/>
      <c r="FEC28" s="911"/>
      <c r="FED28" s="911"/>
      <c r="FEE28" s="911"/>
      <c r="FEF28" s="915"/>
      <c r="FEG28" s="914"/>
      <c r="FEH28" s="914"/>
      <c r="FEI28" s="914"/>
      <c r="FEJ28" s="914"/>
      <c r="FEK28" s="914"/>
      <c r="FEL28" s="914"/>
      <c r="FEM28" s="914"/>
      <c r="FEN28" s="911"/>
      <c r="FEO28" s="911"/>
      <c r="FEP28" s="911"/>
      <c r="FEQ28" s="915"/>
      <c r="FER28" s="914"/>
      <c r="FES28" s="914"/>
      <c r="FET28" s="914"/>
      <c r="FEU28" s="914"/>
      <c r="FEV28" s="914"/>
      <c r="FEW28" s="914"/>
      <c r="FEX28" s="914"/>
      <c r="FEY28" s="911"/>
      <c r="FEZ28" s="911"/>
      <c r="FFA28" s="911"/>
      <c r="FFB28" s="915"/>
      <c r="FFC28" s="914"/>
      <c r="FFD28" s="914"/>
      <c r="FFE28" s="914"/>
      <c r="FFF28" s="914"/>
      <c r="FFG28" s="914"/>
      <c r="FFH28" s="914"/>
      <c r="FFI28" s="914"/>
      <c r="FFJ28" s="911"/>
      <c r="FFK28" s="911"/>
      <c r="FFL28" s="911"/>
      <c r="FFM28" s="915"/>
      <c r="FFN28" s="914"/>
      <c r="FFO28" s="914"/>
      <c r="FFP28" s="914"/>
      <c r="FFQ28" s="914"/>
      <c r="FFR28" s="914"/>
      <c r="FFS28" s="914"/>
      <c r="FFT28" s="914"/>
      <c r="FFU28" s="911"/>
      <c r="FFV28" s="911"/>
      <c r="FFW28" s="911"/>
      <c r="FFX28" s="915"/>
      <c r="FFY28" s="914"/>
      <c r="FFZ28" s="914"/>
      <c r="FGA28" s="914"/>
      <c r="FGB28" s="914"/>
      <c r="FGC28" s="914"/>
      <c r="FGD28" s="914"/>
      <c r="FGE28" s="914"/>
      <c r="FGF28" s="911"/>
      <c r="FGG28" s="911"/>
      <c r="FGH28" s="911"/>
      <c r="FGI28" s="915"/>
      <c r="FGJ28" s="914"/>
      <c r="FGK28" s="914"/>
      <c r="FGL28" s="914"/>
      <c r="FGM28" s="914"/>
      <c r="FGN28" s="914"/>
      <c r="FGO28" s="914"/>
      <c r="FGP28" s="914"/>
      <c r="FGQ28" s="911"/>
      <c r="FGR28" s="911"/>
      <c r="FGS28" s="911"/>
      <c r="FGT28" s="915"/>
      <c r="FGU28" s="914"/>
      <c r="FGV28" s="914"/>
      <c r="FGW28" s="914"/>
      <c r="FGX28" s="914"/>
      <c r="FGY28" s="914"/>
      <c r="FGZ28" s="914"/>
      <c r="FHA28" s="914"/>
      <c r="FHB28" s="911"/>
      <c r="FHC28" s="911"/>
      <c r="FHD28" s="911"/>
      <c r="FHE28" s="915"/>
      <c r="FHF28" s="914"/>
      <c r="FHG28" s="914"/>
      <c r="FHH28" s="914"/>
      <c r="FHI28" s="914"/>
      <c r="FHJ28" s="914"/>
      <c r="FHK28" s="914"/>
      <c r="FHL28" s="914"/>
      <c r="FHM28" s="911"/>
      <c r="FHN28" s="911"/>
      <c r="FHO28" s="911"/>
      <c r="FHP28" s="915"/>
      <c r="FHQ28" s="914"/>
      <c r="FHR28" s="914"/>
      <c r="FHS28" s="914"/>
      <c r="FHT28" s="914"/>
      <c r="FHU28" s="914"/>
      <c r="FHV28" s="914"/>
      <c r="FHW28" s="914"/>
      <c r="FHX28" s="911"/>
      <c r="FHY28" s="911"/>
      <c r="FHZ28" s="911"/>
      <c r="FIA28" s="915"/>
      <c r="FIB28" s="914"/>
      <c r="FIC28" s="914"/>
      <c r="FID28" s="914"/>
      <c r="FIE28" s="914"/>
      <c r="FIF28" s="914"/>
      <c r="FIG28" s="914"/>
      <c r="FIH28" s="914"/>
      <c r="FII28" s="911"/>
      <c r="FIJ28" s="911"/>
      <c r="FIK28" s="911"/>
      <c r="FIL28" s="915"/>
      <c r="FIM28" s="914"/>
      <c r="FIN28" s="914"/>
      <c r="FIO28" s="914"/>
      <c r="FIP28" s="914"/>
      <c r="FIQ28" s="914"/>
      <c r="FIR28" s="914"/>
      <c r="FIS28" s="914"/>
      <c r="FIT28" s="911"/>
      <c r="FIU28" s="911"/>
      <c r="FIV28" s="911"/>
      <c r="FIW28" s="915"/>
      <c r="FIX28" s="914"/>
      <c r="FIY28" s="914"/>
      <c r="FIZ28" s="914"/>
      <c r="FJA28" s="914"/>
      <c r="FJB28" s="914"/>
      <c r="FJC28" s="914"/>
      <c r="FJD28" s="914"/>
      <c r="FJE28" s="911"/>
      <c r="FJF28" s="911"/>
      <c r="FJG28" s="911"/>
      <c r="FJH28" s="915"/>
      <c r="FJI28" s="914"/>
      <c r="FJJ28" s="914"/>
      <c r="FJK28" s="914"/>
      <c r="FJL28" s="914"/>
      <c r="FJM28" s="914"/>
      <c r="FJN28" s="914"/>
      <c r="FJO28" s="914"/>
      <c r="FJP28" s="911"/>
      <c r="FJQ28" s="911"/>
      <c r="FJR28" s="911"/>
      <c r="FJS28" s="915"/>
      <c r="FJT28" s="914"/>
      <c r="FJU28" s="914"/>
      <c r="FJV28" s="914"/>
      <c r="FJW28" s="914"/>
      <c r="FJX28" s="914"/>
      <c r="FJY28" s="914"/>
      <c r="FJZ28" s="914"/>
      <c r="FKA28" s="911"/>
      <c r="FKB28" s="911"/>
      <c r="FKC28" s="911"/>
      <c r="FKD28" s="915"/>
      <c r="FKE28" s="914"/>
      <c r="FKF28" s="914"/>
      <c r="FKG28" s="914"/>
      <c r="FKH28" s="914"/>
      <c r="FKI28" s="914"/>
      <c r="FKJ28" s="914"/>
      <c r="FKK28" s="914"/>
      <c r="FKL28" s="911"/>
      <c r="FKM28" s="911"/>
      <c r="FKN28" s="911"/>
      <c r="FKO28" s="915"/>
      <c r="FKP28" s="914"/>
      <c r="FKQ28" s="914"/>
      <c r="FKR28" s="914"/>
      <c r="FKS28" s="914"/>
      <c r="FKT28" s="914"/>
      <c r="FKU28" s="914"/>
      <c r="FKV28" s="914"/>
      <c r="FKW28" s="911"/>
      <c r="FKX28" s="911"/>
      <c r="FKY28" s="911"/>
      <c r="FKZ28" s="915"/>
      <c r="FLA28" s="914"/>
      <c r="FLB28" s="914"/>
      <c r="FLC28" s="914"/>
      <c r="FLD28" s="914"/>
      <c r="FLE28" s="914"/>
      <c r="FLF28" s="914"/>
      <c r="FLG28" s="914"/>
      <c r="FLH28" s="911"/>
      <c r="FLI28" s="911"/>
      <c r="FLJ28" s="911"/>
      <c r="FLK28" s="915"/>
      <c r="FLL28" s="914"/>
      <c r="FLM28" s="914"/>
      <c r="FLN28" s="914"/>
      <c r="FLO28" s="914"/>
      <c r="FLP28" s="914"/>
      <c r="FLQ28" s="914"/>
      <c r="FLR28" s="914"/>
      <c r="FLS28" s="911"/>
      <c r="FLT28" s="911"/>
      <c r="FLU28" s="911"/>
      <c r="FLV28" s="915"/>
      <c r="FLW28" s="914"/>
      <c r="FLX28" s="914"/>
      <c r="FLY28" s="914"/>
      <c r="FLZ28" s="914"/>
      <c r="FMA28" s="914"/>
      <c r="FMB28" s="914"/>
      <c r="FMC28" s="914"/>
      <c r="FMD28" s="911"/>
      <c r="FME28" s="911"/>
      <c r="FMF28" s="911"/>
      <c r="FMG28" s="915"/>
      <c r="FMH28" s="914"/>
      <c r="FMI28" s="914"/>
      <c r="FMJ28" s="914"/>
      <c r="FMK28" s="914"/>
      <c r="FML28" s="914"/>
      <c r="FMM28" s="914"/>
      <c r="FMN28" s="914"/>
      <c r="FMO28" s="911"/>
      <c r="FMP28" s="911"/>
      <c r="FMQ28" s="911"/>
      <c r="FMR28" s="915"/>
      <c r="FMS28" s="914"/>
      <c r="FMT28" s="914"/>
      <c r="FMU28" s="914"/>
      <c r="FMV28" s="914"/>
      <c r="FMW28" s="914"/>
      <c r="FMX28" s="914"/>
      <c r="FMY28" s="914"/>
      <c r="FMZ28" s="911"/>
      <c r="FNA28" s="911"/>
      <c r="FNB28" s="911"/>
      <c r="FNC28" s="915"/>
      <c r="FND28" s="914"/>
      <c r="FNE28" s="914"/>
      <c r="FNF28" s="914"/>
      <c r="FNG28" s="914"/>
      <c r="FNH28" s="914"/>
      <c r="FNI28" s="914"/>
      <c r="FNJ28" s="914"/>
      <c r="FNK28" s="911"/>
      <c r="FNL28" s="911"/>
      <c r="FNM28" s="911"/>
      <c r="FNN28" s="915"/>
      <c r="FNO28" s="914"/>
      <c r="FNP28" s="914"/>
      <c r="FNQ28" s="914"/>
      <c r="FNR28" s="914"/>
      <c r="FNS28" s="914"/>
      <c r="FNT28" s="914"/>
      <c r="FNU28" s="914"/>
      <c r="FNV28" s="911"/>
      <c r="FNW28" s="911"/>
      <c r="FNX28" s="911"/>
      <c r="FNY28" s="915"/>
      <c r="FNZ28" s="914"/>
      <c r="FOA28" s="914"/>
      <c r="FOB28" s="914"/>
      <c r="FOC28" s="914"/>
      <c r="FOD28" s="914"/>
      <c r="FOE28" s="914"/>
      <c r="FOF28" s="914"/>
      <c r="FOG28" s="911"/>
      <c r="FOH28" s="911"/>
      <c r="FOI28" s="911"/>
      <c r="FOJ28" s="915"/>
      <c r="FOK28" s="914"/>
      <c r="FOL28" s="914"/>
      <c r="FOM28" s="914"/>
      <c r="FON28" s="914"/>
      <c r="FOO28" s="914"/>
      <c r="FOP28" s="914"/>
      <c r="FOQ28" s="914"/>
      <c r="FOR28" s="911"/>
      <c r="FOS28" s="911"/>
      <c r="FOT28" s="911"/>
      <c r="FOU28" s="915"/>
      <c r="FOV28" s="914"/>
      <c r="FOW28" s="914"/>
      <c r="FOX28" s="914"/>
      <c r="FOY28" s="914"/>
      <c r="FOZ28" s="914"/>
      <c r="FPA28" s="914"/>
      <c r="FPB28" s="914"/>
      <c r="FPC28" s="911"/>
      <c r="FPD28" s="911"/>
      <c r="FPE28" s="911"/>
      <c r="FPF28" s="915"/>
      <c r="FPG28" s="914"/>
      <c r="FPH28" s="914"/>
      <c r="FPI28" s="914"/>
      <c r="FPJ28" s="914"/>
      <c r="FPK28" s="914"/>
      <c r="FPL28" s="914"/>
      <c r="FPM28" s="914"/>
      <c r="FPN28" s="911"/>
      <c r="FPO28" s="911"/>
      <c r="FPP28" s="911"/>
      <c r="FPQ28" s="915"/>
      <c r="FPR28" s="914"/>
      <c r="FPS28" s="914"/>
      <c r="FPT28" s="914"/>
      <c r="FPU28" s="914"/>
      <c r="FPV28" s="914"/>
      <c r="FPW28" s="914"/>
      <c r="FPX28" s="914"/>
      <c r="FPY28" s="911"/>
      <c r="FPZ28" s="911"/>
      <c r="FQA28" s="911"/>
      <c r="FQB28" s="915"/>
      <c r="FQC28" s="914"/>
      <c r="FQD28" s="914"/>
      <c r="FQE28" s="914"/>
      <c r="FQF28" s="914"/>
      <c r="FQG28" s="914"/>
      <c r="FQH28" s="914"/>
      <c r="FQI28" s="914"/>
      <c r="FQJ28" s="911"/>
      <c r="FQK28" s="911"/>
      <c r="FQL28" s="911"/>
      <c r="FQM28" s="915"/>
      <c r="FQN28" s="914"/>
      <c r="FQO28" s="914"/>
      <c r="FQP28" s="914"/>
      <c r="FQQ28" s="914"/>
      <c r="FQR28" s="914"/>
      <c r="FQS28" s="914"/>
      <c r="FQT28" s="914"/>
      <c r="FQU28" s="911"/>
      <c r="FQV28" s="911"/>
      <c r="FQW28" s="911"/>
      <c r="FQX28" s="915"/>
      <c r="FQY28" s="914"/>
      <c r="FQZ28" s="914"/>
      <c r="FRA28" s="914"/>
      <c r="FRB28" s="914"/>
      <c r="FRC28" s="914"/>
      <c r="FRD28" s="914"/>
      <c r="FRE28" s="914"/>
      <c r="FRF28" s="911"/>
      <c r="FRG28" s="911"/>
      <c r="FRH28" s="911"/>
      <c r="FRI28" s="915"/>
      <c r="FRJ28" s="914"/>
      <c r="FRK28" s="914"/>
      <c r="FRL28" s="914"/>
      <c r="FRM28" s="914"/>
      <c r="FRN28" s="914"/>
      <c r="FRO28" s="914"/>
      <c r="FRP28" s="914"/>
      <c r="FRQ28" s="911"/>
      <c r="FRR28" s="911"/>
      <c r="FRS28" s="911"/>
      <c r="FRT28" s="915"/>
      <c r="FRU28" s="914"/>
      <c r="FRV28" s="914"/>
      <c r="FRW28" s="914"/>
      <c r="FRX28" s="914"/>
      <c r="FRY28" s="914"/>
      <c r="FRZ28" s="914"/>
      <c r="FSA28" s="914"/>
      <c r="FSB28" s="911"/>
      <c r="FSC28" s="911"/>
      <c r="FSD28" s="911"/>
      <c r="FSE28" s="915"/>
      <c r="FSF28" s="914"/>
      <c r="FSG28" s="914"/>
      <c r="FSH28" s="914"/>
      <c r="FSI28" s="914"/>
      <c r="FSJ28" s="914"/>
      <c r="FSK28" s="914"/>
      <c r="FSL28" s="914"/>
      <c r="FSM28" s="911"/>
      <c r="FSN28" s="911"/>
      <c r="FSO28" s="911"/>
      <c r="FSP28" s="915"/>
      <c r="FSQ28" s="914"/>
      <c r="FSR28" s="914"/>
      <c r="FSS28" s="914"/>
      <c r="FST28" s="914"/>
      <c r="FSU28" s="914"/>
      <c r="FSV28" s="914"/>
      <c r="FSW28" s="914"/>
      <c r="FSX28" s="911"/>
      <c r="FSY28" s="911"/>
      <c r="FSZ28" s="911"/>
      <c r="FTA28" s="915"/>
      <c r="FTB28" s="914"/>
      <c r="FTC28" s="914"/>
      <c r="FTD28" s="914"/>
      <c r="FTE28" s="914"/>
      <c r="FTF28" s="914"/>
      <c r="FTG28" s="914"/>
      <c r="FTH28" s="914"/>
      <c r="FTI28" s="911"/>
      <c r="FTJ28" s="911"/>
      <c r="FTK28" s="911"/>
      <c r="FTL28" s="915"/>
      <c r="FTM28" s="914"/>
      <c r="FTN28" s="914"/>
      <c r="FTO28" s="914"/>
      <c r="FTP28" s="914"/>
      <c r="FTQ28" s="914"/>
      <c r="FTR28" s="914"/>
      <c r="FTS28" s="914"/>
      <c r="FTT28" s="911"/>
      <c r="FTU28" s="911"/>
      <c r="FTV28" s="911"/>
      <c r="FTW28" s="915"/>
      <c r="FTX28" s="914"/>
      <c r="FTY28" s="914"/>
      <c r="FTZ28" s="914"/>
      <c r="FUA28" s="914"/>
      <c r="FUB28" s="914"/>
      <c r="FUC28" s="914"/>
      <c r="FUD28" s="914"/>
      <c r="FUE28" s="911"/>
      <c r="FUF28" s="911"/>
      <c r="FUG28" s="911"/>
      <c r="FUH28" s="915"/>
      <c r="FUI28" s="914"/>
      <c r="FUJ28" s="914"/>
      <c r="FUK28" s="914"/>
      <c r="FUL28" s="914"/>
      <c r="FUM28" s="914"/>
      <c r="FUN28" s="914"/>
      <c r="FUO28" s="914"/>
      <c r="FUP28" s="911"/>
      <c r="FUQ28" s="911"/>
      <c r="FUR28" s="911"/>
      <c r="FUS28" s="915"/>
      <c r="FUT28" s="914"/>
      <c r="FUU28" s="914"/>
      <c r="FUV28" s="914"/>
      <c r="FUW28" s="914"/>
      <c r="FUX28" s="914"/>
      <c r="FUY28" s="914"/>
      <c r="FUZ28" s="914"/>
      <c r="FVA28" s="911"/>
      <c r="FVB28" s="911"/>
      <c r="FVC28" s="911"/>
      <c r="FVD28" s="915"/>
      <c r="FVE28" s="914"/>
      <c r="FVF28" s="914"/>
      <c r="FVG28" s="914"/>
      <c r="FVH28" s="914"/>
      <c r="FVI28" s="914"/>
      <c r="FVJ28" s="914"/>
      <c r="FVK28" s="914"/>
      <c r="FVL28" s="911"/>
      <c r="FVM28" s="911"/>
      <c r="FVN28" s="911"/>
      <c r="FVO28" s="915"/>
      <c r="FVP28" s="914"/>
      <c r="FVQ28" s="914"/>
      <c r="FVR28" s="914"/>
      <c r="FVS28" s="914"/>
      <c r="FVT28" s="914"/>
      <c r="FVU28" s="914"/>
      <c r="FVV28" s="914"/>
      <c r="FVW28" s="911"/>
      <c r="FVX28" s="911"/>
      <c r="FVY28" s="911"/>
      <c r="FVZ28" s="915"/>
      <c r="FWA28" s="914"/>
      <c r="FWB28" s="914"/>
      <c r="FWC28" s="914"/>
      <c r="FWD28" s="914"/>
      <c r="FWE28" s="914"/>
      <c r="FWF28" s="914"/>
      <c r="FWG28" s="914"/>
      <c r="FWH28" s="911"/>
      <c r="FWI28" s="911"/>
      <c r="FWJ28" s="911"/>
      <c r="FWK28" s="915"/>
      <c r="FWL28" s="914"/>
      <c r="FWM28" s="914"/>
      <c r="FWN28" s="914"/>
      <c r="FWO28" s="914"/>
      <c r="FWP28" s="914"/>
      <c r="FWQ28" s="914"/>
      <c r="FWR28" s="914"/>
      <c r="FWS28" s="911"/>
      <c r="FWT28" s="911"/>
      <c r="FWU28" s="911"/>
      <c r="FWV28" s="915"/>
      <c r="FWW28" s="914"/>
      <c r="FWX28" s="914"/>
      <c r="FWY28" s="914"/>
      <c r="FWZ28" s="914"/>
      <c r="FXA28" s="914"/>
      <c r="FXB28" s="914"/>
      <c r="FXC28" s="914"/>
      <c r="FXD28" s="911"/>
      <c r="FXE28" s="911"/>
      <c r="FXF28" s="911"/>
      <c r="FXG28" s="915"/>
      <c r="FXH28" s="914"/>
      <c r="FXI28" s="914"/>
      <c r="FXJ28" s="914"/>
      <c r="FXK28" s="914"/>
      <c r="FXL28" s="914"/>
      <c r="FXM28" s="914"/>
      <c r="FXN28" s="914"/>
      <c r="FXO28" s="911"/>
      <c r="FXP28" s="911"/>
      <c r="FXQ28" s="911"/>
      <c r="FXR28" s="915"/>
      <c r="FXS28" s="914"/>
      <c r="FXT28" s="914"/>
      <c r="FXU28" s="914"/>
      <c r="FXV28" s="914"/>
      <c r="FXW28" s="914"/>
      <c r="FXX28" s="914"/>
      <c r="FXY28" s="914"/>
      <c r="FXZ28" s="911"/>
      <c r="FYA28" s="911"/>
      <c r="FYB28" s="911"/>
      <c r="FYC28" s="915"/>
      <c r="FYD28" s="914"/>
      <c r="FYE28" s="914"/>
      <c r="FYF28" s="914"/>
      <c r="FYG28" s="914"/>
      <c r="FYH28" s="914"/>
      <c r="FYI28" s="914"/>
      <c r="FYJ28" s="914"/>
      <c r="FYK28" s="911"/>
      <c r="FYL28" s="911"/>
      <c r="FYM28" s="911"/>
      <c r="FYN28" s="915"/>
      <c r="FYO28" s="914"/>
      <c r="FYP28" s="914"/>
      <c r="FYQ28" s="914"/>
      <c r="FYR28" s="914"/>
      <c r="FYS28" s="914"/>
      <c r="FYT28" s="914"/>
      <c r="FYU28" s="914"/>
      <c r="FYV28" s="911"/>
      <c r="FYW28" s="911"/>
      <c r="FYX28" s="911"/>
      <c r="FYY28" s="915"/>
      <c r="FYZ28" s="914"/>
      <c r="FZA28" s="914"/>
      <c r="FZB28" s="914"/>
      <c r="FZC28" s="914"/>
      <c r="FZD28" s="914"/>
      <c r="FZE28" s="914"/>
      <c r="FZF28" s="914"/>
      <c r="FZG28" s="911"/>
      <c r="FZH28" s="911"/>
      <c r="FZI28" s="911"/>
      <c r="FZJ28" s="915"/>
      <c r="FZK28" s="914"/>
      <c r="FZL28" s="914"/>
      <c r="FZM28" s="914"/>
      <c r="FZN28" s="914"/>
      <c r="FZO28" s="914"/>
      <c r="FZP28" s="914"/>
      <c r="FZQ28" s="914"/>
      <c r="FZR28" s="911"/>
      <c r="FZS28" s="911"/>
      <c r="FZT28" s="911"/>
      <c r="FZU28" s="915"/>
      <c r="FZV28" s="914"/>
      <c r="FZW28" s="914"/>
      <c r="FZX28" s="914"/>
      <c r="FZY28" s="914"/>
      <c r="FZZ28" s="914"/>
      <c r="GAA28" s="914"/>
      <c r="GAB28" s="914"/>
      <c r="GAC28" s="911"/>
      <c r="GAD28" s="911"/>
      <c r="GAE28" s="911"/>
      <c r="GAF28" s="915"/>
      <c r="GAG28" s="914"/>
      <c r="GAH28" s="914"/>
      <c r="GAI28" s="914"/>
      <c r="GAJ28" s="914"/>
      <c r="GAK28" s="914"/>
      <c r="GAL28" s="914"/>
      <c r="GAM28" s="914"/>
      <c r="GAN28" s="911"/>
      <c r="GAO28" s="911"/>
      <c r="GAP28" s="911"/>
      <c r="GAQ28" s="915"/>
      <c r="GAR28" s="914"/>
      <c r="GAS28" s="914"/>
      <c r="GAT28" s="914"/>
      <c r="GAU28" s="914"/>
      <c r="GAV28" s="914"/>
      <c r="GAW28" s="914"/>
      <c r="GAX28" s="914"/>
      <c r="GAY28" s="911"/>
      <c r="GAZ28" s="911"/>
      <c r="GBA28" s="911"/>
      <c r="GBB28" s="915"/>
      <c r="GBC28" s="914"/>
      <c r="GBD28" s="914"/>
      <c r="GBE28" s="914"/>
      <c r="GBF28" s="914"/>
      <c r="GBG28" s="914"/>
      <c r="GBH28" s="914"/>
      <c r="GBI28" s="914"/>
      <c r="GBJ28" s="911"/>
      <c r="GBK28" s="911"/>
      <c r="GBL28" s="911"/>
      <c r="GBM28" s="915"/>
      <c r="GBN28" s="914"/>
      <c r="GBO28" s="914"/>
      <c r="GBP28" s="914"/>
      <c r="GBQ28" s="914"/>
      <c r="GBR28" s="914"/>
      <c r="GBS28" s="914"/>
      <c r="GBT28" s="914"/>
      <c r="GBU28" s="911"/>
      <c r="GBV28" s="911"/>
      <c r="GBW28" s="911"/>
      <c r="GBX28" s="915"/>
      <c r="GBY28" s="914"/>
      <c r="GBZ28" s="914"/>
      <c r="GCA28" s="914"/>
      <c r="GCB28" s="914"/>
      <c r="GCC28" s="914"/>
      <c r="GCD28" s="914"/>
      <c r="GCE28" s="914"/>
      <c r="GCF28" s="911"/>
      <c r="GCG28" s="911"/>
      <c r="GCH28" s="911"/>
      <c r="GCI28" s="915"/>
      <c r="GCJ28" s="914"/>
      <c r="GCK28" s="914"/>
      <c r="GCL28" s="914"/>
      <c r="GCM28" s="914"/>
      <c r="GCN28" s="914"/>
      <c r="GCO28" s="914"/>
      <c r="GCP28" s="914"/>
      <c r="GCQ28" s="911"/>
      <c r="GCR28" s="911"/>
      <c r="GCS28" s="911"/>
      <c r="GCT28" s="915"/>
      <c r="GCU28" s="914"/>
      <c r="GCV28" s="914"/>
      <c r="GCW28" s="914"/>
      <c r="GCX28" s="914"/>
      <c r="GCY28" s="914"/>
      <c r="GCZ28" s="914"/>
      <c r="GDA28" s="914"/>
      <c r="GDB28" s="911"/>
      <c r="GDC28" s="911"/>
      <c r="GDD28" s="911"/>
      <c r="GDE28" s="915"/>
      <c r="GDF28" s="914"/>
      <c r="GDG28" s="914"/>
      <c r="GDH28" s="914"/>
      <c r="GDI28" s="914"/>
      <c r="GDJ28" s="914"/>
      <c r="GDK28" s="914"/>
      <c r="GDL28" s="914"/>
      <c r="GDM28" s="911"/>
      <c r="GDN28" s="911"/>
      <c r="GDO28" s="911"/>
      <c r="GDP28" s="915"/>
      <c r="GDQ28" s="914"/>
      <c r="GDR28" s="914"/>
      <c r="GDS28" s="914"/>
      <c r="GDT28" s="914"/>
      <c r="GDU28" s="914"/>
      <c r="GDV28" s="914"/>
      <c r="GDW28" s="914"/>
      <c r="GDX28" s="911"/>
      <c r="GDY28" s="911"/>
      <c r="GDZ28" s="911"/>
      <c r="GEA28" s="915"/>
      <c r="GEB28" s="914"/>
      <c r="GEC28" s="914"/>
      <c r="GED28" s="914"/>
      <c r="GEE28" s="914"/>
      <c r="GEF28" s="914"/>
      <c r="GEG28" s="914"/>
      <c r="GEH28" s="914"/>
      <c r="GEI28" s="911"/>
      <c r="GEJ28" s="911"/>
      <c r="GEK28" s="911"/>
      <c r="GEL28" s="915"/>
      <c r="GEM28" s="914"/>
      <c r="GEN28" s="914"/>
      <c r="GEO28" s="914"/>
      <c r="GEP28" s="914"/>
      <c r="GEQ28" s="914"/>
      <c r="GER28" s="914"/>
      <c r="GES28" s="914"/>
      <c r="GET28" s="911"/>
      <c r="GEU28" s="911"/>
      <c r="GEV28" s="911"/>
      <c r="GEW28" s="915"/>
      <c r="GEX28" s="914"/>
      <c r="GEY28" s="914"/>
      <c r="GEZ28" s="914"/>
      <c r="GFA28" s="914"/>
      <c r="GFB28" s="914"/>
      <c r="GFC28" s="914"/>
      <c r="GFD28" s="914"/>
      <c r="GFE28" s="911"/>
      <c r="GFF28" s="911"/>
      <c r="GFG28" s="911"/>
      <c r="GFH28" s="915"/>
      <c r="GFI28" s="914"/>
      <c r="GFJ28" s="914"/>
      <c r="GFK28" s="914"/>
      <c r="GFL28" s="914"/>
      <c r="GFM28" s="914"/>
      <c r="GFN28" s="914"/>
      <c r="GFO28" s="914"/>
      <c r="GFP28" s="911"/>
      <c r="GFQ28" s="911"/>
      <c r="GFR28" s="911"/>
      <c r="GFS28" s="915"/>
      <c r="GFT28" s="914"/>
      <c r="GFU28" s="914"/>
      <c r="GFV28" s="914"/>
      <c r="GFW28" s="914"/>
      <c r="GFX28" s="914"/>
      <c r="GFY28" s="914"/>
      <c r="GFZ28" s="914"/>
      <c r="GGA28" s="911"/>
      <c r="GGB28" s="911"/>
      <c r="GGC28" s="911"/>
      <c r="GGD28" s="915"/>
      <c r="GGE28" s="914"/>
      <c r="GGF28" s="914"/>
      <c r="GGG28" s="914"/>
      <c r="GGH28" s="914"/>
      <c r="GGI28" s="914"/>
      <c r="GGJ28" s="914"/>
      <c r="GGK28" s="914"/>
      <c r="GGL28" s="911"/>
      <c r="GGM28" s="911"/>
      <c r="GGN28" s="911"/>
      <c r="GGO28" s="915"/>
      <c r="GGP28" s="914"/>
      <c r="GGQ28" s="914"/>
      <c r="GGR28" s="914"/>
      <c r="GGS28" s="914"/>
      <c r="GGT28" s="914"/>
      <c r="GGU28" s="914"/>
      <c r="GGV28" s="914"/>
      <c r="GGW28" s="911"/>
      <c r="GGX28" s="911"/>
      <c r="GGY28" s="911"/>
      <c r="GGZ28" s="915"/>
      <c r="GHA28" s="914"/>
      <c r="GHB28" s="914"/>
      <c r="GHC28" s="914"/>
      <c r="GHD28" s="914"/>
      <c r="GHE28" s="914"/>
      <c r="GHF28" s="914"/>
      <c r="GHG28" s="914"/>
      <c r="GHH28" s="911"/>
      <c r="GHI28" s="911"/>
      <c r="GHJ28" s="911"/>
      <c r="GHK28" s="915"/>
      <c r="GHL28" s="914"/>
      <c r="GHM28" s="914"/>
      <c r="GHN28" s="914"/>
      <c r="GHO28" s="914"/>
      <c r="GHP28" s="914"/>
      <c r="GHQ28" s="914"/>
      <c r="GHR28" s="914"/>
      <c r="GHS28" s="911"/>
      <c r="GHT28" s="911"/>
      <c r="GHU28" s="911"/>
      <c r="GHV28" s="915"/>
      <c r="GHW28" s="914"/>
      <c r="GHX28" s="914"/>
      <c r="GHY28" s="914"/>
      <c r="GHZ28" s="914"/>
      <c r="GIA28" s="914"/>
      <c r="GIB28" s="914"/>
      <c r="GIC28" s="914"/>
      <c r="GID28" s="911"/>
      <c r="GIE28" s="911"/>
      <c r="GIF28" s="911"/>
      <c r="GIG28" s="915"/>
      <c r="GIH28" s="914"/>
      <c r="GII28" s="914"/>
      <c r="GIJ28" s="914"/>
      <c r="GIK28" s="914"/>
      <c r="GIL28" s="914"/>
      <c r="GIM28" s="914"/>
      <c r="GIN28" s="914"/>
      <c r="GIO28" s="911"/>
      <c r="GIP28" s="911"/>
      <c r="GIQ28" s="911"/>
      <c r="GIR28" s="915"/>
      <c r="GIS28" s="914"/>
      <c r="GIT28" s="914"/>
      <c r="GIU28" s="914"/>
      <c r="GIV28" s="914"/>
      <c r="GIW28" s="914"/>
      <c r="GIX28" s="914"/>
      <c r="GIY28" s="914"/>
      <c r="GIZ28" s="911"/>
      <c r="GJA28" s="911"/>
      <c r="GJB28" s="911"/>
      <c r="GJC28" s="915"/>
      <c r="GJD28" s="914"/>
      <c r="GJE28" s="914"/>
      <c r="GJF28" s="914"/>
      <c r="GJG28" s="914"/>
      <c r="GJH28" s="914"/>
      <c r="GJI28" s="914"/>
      <c r="GJJ28" s="914"/>
      <c r="GJK28" s="911"/>
      <c r="GJL28" s="911"/>
      <c r="GJM28" s="911"/>
      <c r="GJN28" s="915"/>
      <c r="GJO28" s="914"/>
      <c r="GJP28" s="914"/>
      <c r="GJQ28" s="914"/>
      <c r="GJR28" s="914"/>
      <c r="GJS28" s="914"/>
      <c r="GJT28" s="914"/>
      <c r="GJU28" s="914"/>
      <c r="GJV28" s="911"/>
      <c r="GJW28" s="911"/>
      <c r="GJX28" s="911"/>
      <c r="GJY28" s="915"/>
      <c r="GJZ28" s="914"/>
      <c r="GKA28" s="914"/>
      <c r="GKB28" s="914"/>
      <c r="GKC28" s="914"/>
      <c r="GKD28" s="914"/>
      <c r="GKE28" s="914"/>
      <c r="GKF28" s="914"/>
      <c r="GKG28" s="911"/>
      <c r="GKH28" s="911"/>
      <c r="GKI28" s="911"/>
      <c r="GKJ28" s="915"/>
      <c r="GKK28" s="914"/>
      <c r="GKL28" s="914"/>
      <c r="GKM28" s="914"/>
      <c r="GKN28" s="914"/>
      <c r="GKO28" s="914"/>
      <c r="GKP28" s="914"/>
      <c r="GKQ28" s="914"/>
      <c r="GKR28" s="911"/>
      <c r="GKS28" s="911"/>
      <c r="GKT28" s="911"/>
      <c r="GKU28" s="915"/>
      <c r="GKV28" s="914"/>
      <c r="GKW28" s="914"/>
      <c r="GKX28" s="914"/>
      <c r="GKY28" s="914"/>
      <c r="GKZ28" s="914"/>
      <c r="GLA28" s="914"/>
      <c r="GLB28" s="914"/>
      <c r="GLC28" s="911"/>
      <c r="GLD28" s="911"/>
      <c r="GLE28" s="911"/>
      <c r="GLF28" s="915"/>
      <c r="GLG28" s="914"/>
      <c r="GLH28" s="914"/>
      <c r="GLI28" s="914"/>
      <c r="GLJ28" s="914"/>
      <c r="GLK28" s="914"/>
      <c r="GLL28" s="914"/>
      <c r="GLM28" s="914"/>
      <c r="GLN28" s="911"/>
      <c r="GLO28" s="911"/>
      <c r="GLP28" s="911"/>
      <c r="GLQ28" s="915"/>
      <c r="GLR28" s="914"/>
      <c r="GLS28" s="914"/>
      <c r="GLT28" s="914"/>
      <c r="GLU28" s="914"/>
      <c r="GLV28" s="914"/>
      <c r="GLW28" s="914"/>
      <c r="GLX28" s="914"/>
      <c r="GLY28" s="911"/>
      <c r="GLZ28" s="911"/>
      <c r="GMA28" s="911"/>
      <c r="GMB28" s="915"/>
      <c r="GMC28" s="914"/>
      <c r="GMD28" s="914"/>
      <c r="GME28" s="914"/>
      <c r="GMF28" s="914"/>
      <c r="GMG28" s="914"/>
      <c r="GMH28" s="914"/>
      <c r="GMI28" s="914"/>
      <c r="GMJ28" s="911"/>
      <c r="GMK28" s="911"/>
      <c r="GML28" s="911"/>
      <c r="GMM28" s="915"/>
      <c r="GMN28" s="914"/>
      <c r="GMO28" s="914"/>
      <c r="GMP28" s="914"/>
      <c r="GMQ28" s="914"/>
      <c r="GMR28" s="914"/>
      <c r="GMS28" s="914"/>
      <c r="GMT28" s="914"/>
      <c r="GMU28" s="911"/>
      <c r="GMV28" s="911"/>
      <c r="GMW28" s="911"/>
      <c r="GMX28" s="915"/>
      <c r="GMY28" s="914"/>
      <c r="GMZ28" s="914"/>
      <c r="GNA28" s="914"/>
      <c r="GNB28" s="914"/>
      <c r="GNC28" s="914"/>
      <c r="GND28" s="914"/>
      <c r="GNE28" s="914"/>
      <c r="GNF28" s="911"/>
      <c r="GNG28" s="911"/>
      <c r="GNH28" s="911"/>
      <c r="GNI28" s="915"/>
      <c r="GNJ28" s="914"/>
      <c r="GNK28" s="914"/>
      <c r="GNL28" s="914"/>
      <c r="GNM28" s="914"/>
      <c r="GNN28" s="914"/>
      <c r="GNO28" s="914"/>
      <c r="GNP28" s="914"/>
      <c r="GNQ28" s="911"/>
      <c r="GNR28" s="911"/>
      <c r="GNS28" s="911"/>
      <c r="GNT28" s="915"/>
      <c r="GNU28" s="914"/>
      <c r="GNV28" s="914"/>
      <c r="GNW28" s="914"/>
      <c r="GNX28" s="914"/>
      <c r="GNY28" s="914"/>
      <c r="GNZ28" s="914"/>
      <c r="GOA28" s="914"/>
      <c r="GOB28" s="911"/>
      <c r="GOC28" s="911"/>
      <c r="GOD28" s="911"/>
      <c r="GOE28" s="915"/>
      <c r="GOF28" s="914"/>
      <c r="GOG28" s="914"/>
      <c r="GOH28" s="914"/>
      <c r="GOI28" s="914"/>
      <c r="GOJ28" s="914"/>
      <c r="GOK28" s="914"/>
      <c r="GOL28" s="914"/>
      <c r="GOM28" s="911"/>
      <c r="GON28" s="911"/>
      <c r="GOO28" s="911"/>
      <c r="GOP28" s="915"/>
      <c r="GOQ28" s="914"/>
      <c r="GOR28" s="914"/>
      <c r="GOS28" s="914"/>
      <c r="GOT28" s="914"/>
      <c r="GOU28" s="914"/>
      <c r="GOV28" s="914"/>
      <c r="GOW28" s="914"/>
      <c r="GOX28" s="911"/>
      <c r="GOY28" s="911"/>
      <c r="GOZ28" s="911"/>
      <c r="GPA28" s="915"/>
      <c r="GPB28" s="914"/>
      <c r="GPC28" s="914"/>
      <c r="GPD28" s="914"/>
      <c r="GPE28" s="914"/>
      <c r="GPF28" s="914"/>
      <c r="GPG28" s="914"/>
      <c r="GPH28" s="914"/>
      <c r="GPI28" s="911"/>
      <c r="GPJ28" s="911"/>
      <c r="GPK28" s="911"/>
      <c r="GPL28" s="915"/>
      <c r="GPM28" s="914"/>
      <c r="GPN28" s="914"/>
      <c r="GPO28" s="914"/>
      <c r="GPP28" s="914"/>
      <c r="GPQ28" s="914"/>
      <c r="GPR28" s="914"/>
      <c r="GPS28" s="914"/>
      <c r="GPT28" s="911"/>
      <c r="GPU28" s="911"/>
      <c r="GPV28" s="911"/>
      <c r="GPW28" s="915"/>
      <c r="GPX28" s="914"/>
      <c r="GPY28" s="914"/>
      <c r="GPZ28" s="914"/>
      <c r="GQA28" s="914"/>
      <c r="GQB28" s="914"/>
      <c r="GQC28" s="914"/>
      <c r="GQD28" s="914"/>
      <c r="GQE28" s="911"/>
      <c r="GQF28" s="911"/>
      <c r="GQG28" s="911"/>
      <c r="GQH28" s="915"/>
      <c r="GQI28" s="914"/>
      <c r="GQJ28" s="914"/>
      <c r="GQK28" s="914"/>
      <c r="GQL28" s="914"/>
      <c r="GQM28" s="914"/>
      <c r="GQN28" s="914"/>
      <c r="GQO28" s="914"/>
      <c r="GQP28" s="911"/>
      <c r="GQQ28" s="911"/>
      <c r="GQR28" s="911"/>
      <c r="GQS28" s="915"/>
      <c r="GQT28" s="914"/>
      <c r="GQU28" s="914"/>
      <c r="GQV28" s="914"/>
      <c r="GQW28" s="914"/>
      <c r="GQX28" s="914"/>
      <c r="GQY28" s="914"/>
      <c r="GQZ28" s="914"/>
      <c r="GRA28" s="911"/>
      <c r="GRB28" s="911"/>
      <c r="GRC28" s="911"/>
      <c r="GRD28" s="915"/>
      <c r="GRE28" s="914"/>
      <c r="GRF28" s="914"/>
      <c r="GRG28" s="914"/>
      <c r="GRH28" s="914"/>
      <c r="GRI28" s="914"/>
      <c r="GRJ28" s="914"/>
      <c r="GRK28" s="914"/>
      <c r="GRL28" s="911"/>
      <c r="GRM28" s="911"/>
      <c r="GRN28" s="911"/>
      <c r="GRO28" s="915"/>
      <c r="GRP28" s="914"/>
      <c r="GRQ28" s="914"/>
      <c r="GRR28" s="914"/>
      <c r="GRS28" s="914"/>
      <c r="GRT28" s="914"/>
      <c r="GRU28" s="914"/>
      <c r="GRV28" s="914"/>
      <c r="GRW28" s="911"/>
      <c r="GRX28" s="911"/>
      <c r="GRY28" s="911"/>
      <c r="GRZ28" s="915"/>
      <c r="GSA28" s="914"/>
      <c r="GSB28" s="914"/>
      <c r="GSC28" s="914"/>
      <c r="GSD28" s="914"/>
      <c r="GSE28" s="914"/>
      <c r="GSF28" s="914"/>
      <c r="GSG28" s="914"/>
      <c r="GSH28" s="911"/>
      <c r="GSI28" s="911"/>
      <c r="GSJ28" s="911"/>
      <c r="GSK28" s="915"/>
      <c r="GSL28" s="914"/>
      <c r="GSM28" s="914"/>
      <c r="GSN28" s="914"/>
      <c r="GSO28" s="914"/>
      <c r="GSP28" s="914"/>
      <c r="GSQ28" s="914"/>
      <c r="GSR28" s="914"/>
      <c r="GSS28" s="911"/>
      <c r="GST28" s="911"/>
      <c r="GSU28" s="911"/>
      <c r="GSV28" s="915"/>
      <c r="GSW28" s="914"/>
      <c r="GSX28" s="914"/>
      <c r="GSY28" s="914"/>
      <c r="GSZ28" s="914"/>
      <c r="GTA28" s="914"/>
      <c r="GTB28" s="914"/>
      <c r="GTC28" s="914"/>
      <c r="GTD28" s="911"/>
      <c r="GTE28" s="911"/>
      <c r="GTF28" s="911"/>
      <c r="GTG28" s="915"/>
      <c r="GTH28" s="914"/>
      <c r="GTI28" s="914"/>
      <c r="GTJ28" s="914"/>
      <c r="GTK28" s="914"/>
      <c r="GTL28" s="914"/>
      <c r="GTM28" s="914"/>
      <c r="GTN28" s="914"/>
      <c r="GTO28" s="911"/>
      <c r="GTP28" s="911"/>
      <c r="GTQ28" s="911"/>
      <c r="GTR28" s="915"/>
      <c r="GTS28" s="914"/>
      <c r="GTT28" s="914"/>
      <c r="GTU28" s="914"/>
      <c r="GTV28" s="914"/>
      <c r="GTW28" s="914"/>
      <c r="GTX28" s="914"/>
      <c r="GTY28" s="914"/>
      <c r="GTZ28" s="911"/>
      <c r="GUA28" s="911"/>
      <c r="GUB28" s="911"/>
      <c r="GUC28" s="915"/>
      <c r="GUD28" s="914"/>
      <c r="GUE28" s="914"/>
      <c r="GUF28" s="914"/>
      <c r="GUG28" s="914"/>
      <c r="GUH28" s="914"/>
      <c r="GUI28" s="914"/>
      <c r="GUJ28" s="914"/>
      <c r="GUK28" s="911"/>
      <c r="GUL28" s="911"/>
      <c r="GUM28" s="911"/>
      <c r="GUN28" s="915"/>
      <c r="GUO28" s="914"/>
      <c r="GUP28" s="914"/>
      <c r="GUQ28" s="914"/>
      <c r="GUR28" s="914"/>
      <c r="GUS28" s="914"/>
      <c r="GUT28" s="914"/>
      <c r="GUU28" s="914"/>
      <c r="GUV28" s="911"/>
      <c r="GUW28" s="911"/>
      <c r="GUX28" s="911"/>
      <c r="GUY28" s="915"/>
      <c r="GUZ28" s="914"/>
      <c r="GVA28" s="914"/>
      <c r="GVB28" s="914"/>
      <c r="GVC28" s="914"/>
      <c r="GVD28" s="914"/>
      <c r="GVE28" s="914"/>
      <c r="GVF28" s="914"/>
      <c r="GVG28" s="911"/>
      <c r="GVH28" s="911"/>
      <c r="GVI28" s="911"/>
      <c r="GVJ28" s="915"/>
      <c r="GVK28" s="914"/>
      <c r="GVL28" s="914"/>
      <c r="GVM28" s="914"/>
      <c r="GVN28" s="914"/>
      <c r="GVO28" s="914"/>
      <c r="GVP28" s="914"/>
      <c r="GVQ28" s="914"/>
      <c r="GVR28" s="911"/>
      <c r="GVS28" s="911"/>
      <c r="GVT28" s="911"/>
      <c r="GVU28" s="915"/>
      <c r="GVV28" s="914"/>
      <c r="GVW28" s="914"/>
      <c r="GVX28" s="914"/>
      <c r="GVY28" s="914"/>
      <c r="GVZ28" s="914"/>
      <c r="GWA28" s="914"/>
      <c r="GWB28" s="914"/>
      <c r="GWC28" s="911"/>
      <c r="GWD28" s="911"/>
      <c r="GWE28" s="911"/>
      <c r="GWF28" s="915"/>
      <c r="GWG28" s="914"/>
      <c r="GWH28" s="914"/>
      <c r="GWI28" s="914"/>
      <c r="GWJ28" s="914"/>
      <c r="GWK28" s="914"/>
      <c r="GWL28" s="914"/>
      <c r="GWM28" s="914"/>
      <c r="GWN28" s="911"/>
      <c r="GWO28" s="911"/>
      <c r="GWP28" s="911"/>
      <c r="GWQ28" s="915"/>
      <c r="GWR28" s="914"/>
      <c r="GWS28" s="914"/>
      <c r="GWT28" s="914"/>
      <c r="GWU28" s="914"/>
      <c r="GWV28" s="914"/>
      <c r="GWW28" s="914"/>
      <c r="GWX28" s="914"/>
      <c r="GWY28" s="911"/>
      <c r="GWZ28" s="911"/>
      <c r="GXA28" s="911"/>
      <c r="GXB28" s="915"/>
      <c r="GXC28" s="914"/>
      <c r="GXD28" s="914"/>
      <c r="GXE28" s="914"/>
      <c r="GXF28" s="914"/>
      <c r="GXG28" s="914"/>
      <c r="GXH28" s="914"/>
      <c r="GXI28" s="914"/>
      <c r="GXJ28" s="911"/>
      <c r="GXK28" s="911"/>
      <c r="GXL28" s="911"/>
      <c r="GXM28" s="915"/>
      <c r="GXN28" s="914"/>
      <c r="GXO28" s="914"/>
      <c r="GXP28" s="914"/>
      <c r="GXQ28" s="914"/>
      <c r="GXR28" s="914"/>
      <c r="GXS28" s="914"/>
      <c r="GXT28" s="914"/>
      <c r="GXU28" s="911"/>
      <c r="GXV28" s="911"/>
      <c r="GXW28" s="911"/>
      <c r="GXX28" s="915"/>
      <c r="GXY28" s="914"/>
      <c r="GXZ28" s="914"/>
      <c r="GYA28" s="914"/>
      <c r="GYB28" s="914"/>
      <c r="GYC28" s="914"/>
      <c r="GYD28" s="914"/>
      <c r="GYE28" s="914"/>
      <c r="GYF28" s="911"/>
      <c r="GYG28" s="911"/>
      <c r="GYH28" s="911"/>
      <c r="GYI28" s="915"/>
      <c r="GYJ28" s="914"/>
      <c r="GYK28" s="914"/>
      <c r="GYL28" s="914"/>
      <c r="GYM28" s="914"/>
      <c r="GYN28" s="914"/>
      <c r="GYO28" s="914"/>
      <c r="GYP28" s="914"/>
      <c r="GYQ28" s="911"/>
      <c r="GYR28" s="911"/>
      <c r="GYS28" s="911"/>
      <c r="GYT28" s="915"/>
      <c r="GYU28" s="914"/>
      <c r="GYV28" s="914"/>
      <c r="GYW28" s="914"/>
      <c r="GYX28" s="914"/>
      <c r="GYY28" s="914"/>
      <c r="GYZ28" s="914"/>
      <c r="GZA28" s="914"/>
      <c r="GZB28" s="911"/>
      <c r="GZC28" s="911"/>
      <c r="GZD28" s="911"/>
      <c r="GZE28" s="915"/>
      <c r="GZF28" s="914"/>
      <c r="GZG28" s="914"/>
      <c r="GZH28" s="914"/>
      <c r="GZI28" s="914"/>
      <c r="GZJ28" s="914"/>
      <c r="GZK28" s="914"/>
      <c r="GZL28" s="914"/>
      <c r="GZM28" s="911"/>
      <c r="GZN28" s="911"/>
      <c r="GZO28" s="911"/>
      <c r="GZP28" s="915"/>
      <c r="GZQ28" s="914"/>
      <c r="GZR28" s="914"/>
      <c r="GZS28" s="914"/>
      <c r="GZT28" s="914"/>
      <c r="GZU28" s="914"/>
      <c r="GZV28" s="914"/>
      <c r="GZW28" s="914"/>
      <c r="GZX28" s="911"/>
      <c r="GZY28" s="911"/>
      <c r="GZZ28" s="911"/>
      <c r="HAA28" s="915"/>
      <c r="HAB28" s="914"/>
      <c r="HAC28" s="914"/>
      <c r="HAD28" s="914"/>
      <c r="HAE28" s="914"/>
      <c r="HAF28" s="914"/>
      <c r="HAG28" s="914"/>
      <c r="HAH28" s="914"/>
      <c r="HAI28" s="911"/>
      <c r="HAJ28" s="911"/>
      <c r="HAK28" s="911"/>
      <c r="HAL28" s="915"/>
      <c r="HAM28" s="914"/>
      <c r="HAN28" s="914"/>
      <c r="HAO28" s="914"/>
      <c r="HAP28" s="914"/>
      <c r="HAQ28" s="914"/>
      <c r="HAR28" s="914"/>
      <c r="HAS28" s="914"/>
      <c r="HAT28" s="911"/>
      <c r="HAU28" s="911"/>
      <c r="HAV28" s="911"/>
      <c r="HAW28" s="915"/>
      <c r="HAX28" s="914"/>
      <c r="HAY28" s="914"/>
      <c r="HAZ28" s="914"/>
      <c r="HBA28" s="914"/>
      <c r="HBB28" s="914"/>
      <c r="HBC28" s="914"/>
      <c r="HBD28" s="914"/>
      <c r="HBE28" s="911"/>
      <c r="HBF28" s="911"/>
      <c r="HBG28" s="911"/>
      <c r="HBH28" s="915"/>
      <c r="HBI28" s="914"/>
      <c r="HBJ28" s="914"/>
      <c r="HBK28" s="914"/>
      <c r="HBL28" s="914"/>
      <c r="HBM28" s="914"/>
      <c r="HBN28" s="914"/>
      <c r="HBO28" s="914"/>
      <c r="HBP28" s="911"/>
      <c r="HBQ28" s="911"/>
      <c r="HBR28" s="911"/>
      <c r="HBS28" s="915"/>
      <c r="HBT28" s="914"/>
      <c r="HBU28" s="914"/>
      <c r="HBV28" s="914"/>
      <c r="HBW28" s="914"/>
      <c r="HBX28" s="914"/>
      <c r="HBY28" s="914"/>
      <c r="HBZ28" s="914"/>
      <c r="HCA28" s="911"/>
      <c r="HCB28" s="911"/>
      <c r="HCC28" s="911"/>
      <c r="HCD28" s="915"/>
      <c r="HCE28" s="914"/>
      <c r="HCF28" s="914"/>
      <c r="HCG28" s="914"/>
      <c r="HCH28" s="914"/>
      <c r="HCI28" s="914"/>
      <c r="HCJ28" s="914"/>
      <c r="HCK28" s="914"/>
      <c r="HCL28" s="911"/>
      <c r="HCM28" s="911"/>
      <c r="HCN28" s="911"/>
      <c r="HCO28" s="915"/>
      <c r="HCP28" s="914"/>
      <c r="HCQ28" s="914"/>
      <c r="HCR28" s="914"/>
      <c r="HCS28" s="914"/>
      <c r="HCT28" s="914"/>
      <c r="HCU28" s="914"/>
      <c r="HCV28" s="914"/>
      <c r="HCW28" s="911"/>
      <c r="HCX28" s="911"/>
      <c r="HCY28" s="911"/>
      <c r="HCZ28" s="915"/>
      <c r="HDA28" s="914"/>
      <c r="HDB28" s="914"/>
      <c r="HDC28" s="914"/>
      <c r="HDD28" s="914"/>
      <c r="HDE28" s="914"/>
      <c r="HDF28" s="914"/>
      <c r="HDG28" s="914"/>
      <c r="HDH28" s="911"/>
      <c r="HDI28" s="911"/>
      <c r="HDJ28" s="911"/>
      <c r="HDK28" s="915"/>
      <c r="HDL28" s="914"/>
      <c r="HDM28" s="914"/>
      <c r="HDN28" s="914"/>
      <c r="HDO28" s="914"/>
      <c r="HDP28" s="914"/>
      <c r="HDQ28" s="914"/>
      <c r="HDR28" s="914"/>
      <c r="HDS28" s="911"/>
      <c r="HDT28" s="911"/>
      <c r="HDU28" s="911"/>
      <c r="HDV28" s="915"/>
      <c r="HDW28" s="914"/>
      <c r="HDX28" s="914"/>
      <c r="HDY28" s="914"/>
      <c r="HDZ28" s="914"/>
      <c r="HEA28" s="914"/>
      <c r="HEB28" s="914"/>
      <c r="HEC28" s="914"/>
      <c r="HED28" s="911"/>
      <c r="HEE28" s="911"/>
      <c r="HEF28" s="911"/>
      <c r="HEG28" s="915"/>
      <c r="HEH28" s="914"/>
      <c r="HEI28" s="914"/>
      <c r="HEJ28" s="914"/>
      <c r="HEK28" s="914"/>
      <c r="HEL28" s="914"/>
      <c r="HEM28" s="914"/>
      <c r="HEN28" s="914"/>
      <c r="HEO28" s="911"/>
      <c r="HEP28" s="911"/>
      <c r="HEQ28" s="911"/>
      <c r="HER28" s="915"/>
      <c r="HES28" s="914"/>
      <c r="HET28" s="914"/>
      <c r="HEU28" s="914"/>
      <c r="HEV28" s="914"/>
      <c r="HEW28" s="914"/>
      <c r="HEX28" s="914"/>
      <c r="HEY28" s="914"/>
      <c r="HEZ28" s="911"/>
      <c r="HFA28" s="911"/>
      <c r="HFB28" s="911"/>
      <c r="HFC28" s="915"/>
      <c r="HFD28" s="914"/>
      <c r="HFE28" s="914"/>
      <c r="HFF28" s="914"/>
      <c r="HFG28" s="914"/>
      <c r="HFH28" s="914"/>
      <c r="HFI28" s="914"/>
      <c r="HFJ28" s="914"/>
      <c r="HFK28" s="911"/>
      <c r="HFL28" s="911"/>
      <c r="HFM28" s="911"/>
      <c r="HFN28" s="915"/>
      <c r="HFO28" s="914"/>
      <c r="HFP28" s="914"/>
      <c r="HFQ28" s="914"/>
      <c r="HFR28" s="914"/>
      <c r="HFS28" s="914"/>
      <c r="HFT28" s="914"/>
      <c r="HFU28" s="914"/>
      <c r="HFV28" s="911"/>
      <c r="HFW28" s="911"/>
      <c r="HFX28" s="911"/>
      <c r="HFY28" s="915"/>
      <c r="HFZ28" s="914"/>
      <c r="HGA28" s="914"/>
      <c r="HGB28" s="914"/>
      <c r="HGC28" s="914"/>
      <c r="HGD28" s="914"/>
      <c r="HGE28" s="914"/>
      <c r="HGF28" s="914"/>
      <c r="HGG28" s="911"/>
      <c r="HGH28" s="911"/>
      <c r="HGI28" s="911"/>
      <c r="HGJ28" s="915"/>
      <c r="HGK28" s="914"/>
      <c r="HGL28" s="914"/>
      <c r="HGM28" s="914"/>
      <c r="HGN28" s="914"/>
      <c r="HGO28" s="914"/>
      <c r="HGP28" s="914"/>
      <c r="HGQ28" s="914"/>
      <c r="HGR28" s="911"/>
      <c r="HGS28" s="911"/>
      <c r="HGT28" s="911"/>
      <c r="HGU28" s="915"/>
      <c r="HGV28" s="914"/>
      <c r="HGW28" s="914"/>
      <c r="HGX28" s="914"/>
      <c r="HGY28" s="914"/>
      <c r="HGZ28" s="914"/>
      <c r="HHA28" s="914"/>
      <c r="HHB28" s="914"/>
      <c r="HHC28" s="911"/>
      <c r="HHD28" s="911"/>
      <c r="HHE28" s="911"/>
      <c r="HHF28" s="915"/>
      <c r="HHG28" s="914"/>
      <c r="HHH28" s="914"/>
      <c r="HHI28" s="914"/>
      <c r="HHJ28" s="914"/>
      <c r="HHK28" s="914"/>
      <c r="HHL28" s="914"/>
      <c r="HHM28" s="914"/>
      <c r="HHN28" s="911"/>
      <c r="HHO28" s="911"/>
      <c r="HHP28" s="911"/>
      <c r="HHQ28" s="915"/>
      <c r="HHR28" s="914"/>
      <c r="HHS28" s="914"/>
      <c r="HHT28" s="914"/>
      <c r="HHU28" s="914"/>
      <c r="HHV28" s="914"/>
      <c r="HHW28" s="914"/>
      <c r="HHX28" s="914"/>
      <c r="HHY28" s="911"/>
      <c r="HHZ28" s="911"/>
      <c r="HIA28" s="911"/>
      <c r="HIB28" s="915"/>
      <c r="HIC28" s="914"/>
      <c r="HID28" s="914"/>
      <c r="HIE28" s="914"/>
      <c r="HIF28" s="914"/>
      <c r="HIG28" s="914"/>
      <c r="HIH28" s="914"/>
      <c r="HII28" s="914"/>
      <c r="HIJ28" s="911"/>
      <c r="HIK28" s="911"/>
      <c r="HIL28" s="911"/>
      <c r="HIM28" s="915"/>
      <c r="HIN28" s="914"/>
      <c r="HIO28" s="914"/>
      <c r="HIP28" s="914"/>
      <c r="HIQ28" s="914"/>
      <c r="HIR28" s="914"/>
      <c r="HIS28" s="914"/>
      <c r="HIT28" s="914"/>
      <c r="HIU28" s="911"/>
      <c r="HIV28" s="911"/>
      <c r="HIW28" s="911"/>
      <c r="HIX28" s="915"/>
      <c r="HIY28" s="914"/>
      <c r="HIZ28" s="914"/>
      <c r="HJA28" s="914"/>
      <c r="HJB28" s="914"/>
      <c r="HJC28" s="914"/>
      <c r="HJD28" s="914"/>
      <c r="HJE28" s="914"/>
      <c r="HJF28" s="911"/>
      <c r="HJG28" s="911"/>
      <c r="HJH28" s="911"/>
      <c r="HJI28" s="915"/>
      <c r="HJJ28" s="914"/>
      <c r="HJK28" s="914"/>
      <c r="HJL28" s="914"/>
      <c r="HJM28" s="914"/>
      <c r="HJN28" s="914"/>
      <c r="HJO28" s="914"/>
      <c r="HJP28" s="914"/>
      <c r="HJQ28" s="911"/>
      <c r="HJR28" s="911"/>
      <c r="HJS28" s="911"/>
      <c r="HJT28" s="915"/>
      <c r="HJU28" s="914"/>
      <c r="HJV28" s="914"/>
      <c r="HJW28" s="914"/>
      <c r="HJX28" s="914"/>
      <c r="HJY28" s="914"/>
      <c r="HJZ28" s="914"/>
      <c r="HKA28" s="914"/>
      <c r="HKB28" s="911"/>
      <c r="HKC28" s="911"/>
      <c r="HKD28" s="911"/>
      <c r="HKE28" s="915"/>
      <c r="HKF28" s="914"/>
      <c r="HKG28" s="914"/>
      <c r="HKH28" s="914"/>
      <c r="HKI28" s="914"/>
      <c r="HKJ28" s="914"/>
      <c r="HKK28" s="914"/>
      <c r="HKL28" s="914"/>
      <c r="HKM28" s="911"/>
      <c r="HKN28" s="911"/>
      <c r="HKO28" s="911"/>
      <c r="HKP28" s="915"/>
      <c r="HKQ28" s="914"/>
      <c r="HKR28" s="914"/>
      <c r="HKS28" s="914"/>
      <c r="HKT28" s="914"/>
      <c r="HKU28" s="914"/>
      <c r="HKV28" s="914"/>
      <c r="HKW28" s="914"/>
      <c r="HKX28" s="911"/>
      <c r="HKY28" s="911"/>
      <c r="HKZ28" s="911"/>
      <c r="HLA28" s="915"/>
      <c r="HLB28" s="914"/>
      <c r="HLC28" s="914"/>
      <c r="HLD28" s="914"/>
      <c r="HLE28" s="914"/>
      <c r="HLF28" s="914"/>
      <c r="HLG28" s="914"/>
      <c r="HLH28" s="914"/>
      <c r="HLI28" s="911"/>
      <c r="HLJ28" s="911"/>
      <c r="HLK28" s="911"/>
      <c r="HLL28" s="915"/>
      <c r="HLM28" s="914"/>
      <c r="HLN28" s="914"/>
      <c r="HLO28" s="914"/>
      <c r="HLP28" s="914"/>
      <c r="HLQ28" s="914"/>
      <c r="HLR28" s="914"/>
      <c r="HLS28" s="914"/>
      <c r="HLT28" s="911"/>
      <c r="HLU28" s="911"/>
      <c r="HLV28" s="911"/>
      <c r="HLW28" s="915"/>
      <c r="HLX28" s="914"/>
      <c r="HLY28" s="914"/>
      <c r="HLZ28" s="914"/>
      <c r="HMA28" s="914"/>
      <c r="HMB28" s="914"/>
      <c r="HMC28" s="914"/>
      <c r="HMD28" s="914"/>
      <c r="HME28" s="911"/>
      <c r="HMF28" s="911"/>
      <c r="HMG28" s="911"/>
      <c r="HMH28" s="915"/>
      <c r="HMI28" s="914"/>
      <c r="HMJ28" s="914"/>
      <c r="HMK28" s="914"/>
      <c r="HML28" s="914"/>
      <c r="HMM28" s="914"/>
      <c r="HMN28" s="914"/>
      <c r="HMO28" s="914"/>
      <c r="HMP28" s="911"/>
      <c r="HMQ28" s="911"/>
      <c r="HMR28" s="911"/>
      <c r="HMS28" s="915"/>
      <c r="HMT28" s="914"/>
      <c r="HMU28" s="914"/>
      <c r="HMV28" s="914"/>
      <c r="HMW28" s="914"/>
      <c r="HMX28" s="914"/>
      <c r="HMY28" s="914"/>
      <c r="HMZ28" s="914"/>
      <c r="HNA28" s="911"/>
      <c r="HNB28" s="911"/>
      <c r="HNC28" s="911"/>
      <c r="HND28" s="915"/>
      <c r="HNE28" s="914"/>
      <c r="HNF28" s="914"/>
      <c r="HNG28" s="914"/>
      <c r="HNH28" s="914"/>
      <c r="HNI28" s="914"/>
      <c r="HNJ28" s="914"/>
      <c r="HNK28" s="914"/>
      <c r="HNL28" s="911"/>
      <c r="HNM28" s="911"/>
      <c r="HNN28" s="911"/>
      <c r="HNO28" s="915"/>
      <c r="HNP28" s="914"/>
      <c r="HNQ28" s="914"/>
      <c r="HNR28" s="914"/>
      <c r="HNS28" s="914"/>
      <c r="HNT28" s="914"/>
      <c r="HNU28" s="914"/>
      <c r="HNV28" s="914"/>
      <c r="HNW28" s="911"/>
      <c r="HNX28" s="911"/>
      <c r="HNY28" s="911"/>
      <c r="HNZ28" s="915"/>
      <c r="HOA28" s="914"/>
      <c r="HOB28" s="914"/>
      <c r="HOC28" s="914"/>
      <c r="HOD28" s="914"/>
      <c r="HOE28" s="914"/>
      <c r="HOF28" s="914"/>
      <c r="HOG28" s="914"/>
      <c r="HOH28" s="911"/>
      <c r="HOI28" s="911"/>
      <c r="HOJ28" s="911"/>
      <c r="HOK28" s="915"/>
      <c r="HOL28" s="914"/>
      <c r="HOM28" s="914"/>
      <c r="HON28" s="914"/>
      <c r="HOO28" s="914"/>
      <c r="HOP28" s="914"/>
      <c r="HOQ28" s="914"/>
      <c r="HOR28" s="914"/>
      <c r="HOS28" s="911"/>
      <c r="HOT28" s="911"/>
      <c r="HOU28" s="911"/>
      <c r="HOV28" s="915"/>
      <c r="HOW28" s="914"/>
      <c r="HOX28" s="914"/>
      <c r="HOY28" s="914"/>
      <c r="HOZ28" s="914"/>
      <c r="HPA28" s="914"/>
      <c r="HPB28" s="914"/>
      <c r="HPC28" s="914"/>
      <c r="HPD28" s="911"/>
      <c r="HPE28" s="911"/>
      <c r="HPF28" s="911"/>
      <c r="HPG28" s="915"/>
      <c r="HPH28" s="914"/>
      <c r="HPI28" s="914"/>
      <c r="HPJ28" s="914"/>
      <c r="HPK28" s="914"/>
      <c r="HPL28" s="914"/>
      <c r="HPM28" s="914"/>
      <c r="HPN28" s="914"/>
      <c r="HPO28" s="911"/>
      <c r="HPP28" s="911"/>
      <c r="HPQ28" s="911"/>
      <c r="HPR28" s="915"/>
      <c r="HPS28" s="914"/>
      <c r="HPT28" s="914"/>
      <c r="HPU28" s="914"/>
      <c r="HPV28" s="914"/>
      <c r="HPW28" s="914"/>
      <c r="HPX28" s="914"/>
      <c r="HPY28" s="914"/>
      <c r="HPZ28" s="911"/>
      <c r="HQA28" s="911"/>
      <c r="HQB28" s="911"/>
      <c r="HQC28" s="915"/>
      <c r="HQD28" s="914"/>
      <c r="HQE28" s="914"/>
      <c r="HQF28" s="914"/>
      <c r="HQG28" s="914"/>
      <c r="HQH28" s="914"/>
      <c r="HQI28" s="914"/>
      <c r="HQJ28" s="914"/>
      <c r="HQK28" s="911"/>
      <c r="HQL28" s="911"/>
      <c r="HQM28" s="911"/>
      <c r="HQN28" s="915"/>
      <c r="HQO28" s="914"/>
      <c r="HQP28" s="914"/>
      <c r="HQQ28" s="914"/>
      <c r="HQR28" s="914"/>
      <c r="HQS28" s="914"/>
      <c r="HQT28" s="914"/>
      <c r="HQU28" s="914"/>
      <c r="HQV28" s="911"/>
      <c r="HQW28" s="911"/>
      <c r="HQX28" s="911"/>
      <c r="HQY28" s="915"/>
      <c r="HQZ28" s="914"/>
      <c r="HRA28" s="914"/>
      <c r="HRB28" s="914"/>
      <c r="HRC28" s="914"/>
      <c r="HRD28" s="914"/>
      <c r="HRE28" s="914"/>
      <c r="HRF28" s="914"/>
      <c r="HRG28" s="911"/>
      <c r="HRH28" s="911"/>
      <c r="HRI28" s="911"/>
      <c r="HRJ28" s="915"/>
      <c r="HRK28" s="914"/>
      <c r="HRL28" s="914"/>
      <c r="HRM28" s="914"/>
      <c r="HRN28" s="914"/>
      <c r="HRO28" s="914"/>
      <c r="HRP28" s="914"/>
      <c r="HRQ28" s="914"/>
      <c r="HRR28" s="911"/>
      <c r="HRS28" s="911"/>
      <c r="HRT28" s="911"/>
      <c r="HRU28" s="915"/>
      <c r="HRV28" s="914"/>
      <c r="HRW28" s="914"/>
      <c r="HRX28" s="914"/>
      <c r="HRY28" s="914"/>
      <c r="HRZ28" s="914"/>
      <c r="HSA28" s="914"/>
      <c r="HSB28" s="914"/>
      <c r="HSC28" s="911"/>
      <c r="HSD28" s="911"/>
      <c r="HSE28" s="911"/>
      <c r="HSF28" s="915"/>
      <c r="HSG28" s="914"/>
      <c r="HSH28" s="914"/>
      <c r="HSI28" s="914"/>
      <c r="HSJ28" s="914"/>
      <c r="HSK28" s="914"/>
      <c r="HSL28" s="914"/>
      <c r="HSM28" s="914"/>
      <c r="HSN28" s="911"/>
      <c r="HSO28" s="911"/>
      <c r="HSP28" s="911"/>
      <c r="HSQ28" s="915"/>
      <c r="HSR28" s="914"/>
      <c r="HSS28" s="914"/>
      <c r="HST28" s="914"/>
      <c r="HSU28" s="914"/>
      <c r="HSV28" s="914"/>
      <c r="HSW28" s="914"/>
      <c r="HSX28" s="914"/>
      <c r="HSY28" s="911"/>
      <c r="HSZ28" s="911"/>
      <c r="HTA28" s="911"/>
      <c r="HTB28" s="915"/>
      <c r="HTC28" s="914"/>
      <c r="HTD28" s="914"/>
      <c r="HTE28" s="914"/>
      <c r="HTF28" s="914"/>
      <c r="HTG28" s="914"/>
      <c r="HTH28" s="914"/>
      <c r="HTI28" s="914"/>
      <c r="HTJ28" s="911"/>
      <c r="HTK28" s="911"/>
      <c r="HTL28" s="911"/>
      <c r="HTM28" s="915"/>
      <c r="HTN28" s="914"/>
      <c r="HTO28" s="914"/>
      <c r="HTP28" s="914"/>
      <c r="HTQ28" s="914"/>
      <c r="HTR28" s="914"/>
      <c r="HTS28" s="914"/>
      <c r="HTT28" s="914"/>
      <c r="HTU28" s="911"/>
      <c r="HTV28" s="911"/>
      <c r="HTW28" s="911"/>
      <c r="HTX28" s="915"/>
      <c r="HTY28" s="914"/>
      <c r="HTZ28" s="914"/>
      <c r="HUA28" s="914"/>
      <c r="HUB28" s="914"/>
      <c r="HUC28" s="914"/>
      <c r="HUD28" s="914"/>
      <c r="HUE28" s="914"/>
      <c r="HUF28" s="911"/>
      <c r="HUG28" s="911"/>
      <c r="HUH28" s="911"/>
      <c r="HUI28" s="915"/>
      <c r="HUJ28" s="914"/>
      <c r="HUK28" s="914"/>
      <c r="HUL28" s="914"/>
      <c r="HUM28" s="914"/>
      <c r="HUN28" s="914"/>
      <c r="HUO28" s="914"/>
      <c r="HUP28" s="914"/>
      <c r="HUQ28" s="911"/>
      <c r="HUR28" s="911"/>
      <c r="HUS28" s="911"/>
      <c r="HUT28" s="915"/>
      <c r="HUU28" s="914"/>
      <c r="HUV28" s="914"/>
      <c r="HUW28" s="914"/>
      <c r="HUX28" s="914"/>
      <c r="HUY28" s="914"/>
      <c r="HUZ28" s="914"/>
      <c r="HVA28" s="914"/>
      <c r="HVB28" s="911"/>
      <c r="HVC28" s="911"/>
      <c r="HVD28" s="911"/>
      <c r="HVE28" s="915"/>
      <c r="HVF28" s="914"/>
      <c r="HVG28" s="914"/>
      <c r="HVH28" s="914"/>
      <c r="HVI28" s="914"/>
      <c r="HVJ28" s="914"/>
      <c r="HVK28" s="914"/>
      <c r="HVL28" s="914"/>
      <c r="HVM28" s="911"/>
      <c r="HVN28" s="911"/>
      <c r="HVO28" s="911"/>
      <c r="HVP28" s="915"/>
      <c r="HVQ28" s="914"/>
      <c r="HVR28" s="914"/>
      <c r="HVS28" s="914"/>
      <c r="HVT28" s="914"/>
      <c r="HVU28" s="914"/>
      <c r="HVV28" s="914"/>
      <c r="HVW28" s="914"/>
      <c r="HVX28" s="911"/>
      <c r="HVY28" s="911"/>
      <c r="HVZ28" s="911"/>
      <c r="HWA28" s="915"/>
      <c r="HWB28" s="914"/>
      <c r="HWC28" s="914"/>
      <c r="HWD28" s="914"/>
      <c r="HWE28" s="914"/>
      <c r="HWF28" s="914"/>
      <c r="HWG28" s="914"/>
      <c r="HWH28" s="914"/>
      <c r="HWI28" s="911"/>
      <c r="HWJ28" s="911"/>
      <c r="HWK28" s="911"/>
      <c r="HWL28" s="915"/>
      <c r="HWM28" s="914"/>
      <c r="HWN28" s="914"/>
      <c r="HWO28" s="914"/>
      <c r="HWP28" s="914"/>
      <c r="HWQ28" s="914"/>
      <c r="HWR28" s="914"/>
      <c r="HWS28" s="914"/>
      <c r="HWT28" s="911"/>
      <c r="HWU28" s="911"/>
      <c r="HWV28" s="911"/>
      <c r="HWW28" s="915"/>
      <c r="HWX28" s="914"/>
      <c r="HWY28" s="914"/>
      <c r="HWZ28" s="914"/>
      <c r="HXA28" s="914"/>
      <c r="HXB28" s="914"/>
      <c r="HXC28" s="914"/>
      <c r="HXD28" s="914"/>
      <c r="HXE28" s="911"/>
      <c r="HXF28" s="911"/>
      <c r="HXG28" s="911"/>
      <c r="HXH28" s="915"/>
      <c r="HXI28" s="914"/>
      <c r="HXJ28" s="914"/>
      <c r="HXK28" s="914"/>
      <c r="HXL28" s="914"/>
      <c r="HXM28" s="914"/>
      <c r="HXN28" s="914"/>
      <c r="HXO28" s="914"/>
      <c r="HXP28" s="911"/>
      <c r="HXQ28" s="911"/>
      <c r="HXR28" s="911"/>
      <c r="HXS28" s="915"/>
      <c r="HXT28" s="914"/>
      <c r="HXU28" s="914"/>
      <c r="HXV28" s="914"/>
      <c r="HXW28" s="914"/>
      <c r="HXX28" s="914"/>
      <c r="HXY28" s="914"/>
      <c r="HXZ28" s="914"/>
      <c r="HYA28" s="911"/>
      <c r="HYB28" s="911"/>
      <c r="HYC28" s="911"/>
      <c r="HYD28" s="915"/>
      <c r="HYE28" s="914"/>
      <c r="HYF28" s="914"/>
      <c r="HYG28" s="914"/>
      <c r="HYH28" s="914"/>
      <c r="HYI28" s="914"/>
      <c r="HYJ28" s="914"/>
      <c r="HYK28" s="914"/>
      <c r="HYL28" s="911"/>
      <c r="HYM28" s="911"/>
      <c r="HYN28" s="911"/>
      <c r="HYO28" s="915"/>
      <c r="HYP28" s="914"/>
      <c r="HYQ28" s="914"/>
      <c r="HYR28" s="914"/>
      <c r="HYS28" s="914"/>
      <c r="HYT28" s="914"/>
      <c r="HYU28" s="914"/>
      <c r="HYV28" s="914"/>
      <c r="HYW28" s="911"/>
      <c r="HYX28" s="911"/>
      <c r="HYY28" s="911"/>
      <c r="HYZ28" s="915"/>
      <c r="HZA28" s="914"/>
      <c r="HZB28" s="914"/>
      <c r="HZC28" s="914"/>
      <c r="HZD28" s="914"/>
      <c r="HZE28" s="914"/>
      <c r="HZF28" s="914"/>
      <c r="HZG28" s="914"/>
      <c r="HZH28" s="911"/>
      <c r="HZI28" s="911"/>
      <c r="HZJ28" s="911"/>
      <c r="HZK28" s="915"/>
      <c r="HZL28" s="914"/>
      <c r="HZM28" s="914"/>
      <c r="HZN28" s="914"/>
      <c r="HZO28" s="914"/>
      <c r="HZP28" s="914"/>
      <c r="HZQ28" s="914"/>
      <c r="HZR28" s="914"/>
      <c r="HZS28" s="911"/>
      <c r="HZT28" s="911"/>
      <c r="HZU28" s="911"/>
      <c r="HZV28" s="915"/>
      <c r="HZW28" s="914"/>
      <c r="HZX28" s="914"/>
      <c r="HZY28" s="914"/>
      <c r="HZZ28" s="914"/>
      <c r="IAA28" s="914"/>
      <c r="IAB28" s="914"/>
      <c r="IAC28" s="914"/>
      <c r="IAD28" s="911"/>
      <c r="IAE28" s="911"/>
      <c r="IAF28" s="911"/>
      <c r="IAG28" s="915"/>
      <c r="IAH28" s="914"/>
      <c r="IAI28" s="914"/>
      <c r="IAJ28" s="914"/>
      <c r="IAK28" s="914"/>
      <c r="IAL28" s="914"/>
      <c r="IAM28" s="914"/>
      <c r="IAN28" s="914"/>
      <c r="IAO28" s="911"/>
      <c r="IAP28" s="911"/>
      <c r="IAQ28" s="911"/>
      <c r="IAR28" s="915"/>
      <c r="IAS28" s="914"/>
      <c r="IAT28" s="914"/>
      <c r="IAU28" s="914"/>
      <c r="IAV28" s="914"/>
      <c r="IAW28" s="914"/>
      <c r="IAX28" s="914"/>
      <c r="IAY28" s="914"/>
      <c r="IAZ28" s="911"/>
      <c r="IBA28" s="911"/>
      <c r="IBB28" s="911"/>
      <c r="IBC28" s="915"/>
      <c r="IBD28" s="914"/>
      <c r="IBE28" s="914"/>
      <c r="IBF28" s="914"/>
      <c r="IBG28" s="914"/>
      <c r="IBH28" s="914"/>
      <c r="IBI28" s="914"/>
      <c r="IBJ28" s="914"/>
      <c r="IBK28" s="911"/>
      <c r="IBL28" s="911"/>
      <c r="IBM28" s="911"/>
      <c r="IBN28" s="915"/>
      <c r="IBO28" s="914"/>
      <c r="IBP28" s="914"/>
      <c r="IBQ28" s="914"/>
      <c r="IBR28" s="914"/>
      <c r="IBS28" s="914"/>
      <c r="IBT28" s="914"/>
      <c r="IBU28" s="914"/>
      <c r="IBV28" s="911"/>
      <c r="IBW28" s="911"/>
      <c r="IBX28" s="911"/>
      <c r="IBY28" s="915"/>
      <c r="IBZ28" s="914"/>
      <c r="ICA28" s="914"/>
      <c r="ICB28" s="914"/>
      <c r="ICC28" s="914"/>
      <c r="ICD28" s="914"/>
      <c r="ICE28" s="914"/>
      <c r="ICF28" s="914"/>
      <c r="ICG28" s="911"/>
      <c r="ICH28" s="911"/>
      <c r="ICI28" s="911"/>
      <c r="ICJ28" s="915"/>
      <c r="ICK28" s="914"/>
      <c r="ICL28" s="914"/>
      <c r="ICM28" s="914"/>
      <c r="ICN28" s="914"/>
      <c r="ICO28" s="914"/>
      <c r="ICP28" s="914"/>
      <c r="ICQ28" s="914"/>
      <c r="ICR28" s="911"/>
      <c r="ICS28" s="911"/>
      <c r="ICT28" s="911"/>
      <c r="ICU28" s="915"/>
      <c r="ICV28" s="914"/>
      <c r="ICW28" s="914"/>
      <c r="ICX28" s="914"/>
      <c r="ICY28" s="914"/>
      <c r="ICZ28" s="914"/>
      <c r="IDA28" s="914"/>
      <c r="IDB28" s="914"/>
      <c r="IDC28" s="911"/>
      <c r="IDD28" s="911"/>
      <c r="IDE28" s="911"/>
      <c r="IDF28" s="915"/>
      <c r="IDG28" s="914"/>
      <c r="IDH28" s="914"/>
      <c r="IDI28" s="914"/>
      <c r="IDJ28" s="914"/>
      <c r="IDK28" s="914"/>
      <c r="IDL28" s="914"/>
      <c r="IDM28" s="914"/>
      <c r="IDN28" s="911"/>
      <c r="IDO28" s="911"/>
      <c r="IDP28" s="911"/>
      <c r="IDQ28" s="915"/>
      <c r="IDR28" s="914"/>
      <c r="IDS28" s="914"/>
      <c r="IDT28" s="914"/>
      <c r="IDU28" s="914"/>
      <c r="IDV28" s="914"/>
      <c r="IDW28" s="914"/>
      <c r="IDX28" s="914"/>
      <c r="IDY28" s="911"/>
      <c r="IDZ28" s="911"/>
      <c r="IEA28" s="911"/>
      <c r="IEB28" s="915"/>
      <c r="IEC28" s="914"/>
      <c r="IED28" s="914"/>
      <c r="IEE28" s="914"/>
      <c r="IEF28" s="914"/>
      <c r="IEG28" s="914"/>
      <c r="IEH28" s="914"/>
      <c r="IEI28" s="914"/>
      <c r="IEJ28" s="911"/>
      <c r="IEK28" s="911"/>
      <c r="IEL28" s="911"/>
      <c r="IEM28" s="915"/>
      <c r="IEN28" s="914"/>
      <c r="IEO28" s="914"/>
      <c r="IEP28" s="914"/>
      <c r="IEQ28" s="914"/>
      <c r="IER28" s="914"/>
      <c r="IES28" s="914"/>
      <c r="IET28" s="914"/>
      <c r="IEU28" s="911"/>
      <c r="IEV28" s="911"/>
      <c r="IEW28" s="911"/>
      <c r="IEX28" s="915"/>
      <c r="IEY28" s="914"/>
      <c r="IEZ28" s="914"/>
      <c r="IFA28" s="914"/>
      <c r="IFB28" s="914"/>
      <c r="IFC28" s="914"/>
      <c r="IFD28" s="914"/>
      <c r="IFE28" s="914"/>
      <c r="IFF28" s="911"/>
      <c r="IFG28" s="911"/>
      <c r="IFH28" s="911"/>
      <c r="IFI28" s="915"/>
      <c r="IFJ28" s="914"/>
      <c r="IFK28" s="914"/>
      <c r="IFL28" s="914"/>
      <c r="IFM28" s="914"/>
      <c r="IFN28" s="914"/>
      <c r="IFO28" s="914"/>
      <c r="IFP28" s="914"/>
      <c r="IFQ28" s="911"/>
      <c r="IFR28" s="911"/>
      <c r="IFS28" s="911"/>
      <c r="IFT28" s="915"/>
      <c r="IFU28" s="914"/>
      <c r="IFV28" s="914"/>
      <c r="IFW28" s="914"/>
      <c r="IFX28" s="914"/>
      <c r="IFY28" s="914"/>
      <c r="IFZ28" s="914"/>
      <c r="IGA28" s="914"/>
      <c r="IGB28" s="911"/>
      <c r="IGC28" s="911"/>
      <c r="IGD28" s="911"/>
      <c r="IGE28" s="915"/>
      <c r="IGF28" s="914"/>
      <c r="IGG28" s="914"/>
      <c r="IGH28" s="914"/>
      <c r="IGI28" s="914"/>
      <c r="IGJ28" s="914"/>
      <c r="IGK28" s="914"/>
      <c r="IGL28" s="914"/>
      <c r="IGM28" s="911"/>
      <c r="IGN28" s="911"/>
      <c r="IGO28" s="911"/>
      <c r="IGP28" s="915"/>
      <c r="IGQ28" s="914"/>
      <c r="IGR28" s="914"/>
      <c r="IGS28" s="914"/>
      <c r="IGT28" s="914"/>
      <c r="IGU28" s="914"/>
      <c r="IGV28" s="914"/>
      <c r="IGW28" s="914"/>
      <c r="IGX28" s="911"/>
      <c r="IGY28" s="911"/>
      <c r="IGZ28" s="911"/>
      <c r="IHA28" s="915"/>
      <c r="IHB28" s="914"/>
      <c r="IHC28" s="914"/>
      <c r="IHD28" s="914"/>
      <c r="IHE28" s="914"/>
      <c r="IHF28" s="914"/>
      <c r="IHG28" s="914"/>
      <c r="IHH28" s="914"/>
      <c r="IHI28" s="911"/>
      <c r="IHJ28" s="911"/>
      <c r="IHK28" s="911"/>
      <c r="IHL28" s="915"/>
      <c r="IHM28" s="914"/>
      <c r="IHN28" s="914"/>
      <c r="IHO28" s="914"/>
      <c r="IHP28" s="914"/>
      <c r="IHQ28" s="914"/>
      <c r="IHR28" s="914"/>
      <c r="IHS28" s="914"/>
      <c r="IHT28" s="911"/>
      <c r="IHU28" s="911"/>
      <c r="IHV28" s="911"/>
      <c r="IHW28" s="915"/>
      <c r="IHX28" s="914"/>
      <c r="IHY28" s="914"/>
      <c r="IHZ28" s="914"/>
      <c r="IIA28" s="914"/>
      <c r="IIB28" s="914"/>
      <c r="IIC28" s="914"/>
      <c r="IID28" s="914"/>
      <c r="IIE28" s="911"/>
      <c r="IIF28" s="911"/>
      <c r="IIG28" s="911"/>
      <c r="IIH28" s="915"/>
      <c r="III28" s="914"/>
      <c r="IIJ28" s="914"/>
      <c r="IIK28" s="914"/>
      <c r="IIL28" s="914"/>
      <c r="IIM28" s="914"/>
      <c r="IIN28" s="914"/>
      <c r="IIO28" s="914"/>
      <c r="IIP28" s="911"/>
      <c r="IIQ28" s="911"/>
      <c r="IIR28" s="911"/>
      <c r="IIS28" s="915"/>
      <c r="IIT28" s="914"/>
      <c r="IIU28" s="914"/>
      <c r="IIV28" s="914"/>
      <c r="IIW28" s="914"/>
      <c r="IIX28" s="914"/>
      <c r="IIY28" s="914"/>
      <c r="IIZ28" s="914"/>
      <c r="IJA28" s="911"/>
      <c r="IJB28" s="911"/>
      <c r="IJC28" s="911"/>
      <c r="IJD28" s="915"/>
      <c r="IJE28" s="914"/>
      <c r="IJF28" s="914"/>
      <c r="IJG28" s="914"/>
      <c r="IJH28" s="914"/>
      <c r="IJI28" s="914"/>
      <c r="IJJ28" s="914"/>
      <c r="IJK28" s="914"/>
      <c r="IJL28" s="911"/>
      <c r="IJM28" s="911"/>
      <c r="IJN28" s="911"/>
      <c r="IJO28" s="915"/>
      <c r="IJP28" s="914"/>
      <c r="IJQ28" s="914"/>
      <c r="IJR28" s="914"/>
      <c r="IJS28" s="914"/>
      <c r="IJT28" s="914"/>
      <c r="IJU28" s="914"/>
      <c r="IJV28" s="914"/>
      <c r="IJW28" s="911"/>
      <c r="IJX28" s="911"/>
      <c r="IJY28" s="911"/>
      <c r="IJZ28" s="915"/>
      <c r="IKA28" s="914"/>
      <c r="IKB28" s="914"/>
      <c r="IKC28" s="914"/>
      <c r="IKD28" s="914"/>
      <c r="IKE28" s="914"/>
      <c r="IKF28" s="914"/>
      <c r="IKG28" s="914"/>
      <c r="IKH28" s="911"/>
      <c r="IKI28" s="911"/>
      <c r="IKJ28" s="911"/>
      <c r="IKK28" s="915"/>
      <c r="IKL28" s="914"/>
      <c r="IKM28" s="914"/>
      <c r="IKN28" s="914"/>
      <c r="IKO28" s="914"/>
      <c r="IKP28" s="914"/>
      <c r="IKQ28" s="914"/>
      <c r="IKR28" s="914"/>
      <c r="IKS28" s="911"/>
      <c r="IKT28" s="911"/>
      <c r="IKU28" s="911"/>
      <c r="IKV28" s="915"/>
      <c r="IKW28" s="914"/>
      <c r="IKX28" s="914"/>
      <c r="IKY28" s="914"/>
      <c r="IKZ28" s="914"/>
      <c r="ILA28" s="914"/>
      <c r="ILB28" s="914"/>
      <c r="ILC28" s="914"/>
      <c r="ILD28" s="911"/>
      <c r="ILE28" s="911"/>
      <c r="ILF28" s="911"/>
      <c r="ILG28" s="915"/>
      <c r="ILH28" s="914"/>
      <c r="ILI28" s="914"/>
      <c r="ILJ28" s="914"/>
      <c r="ILK28" s="914"/>
      <c r="ILL28" s="914"/>
      <c r="ILM28" s="914"/>
      <c r="ILN28" s="914"/>
      <c r="ILO28" s="911"/>
      <c r="ILP28" s="911"/>
      <c r="ILQ28" s="911"/>
      <c r="ILR28" s="915"/>
      <c r="ILS28" s="914"/>
      <c r="ILT28" s="914"/>
      <c r="ILU28" s="914"/>
      <c r="ILV28" s="914"/>
      <c r="ILW28" s="914"/>
      <c r="ILX28" s="914"/>
      <c r="ILY28" s="914"/>
      <c r="ILZ28" s="911"/>
      <c r="IMA28" s="911"/>
      <c r="IMB28" s="911"/>
      <c r="IMC28" s="915"/>
      <c r="IMD28" s="914"/>
      <c r="IME28" s="914"/>
      <c r="IMF28" s="914"/>
      <c r="IMG28" s="914"/>
      <c r="IMH28" s="914"/>
      <c r="IMI28" s="914"/>
      <c r="IMJ28" s="914"/>
      <c r="IMK28" s="911"/>
      <c r="IML28" s="911"/>
      <c r="IMM28" s="911"/>
      <c r="IMN28" s="915"/>
      <c r="IMO28" s="914"/>
      <c r="IMP28" s="914"/>
      <c r="IMQ28" s="914"/>
      <c r="IMR28" s="914"/>
      <c r="IMS28" s="914"/>
      <c r="IMT28" s="914"/>
      <c r="IMU28" s="914"/>
      <c r="IMV28" s="911"/>
      <c r="IMW28" s="911"/>
      <c r="IMX28" s="911"/>
      <c r="IMY28" s="915"/>
      <c r="IMZ28" s="914"/>
      <c r="INA28" s="914"/>
      <c r="INB28" s="914"/>
      <c r="INC28" s="914"/>
      <c r="IND28" s="914"/>
      <c r="INE28" s="914"/>
      <c r="INF28" s="914"/>
      <c r="ING28" s="911"/>
      <c r="INH28" s="911"/>
      <c r="INI28" s="911"/>
      <c r="INJ28" s="915"/>
      <c r="INK28" s="914"/>
      <c r="INL28" s="914"/>
      <c r="INM28" s="914"/>
      <c r="INN28" s="914"/>
      <c r="INO28" s="914"/>
      <c r="INP28" s="914"/>
      <c r="INQ28" s="914"/>
      <c r="INR28" s="911"/>
      <c r="INS28" s="911"/>
      <c r="INT28" s="911"/>
      <c r="INU28" s="915"/>
      <c r="INV28" s="914"/>
      <c r="INW28" s="914"/>
      <c r="INX28" s="914"/>
      <c r="INY28" s="914"/>
      <c r="INZ28" s="914"/>
      <c r="IOA28" s="914"/>
      <c r="IOB28" s="914"/>
      <c r="IOC28" s="911"/>
      <c r="IOD28" s="911"/>
      <c r="IOE28" s="911"/>
      <c r="IOF28" s="915"/>
      <c r="IOG28" s="914"/>
      <c r="IOH28" s="914"/>
      <c r="IOI28" s="914"/>
      <c r="IOJ28" s="914"/>
      <c r="IOK28" s="914"/>
      <c r="IOL28" s="914"/>
      <c r="IOM28" s="914"/>
      <c r="ION28" s="911"/>
      <c r="IOO28" s="911"/>
      <c r="IOP28" s="911"/>
      <c r="IOQ28" s="915"/>
      <c r="IOR28" s="914"/>
      <c r="IOS28" s="914"/>
      <c r="IOT28" s="914"/>
      <c r="IOU28" s="914"/>
      <c r="IOV28" s="914"/>
      <c r="IOW28" s="914"/>
      <c r="IOX28" s="914"/>
      <c r="IOY28" s="911"/>
      <c r="IOZ28" s="911"/>
      <c r="IPA28" s="911"/>
      <c r="IPB28" s="915"/>
      <c r="IPC28" s="914"/>
      <c r="IPD28" s="914"/>
      <c r="IPE28" s="914"/>
      <c r="IPF28" s="914"/>
      <c r="IPG28" s="914"/>
      <c r="IPH28" s="914"/>
      <c r="IPI28" s="914"/>
      <c r="IPJ28" s="911"/>
      <c r="IPK28" s="911"/>
      <c r="IPL28" s="911"/>
      <c r="IPM28" s="915"/>
      <c r="IPN28" s="914"/>
      <c r="IPO28" s="914"/>
      <c r="IPP28" s="914"/>
      <c r="IPQ28" s="914"/>
      <c r="IPR28" s="914"/>
      <c r="IPS28" s="914"/>
      <c r="IPT28" s="914"/>
      <c r="IPU28" s="911"/>
      <c r="IPV28" s="911"/>
      <c r="IPW28" s="911"/>
      <c r="IPX28" s="915"/>
      <c r="IPY28" s="914"/>
      <c r="IPZ28" s="914"/>
      <c r="IQA28" s="914"/>
      <c r="IQB28" s="914"/>
      <c r="IQC28" s="914"/>
      <c r="IQD28" s="914"/>
      <c r="IQE28" s="914"/>
      <c r="IQF28" s="911"/>
      <c r="IQG28" s="911"/>
      <c r="IQH28" s="911"/>
      <c r="IQI28" s="915"/>
      <c r="IQJ28" s="914"/>
      <c r="IQK28" s="914"/>
      <c r="IQL28" s="914"/>
      <c r="IQM28" s="914"/>
      <c r="IQN28" s="914"/>
      <c r="IQO28" s="914"/>
      <c r="IQP28" s="914"/>
      <c r="IQQ28" s="911"/>
      <c r="IQR28" s="911"/>
      <c r="IQS28" s="911"/>
      <c r="IQT28" s="915"/>
      <c r="IQU28" s="914"/>
      <c r="IQV28" s="914"/>
      <c r="IQW28" s="914"/>
      <c r="IQX28" s="914"/>
      <c r="IQY28" s="914"/>
      <c r="IQZ28" s="914"/>
      <c r="IRA28" s="914"/>
      <c r="IRB28" s="911"/>
      <c r="IRC28" s="911"/>
      <c r="IRD28" s="911"/>
      <c r="IRE28" s="915"/>
      <c r="IRF28" s="914"/>
      <c r="IRG28" s="914"/>
      <c r="IRH28" s="914"/>
      <c r="IRI28" s="914"/>
      <c r="IRJ28" s="914"/>
      <c r="IRK28" s="914"/>
      <c r="IRL28" s="914"/>
      <c r="IRM28" s="911"/>
      <c r="IRN28" s="911"/>
      <c r="IRO28" s="911"/>
      <c r="IRP28" s="915"/>
      <c r="IRQ28" s="914"/>
      <c r="IRR28" s="914"/>
      <c r="IRS28" s="914"/>
      <c r="IRT28" s="914"/>
      <c r="IRU28" s="914"/>
      <c r="IRV28" s="914"/>
      <c r="IRW28" s="914"/>
      <c r="IRX28" s="911"/>
      <c r="IRY28" s="911"/>
      <c r="IRZ28" s="911"/>
      <c r="ISA28" s="915"/>
      <c r="ISB28" s="914"/>
      <c r="ISC28" s="914"/>
      <c r="ISD28" s="914"/>
      <c r="ISE28" s="914"/>
      <c r="ISF28" s="914"/>
      <c r="ISG28" s="914"/>
      <c r="ISH28" s="914"/>
      <c r="ISI28" s="911"/>
      <c r="ISJ28" s="911"/>
      <c r="ISK28" s="911"/>
      <c r="ISL28" s="915"/>
      <c r="ISM28" s="914"/>
      <c r="ISN28" s="914"/>
      <c r="ISO28" s="914"/>
      <c r="ISP28" s="914"/>
      <c r="ISQ28" s="914"/>
      <c r="ISR28" s="914"/>
      <c r="ISS28" s="914"/>
      <c r="IST28" s="911"/>
      <c r="ISU28" s="911"/>
      <c r="ISV28" s="911"/>
      <c r="ISW28" s="915"/>
      <c r="ISX28" s="914"/>
      <c r="ISY28" s="914"/>
      <c r="ISZ28" s="914"/>
      <c r="ITA28" s="914"/>
      <c r="ITB28" s="914"/>
      <c r="ITC28" s="914"/>
      <c r="ITD28" s="914"/>
      <c r="ITE28" s="911"/>
      <c r="ITF28" s="911"/>
      <c r="ITG28" s="911"/>
      <c r="ITH28" s="915"/>
      <c r="ITI28" s="914"/>
      <c r="ITJ28" s="914"/>
      <c r="ITK28" s="914"/>
      <c r="ITL28" s="914"/>
      <c r="ITM28" s="914"/>
      <c r="ITN28" s="914"/>
      <c r="ITO28" s="914"/>
      <c r="ITP28" s="911"/>
      <c r="ITQ28" s="911"/>
      <c r="ITR28" s="911"/>
      <c r="ITS28" s="915"/>
      <c r="ITT28" s="914"/>
      <c r="ITU28" s="914"/>
      <c r="ITV28" s="914"/>
      <c r="ITW28" s="914"/>
      <c r="ITX28" s="914"/>
      <c r="ITY28" s="914"/>
      <c r="ITZ28" s="914"/>
      <c r="IUA28" s="911"/>
      <c r="IUB28" s="911"/>
      <c r="IUC28" s="911"/>
      <c r="IUD28" s="915"/>
      <c r="IUE28" s="914"/>
      <c r="IUF28" s="914"/>
      <c r="IUG28" s="914"/>
      <c r="IUH28" s="914"/>
      <c r="IUI28" s="914"/>
      <c r="IUJ28" s="914"/>
      <c r="IUK28" s="914"/>
      <c r="IUL28" s="911"/>
      <c r="IUM28" s="911"/>
      <c r="IUN28" s="911"/>
      <c r="IUO28" s="915"/>
      <c r="IUP28" s="914"/>
      <c r="IUQ28" s="914"/>
      <c r="IUR28" s="914"/>
      <c r="IUS28" s="914"/>
      <c r="IUT28" s="914"/>
      <c r="IUU28" s="914"/>
      <c r="IUV28" s="914"/>
      <c r="IUW28" s="911"/>
      <c r="IUX28" s="911"/>
      <c r="IUY28" s="911"/>
      <c r="IUZ28" s="915"/>
      <c r="IVA28" s="914"/>
      <c r="IVB28" s="914"/>
      <c r="IVC28" s="914"/>
      <c r="IVD28" s="914"/>
      <c r="IVE28" s="914"/>
      <c r="IVF28" s="914"/>
      <c r="IVG28" s="914"/>
      <c r="IVH28" s="911"/>
      <c r="IVI28" s="911"/>
      <c r="IVJ28" s="911"/>
      <c r="IVK28" s="915"/>
      <c r="IVL28" s="914"/>
      <c r="IVM28" s="914"/>
      <c r="IVN28" s="914"/>
      <c r="IVO28" s="914"/>
      <c r="IVP28" s="914"/>
      <c r="IVQ28" s="914"/>
      <c r="IVR28" s="914"/>
      <c r="IVS28" s="911"/>
      <c r="IVT28" s="911"/>
      <c r="IVU28" s="911"/>
      <c r="IVV28" s="915"/>
      <c r="IVW28" s="914"/>
      <c r="IVX28" s="914"/>
      <c r="IVY28" s="914"/>
      <c r="IVZ28" s="914"/>
      <c r="IWA28" s="914"/>
      <c r="IWB28" s="914"/>
      <c r="IWC28" s="914"/>
      <c r="IWD28" s="911"/>
      <c r="IWE28" s="911"/>
      <c r="IWF28" s="911"/>
      <c r="IWG28" s="915"/>
      <c r="IWH28" s="914"/>
      <c r="IWI28" s="914"/>
      <c r="IWJ28" s="914"/>
      <c r="IWK28" s="914"/>
      <c r="IWL28" s="914"/>
      <c r="IWM28" s="914"/>
      <c r="IWN28" s="914"/>
      <c r="IWO28" s="911"/>
      <c r="IWP28" s="911"/>
      <c r="IWQ28" s="911"/>
      <c r="IWR28" s="915"/>
      <c r="IWS28" s="914"/>
      <c r="IWT28" s="914"/>
      <c r="IWU28" s="914"/>
      <c r="IWV28" s="914"/>
      <c r="IWW28" s="914"/>
      <c r="IWX28" s="914"/>
      <c r="IWY28" s="914"/>
      <c r="IWZ28" s="911"/>
      <c r="IXA28" s="911"/>
      <c r="IXB28" s="911"/>
      <c r="IXC28" s="915"/>
      <c r="IXD28" s="914"/>
      <c r="IXE28" s="914"/>
      <c r="IXF28" s="914"/>
      <c r="IXG28" s="914"/>
      <c r="IXH28" s="914"/>
      <c r="IXI28" s="914"/>
      <c r="IXJ28" s="914"/>
      <c r="IXK28" s="911"/>
      <c r="IXL28" s="911"/>
      <c r="IXM28" s="911"/>
      <c r="IXN28" s="915"/>
      <c r="IXO28" s="914"/>
      <c r="IXP28" s="914"/>
      <c r="IXQ28" s="914"/>
      <c r="IXR28" s="914"/>
      <c r="IXS28" s="914"/>
      <c r="IXT28" s="914"/>
      <c r="IXU28" s="914"/>
      <c r="IXV28" s="911"/>
      <c r="IXW28" s="911"/>
      <c r="IXX28" s="911"/>
      <c r="IXY28" s="915"/>
      <c r="IXZ28" s="914"/>
      <c r="IYA28" s="914"/>
      <c r="IYB28" s="914"/>
      <c r="IYC28" s="914"/>
      <c r="IYD28" s="914"/>
      <c r="IYE28" s="914"/>
      <c r="IYF28" s="914"/>
      <c r="IYG28" s="911"/>
      <c r="IYH28" s="911"/>
      <c r="IYI28" s="911"/>
      <c r="IYJ28" s="915"/>
      <c r="IYK28" s="914"/>
      <c r="IYL28" s="914"/>
      <c r="IYM28" s="914"/>
      <c r="IYN28" s="914"/>
      <c r="IYO28" s="914"/>
      <c r="IYP28" s="914"/>
      <c r="IYQ28" s="914"/>
      <c r="IYR28" s="911"/>
      <c r="IYS28" s="911"/>
      <c r="IYT28" s="911"/>
      <c r="IYU28" s="915"/>
      <c r="IYV28" s="914"/>
      <c r="IYW28" s="914"/>
      <c r="IYX28" s="914"/>
      <c r="IYY28" s="914"/>
      <c r="IYZ28" s="914"/>
      <c r="IZA28" s="914"/>
      <c r="IZB28" s="914"/>
      <c r="IZC28" s="911"/>
      <c r="IZD28" s="911"/>
      <c r="IZE28" s="911"/>
      <c r="IZF28" s="915"/>
      <c r="IZG28" s="914"/>
      <c r="IZH28" s="914"/>
      <c r="IZI28" s="914"/>
      <c r="IZJ28" s="914"/>
      <c r="IZK28" s="914"/>
      <c r="IZL28" s="914"/>
      <c r="IZM28" s="914"/>
      <c r="IZN28" s="911"/>
      <c r="IZO28" s="911"/>
      <c r="IZP28" s="911"/>
      <c r="IZQ28" s="915"/>
      <c r="IZR28" s="914"/>
      <c r="IZS28" s="914"/>
      <c r="IZT28" s="914"/>
      <c r="IZU28" s="914"/>
      <c r="IZV28" s="914"/>
      <c r="IZW28" s="914"/>
      <c r="IZX28" s="914"/>
      <c r="IZY28" s="911"/>
      <c r="IZZ28" s="911"/>
      <c r="JAA28" s="911"/>
      <c r="JAB28" s="915"/>
      <c r="JAC28" s="914"/>
      <c r="JAD28" s="914"/>
      <c r="JAE28" s="914"/>
      <c r="JAF28" s="914"/>
      <c r="JAG28" s="914"/>
      <c r="JAH28" s="914"/>
      <c r="JAI28" s="914"/>
      <c r="JAJ28" s="911"/>
      <c r="JAK28" s="911"/>
      <c r="JAL28" s="911"/>
      <c r="JAM28" s="915"/>
      <c r="JAN28" s="914"/>
      <c r="JAO28" s="914"/>
      <c r="JAP28" s="914"/>
      <c r="JAQ28" s="914"/>
      <c r="JAR28" s="914"/>
      <c r="JAS28" s="914"/>
      <c r="JAT28" s="914"/>
      <c r="JAU28" s="911"/>
      <c r="JAV28" s="911"/>
      <c r="JAW28" s="911"/>
      <c r="JAX28" s="915"/>
      <c r="JAY28" s="914"/>
      <c r="JAZ28" s="914"/>
      <c r="JBA28" s="914"/>
      <c r="JBB28" s="914"/>
      <c r="JBC28" s="914"/>
      <c r="JBD28" s="914"/>
      <c r="JBE28" s="914"/>
      <c r="JBF28" s="911"/>
      <c r="JBG28" s="911"/>
      <c r="JBH28" s="911"/>
      <c r="JBI28" s="915"/>
      <c r="JBJ28" s="914"/>
      <c r="JBK28" s="914"/>
      <c r="JBL28" s="914"/>
      <c r="JBM28" s="914"/>
      <c r="JBN28" s="914"/>
      <c r="JBO28" s="914"/>
      <c r="JBP28" s="914"/>
      <c r="JBQ28" s="911"/>
      <c r="JBR28" s="911"/>
      <c r="JBS28" s="911"/>
      <c r="JBT28" s="915"/>
      <c r="JBU28" s="914"/>
      <c r="JBV28" s="914"/>
      <c r="JBW28" s="914"/>
      <c r="JBX28" s="914"/>
      <c r="JBY28" s="914"/>
      <c r="JBZ28" s="914"/>
      <c r="JCA28" s="914"/>
      <c r="JCB28" s="911"/>
      <c r="JCC28" s="911"/>
      <c r="JCD28" s="911"/>
      <c r="JCE28" s="915"/>
      <c r="JCF28" s="914"/>
      <c r="JCG28" s="914"/>
      <c r="JCH28" s="914"/>
      <c r="JCI28" s="914"/>
      <c r="JCJ28" s="914"/>
      <c r="JCK28" s="914"/>
      <c r="JCL28" s="914"/>
      <c r="JCM28" s="911"/>
      <c r="JCN28" s="911"/>
      <c r="JCO28" s="911"/>
      <c r="JCP28" s="915"/>
      <c r="JCQ28" s="914"/>
      <c r="JCR28" s="914"/>
      <c r="JCS28" s="914"/>
      <c r="JCT28" s="914"/>
      <c r="JCU28" s="914"/>
      <c r="JCV28" s="914"/>
      <c r="JCW28" s="914"/>
      <c r="JCX28" s="911"/>
      <c r="JCY28" s="911"/>
      <c r="JCZ28" s="911"/>
      <c r="JDA28" s="915"/>
      <c r="JDB28" s="914"/>
      <c r="JDC28" s="914"/>
      <c r="JDD28" s="914"/>
      <c r="JDE28" s="914"/>
      <c r="JDF28" s="914"/>
      <c r="JDG28" s="914"/>
      <c r="JDH28" s="914"/>
      <c r="JDI28" s="911"/>
      <c r="JDJ28" s="911"/>
      <c r="JDK28" s="911"/>
      <c r="JDL28" s="915"/>
      <c r="JDM28" s="914"/>
      <c r="JDN28" s="914"/>
      <c r="JDO28" s="914"/>
      <c r="JDP28" s="914"/>
      <c r="JDQ28" s="914"/>
      <c r="JDR28" s="914"/>
      <c r="JDS28" s="914"/>
      <c r="JDT28" s="911"/>
      <c r="JDU28" s="911"/>
      <c r="JDV28" s="911"/>
      <c r="JDW28" s="915"/>
      <c r="JDX28" s="914"/>
      <c r="JDY28" s="914"/>
      <c r="JDZ28" s="914"/>
      <c r="JEA28" s="914"/>
      <c r="JEB28" s="914"/>
      <c r="JEC28" s="914"/>
      <c r="JED28" s="914"/>
      <c r="JEE28" s="911"/>
      <c r="JEF28" s="911"/>
      <c r="JEG28" s="911"/>
      <c r="JEH28" s="915"/>
      <c r="JEI28" s="914"/>
      <c r="JEJ28" s="914"/>
      <c r="JEK28" s="914"/>
      <c r="JEL28" s="914"/>
      <c r="JEM28" s="914"/>
      <c r="JEN28" s="914"/>
      <c r="JEO28" s="914"/>
      <c r="JEP28" s="911"/>
      <c r="JEQ28" s="911"/>
      <c r="JER28" s="911"/>
      <c r="JES28" s="915"/>
      <c r="JET28" s="914"/>
      <c r="JEU28" s="914"/>
      <c r="JEV28" s="914"/>
      <c r="JEW28" s="914"/>
      <c r="JEX28" s="914"/>
      <c r="JEY28" s="914"/>
      <c r="JEZ28" s="914"/>
      <c r="JFA28" s="911"/>
      <c r="JFB28" s="911"/>
      <c r="JFC28" s="911"/>
      <c r="JFD28" s="915"/>
      <c r="JFE28" s="914"/>
      <c r="JFF28" s="914"/>
      <c r="JFG28" s="914"/>
      <c r="JFH28" s="914"/>
      <c r="JFI28" s="914"/>
      <c r="JFJ28" s="914"/>
      <c r="JFK28" s="914"/>
      <c r="JFL28" s="911"/>
      <c r="JFM28" s="911"/>
      <c r="JFN28" s="911"/>
      <c r="JFO28" s="915"/>
      <c r="JFP28" s="914"/>
      <c r="JFQ28" s="914"/>
      <c r="JFR28" s="914"/>
      <c r="JFS28" s="914"/>
      <c r="JFT28" s="914"/>
      <c r="JFU28" s="914"/>
      <c r="JFV28" s="914"/>
      <c r="JFW28" s="911"/>
      <c r="JFX28" s="911"/>
      <c r="JFY28" s="911"/>
      <c r="JFZ28" s="915"/>
      <c r="JGA28" s="914"/>
      <c r="JGB28" s="914"/>
      <c r="JGC28" s="914"/>
      <c r="JGD28" s="914"/>
      <c r="JGE28" s="914"/>
      <c r="JGF28" s="914"/>
      <c r="JGG28" s="914"/>
      <c r="JGH28" s="911"/>
      <c r="JGI28" s="911"/>
      <c r="JGJ28" s="911"/>
      <c r="JGK28" s="915"/>
      <c r="JGL28" s="914"/>
      <c r="JGM28" s="914"/>
      <c r="JGN28" s="914"/>
      <c r="JGO28" s="914"/>
      <c r="JGP28" s="914"/>
      <c r="JGQ28" s="914"/>
      <c r="JGR28" s="914"/>
      <c r="JGS28" s="911"/>
      <c r="JGT28" s="911"/>
      <c r="JGU28" s="911"/>
      <c r="JGV28" s="915"/>
      <c r="JGW28" s="914"/>
      <c r="JGX28" s="914"/>
      <c r="JGY28" s="914"/>
      <c r="JGZ28" s="914"/>
      <c r="JHA28" s="914"/>
      <c r="JHB28" s="914"/>
      <c r="JHC28" s="914"/>
      <c r="JHD28" s="911"/>
      <c r="JHE28" s="911"/>
      <c r="JHF28" s="911"/>
      <c r="JHG28" s="915"/>
      <c r="JHH28" s="914"/>
      <c r="JHI28" s="914"/>
      <c r="JHJ28" s="914"/>
      <c r="JHK28" s="914"/>
      <c r="JHL28" s="914"/>
      <c r="JHM28" s="914"/>
      <c r="JHN28" s="914"/>
      <c r="JHO28" s="911"/>
      <c r="JHP28" s="911"/>
      <c r="JHQ28" s="911"/>
      <c r="JHR28" s="915"/>
      <c r="JHS28" s="914"/>
      <c r="JHT28" s="914"/>
      <c r="JHU28" s="914"/>
      <c r="JHV28" s="914"/>
      <c r="JHW28" s="914"/>
      <c r="JHX28" s="914"/>
      <c r="JHY28" s="914"/>
      <c r="JHZ28" s="911"/>
      <c r="JIA28" s="911"/>
      <c r="JIB28" s="911"/>
      <c r="JIC28" s="915"/>
      <c r="JID28" s="914"/>
      <c r="JIE28" s="914"/>
      <c r="JIF28" s="914"/>
      <c r="JIG28" s="914"/>
      <c r="JIH28" s="914"/>
      <c r="JII28" s="914"/>
      <c r="JIJ28" s="914"/>
      <c r="JIK28" s="911"/>
      <c r="JIL28" s="911"/>
      <c r="JIM28" s="911"/>
      <c r="JIN28" s="915"/>
      <c r="JIO28" s="914"/>
      <c r="JIP28" s="914"/>
      <c r="JIQ28" s="914"/>
      <c r="JIR28" s="914"/>
      <c r="JIS28" s="914"/>
      <c r="JIT28" s="914"/>
      <c r="JIU28" s="914"/>
      <c r="JIV28" s="911"/>
      <c r="JIW28" s="911"/>
      <c r="JIX28" s="911"/>
      <c r="JIY28" s="915"/>
      <c r="JIZ28" s="914"/>
      <c r="JJA28" s="914"/>
      <c r="JJB28" s="914"/>
      <c r="JJC28" s="914"/>
      <c r="JJD28" s="914"/>
      <c r="JJE28" s="914"/>
      <c r="JJF28" s="914"/>
      <c r="JJG28" s="911"/>
      <c r="JJH28" s="911"/>
      <c r="JJI28" s="911"/>
      <c r="JJJ28" s="915"/>
      <c r="JJK28" s="914"/>
      <c r="JJL28" s="914"/>
      <c r="JJM28" s="914"/>
      <c r="JJN28" s="914"/>
      <c r="JJO28" s="914"/>
      <c r="JJP28" s="914"/>
      <c r="JJQ28" s="914"/>
      <c r="JJR28" s="911"/>
      <c r="JJS28" s="911"/>
      <c r="JJT28" s="911"/>
      <c r="JJU28" s="915"/>
      <c r="JJV28" s="914"/>
      <c r="JJW28" s="914"/>
      <c r="JJX28" s="914"/>
      <c r="JJY28" s="914"/>
      <c r="JJZ28" s="914"/>
      <c r="JKA28" s="914"/>
      <c r="JKB28" s="914"/>
      <c r="JKC28" s="911"/>
      <c r="JKD28" s="911"/>
      <c r="JKE28" s="911"/>
      <c r="JKF28" s="915"/>
      <c r="JKG28" s="914"/>
      <c r="JKH28" s="914"/>
      <c r="JKI28" s="914"/>
      <c r="JKJ28" s="914"/>
      <c r="JKK28" s="914"/>
      <c r="JKL28" s="914"/>
      <c r="JKM28" s="914"/>
      <c r="JKN28" s="911"/>
      <c r="JKO28" s="911"/>
      <c r="JKP28" s="911"/>
      <c r="JKQ28" s="915"/>
      <c r="JKR28" s="914"/>
      <c r="JKS28" s="914"/>
      <c r="JKT28" s="914"/>
      <c r="JKU28" s="914"/>
      <c r="JKV28" s="914"/>
      <c r="JKW28" s="914"/>
      <c r="JKX28" s="914"/>
      <c r="JKY28" s="911"/>
      <c r="JKZ28" s="911"/>
      <c r="JLA28" s="911"/>
      <c r="JLB28" s="915"/>
      <c r="JLC28" s="914"/>
      <c r="JLD28" s="914"/>
      <c r="JLE28" s="914"/>
      <c r="JLF28" s="914"/>
      <c r="JLG28" s="914"/>
      <c r="JLH28" s="914"/>
      <c r="JLI28" s="914"/>
      <c r="JLJ28" s="911"/>
      <c r="JLK28" s="911"/>
      <c r="JLL28" s="911"/>
      <c r="JLM28" s="915"/>
      <c r="JLN28" s="914"/>
      <c r="JLO28" s="914"/>
      <c r="JLP28" s="914"/>
      <c r="JLQ28" s="914"/>
      <c r="JLR28" s="914"/>
      <c r="JLS28" s="914"/>
      <c r="JLT28" s="914"/>
      <c r="JLU28" s="911"/>
      <c r="JLV28" s="911"/>
      <c r="JLW28" s="911"/>
      <c r="JLX28" s="915"/>
      <c r="JLY28" s="914"/>
      <c r="JLZ28" s="914"/>
      <c r="JMA28" s="914"/>
      <c r="JMB28" s="914"/>
      <c r="JMC28" s="914"/>
      <c r="JMD28" s="914"/>
      <c r="JME28" s="914"/>
      <c r="JMF28" s="911"/>
      <c r="JMG28" s="911"/>
      <c r="JMH28" s="911"/>
      <c r="JMI28" s="915"/>
      <c r="JMJ28" s="914"/>
      <c r="JMK28" s="914"/>
      <c r="JML28" s="914"/>
      <c r="JMM28" s="914"/>
      <c r="JMN28" s="914"/>
      <c r="JMO28" s="914"/>
      <c r="JMP28" s="914"/>
      <c r="JMQ28" s="911"/>
      <c r="JMR28" s="911"/>
      <c r="JMS28" s="911"/>
      <c r="JMT28" s="915"/>
      <c r="JMU28" s="914"/>
      <c r="JMV28" s="914"/>
      <c r="JMW28" s="914"/>
      <c r="JMX28" s="914"/>
      <c r="JMY28" s="914"/>
      <c r="JMZ28" s="914"/>
      <c r="JNA28" s="914"/>
      <c r="JNB28" s="911"/>
      <c r="JNC28" s="911"/>
      <c r="JND28" s="911"/>
      <c r="JNE28" s="915"/>
      <c r="JNF28" s="914"/>
      <c r="JNG28" s="914"/>
      <c r="JNH28" s="914"/>
      <c r="JNI28" s="914"/>
      <c r="JNJ28" s="914"/>
      <c r="JNK28" s="914"/>
      <c r="JNL28" s="914"/>
      <c r="JNM28" s="911"/>
      <c r="JNN28" s="911"/>
      <c r="JNO28" s="911"/>
      <c r="JNP28" s="915"/>
      <c r="JNQ28" s="914"/>
      <c r="JNR28" s="914"/>
      <c r="JNS28" s="914"/>
      <c r="JNT28" s="914"/>
      <c r="JNU28" s="914"/>
      <c r="JNV28" s="914"/>
      <c r="JNW28" s="914"/>
      <c r="JNX28" s="911"/>
      <c r="JNY28" s="911"/>
      <c r="JNZ28" s="911"/>
      <c r="JOA28" s="915"/>
      <c r="JOB28" s="914"/>
      <c r="JOC28" s="914"/>
      <c r="JOD28" s="914"/>
      <c r="JOE28" s="914"/>
      <c r="JOF28" s="914"/>
      <c r="JOG28" s="914"/>
      <c r="JOH28" s="914"/>
      <c r="JOI28" s="911"/>
      <c r="JOJ28" s="911"/>
      <c r="JOK28" s="911"/>
      <c r="JOL28" s="915"/>
      <c r="JOM28" s="914"/>
      <c r="JON28" s="914"/>
      <c r="JOO28" s="914"/>
      <c r="JOP28" s="914"/>
      <c r="JOQ28" s="914"/>
      <c r="JOR28" s="914"/>
      <c r="JOS28" s="914"/>
      <c r="JOT28" s="911"/>
      <c r="JOU28" s="911"/>
      <c r="JOV28" s="911"/>
      <c r="JOW28" s="915"/>
      <c r="JOX28" s="914"/>
      <c r="JOY28" s="914"/>
      <c r="JOZ28" s="914"/>
      <c r="JPA28" s="914"/>
      <c r="JPB28" s="914"/>
      <c r="JPC28" s="914"/>
      <c r="JPD28" s="914"/>
      <c r="JPE28" s="911"/>
      <c r="JPF28" s="911"/>
      <c r="JPG28" s="911"/>
      <c r="JPH28" s="915"/>
      <c r="JPI28" s="914"/>
      <c r="JPJ28" s="914"/>
      <c r="JPK28" s="914"/>
      <c r="JPL28" s="914"/>
      <c r="JPM28" s="914"/>
      <c r="JPN28" s="914"/>
      <c r="JPO28" s="914"/>
      <c r="JPP28" s="911"/>
      <c r="JPQ28" s="911"/>
      <c r="JPR28" s="911"/>
      <c r="JPS28" s="915"/>
      <c r="JPT28" s="914"/>
      <c r="JPU28" s="914"/>
      <c r="JPV28" s="914"/>
      <c r="JPW28" s="914"/>
      <c r="JPX28" s="914"/>
      <c r="JPY28" s="914"/>
      <c r="JPZ28" s="914"/>
      <c r="JQA28" s="911"/>
      <c r="JQB28" s="911"/>
      <c r="JQC28" s="911"/>
      <c r="JQD28" s="915"/>
      <c r="JQE28" s="914"/>
      <c r="JQF28" s="914"/>
      <c r="JQG28" s="914"/>
      <c r="JQH28" s="914"/>
      <c r="JQI28" s="914"/>
      <c r="JQJ28" s="914"/>
      <c r="JQK28" s="914"/>
      <c r="JQL28" s="911"/>
      <c r="JQM28" s="911"/>
      <c r="JQN28" s="911"/>
      <c r="JQO28" s="915"/>
      <c r="JQP28" s="914"/>
      <c r="JQQ28" s="914"/>
      <c r="JQR28" s="914"/>
      <c r="JQS28" s="914"/>
      <c r="JQT28" s="914"/>
      <c r="JQU28" s="914"/>
      <c r="JQV28" s="914"/>
      <c r="JQW28" s="911"/>
      <c r="JQX28" s="911"/>
      <c r="JQY28" s="911"/>
      <c r="JQZ28" s="915"/>
      <c r="JRA28" s="914"/>
      <c r="JRB28" s="914"/>
      <c r="JRC28" s="914"/>
      <c r="JRD28" s="914"/>
      <c r="JRE28" s="914"/>
      <c r="JRF28" s="914"/>
      <c r="JRG28" s="914"/>
      <c r="JRH28" s="911"/>
      <c r="JRI28" s="911"/>
      <c r="JRJ28" s="911"/>
      <c r="JRK28" s="915"/>
      <c r="JRL28" s="914"/>
      <c r="JRM28" s="914"/>
      <c r="JRN28" s="914"/>
      <c r="JRO28" s="914"/>
      <c r="JRP28" s="914"/>
      <c r="JRQ28" s="914"/>
      <c r="JRR28" s="914"/>
      <c r="JRS28" s="911"/>
      <c r="JRT28" s="911"/>
      <c r="JRU28" s="911"/>
      <c r="JRV28" s="915"/>
      <c r="JRW28" s="914"/>
      <c r="JRX28" s="914"/>
      <c r="JRY28" s="914"/>
      <c r="JRZ28" s="914"/>
      <c r="JSA28" s="914"/>
      <c r="JSB28" s="914"/>
      <c r="JSC28" s="914"/>
      <c r="JSD28" s="911"/>
      <c r="JSE28" s="911"/>
      <c r="JSF28" s="911"/>
      <c r="JSG28" s="915"/>
      <c r="JSH28" s="914"/>
      <c r="JSI28" s="914"/>
      <c r="JSJ28" s="914"/>
      <c r="JSK28" s="914"/>
      <c r="JSL28" s="914"/>
      <c r="JSM28" s="914"/>
      <c r="JSN28" s="914"/>
      <c r="JSO28" s="911"/>
      <c r="JSP28" s="911"/>
      <c r="JSQ28" s="911"/>
      <c r="JSR28" s="915"/>
      <c r="JSS28" s="914"/>
      <c r="JST28" s="914"/>
      <c r="JSU28" s="914"/>
      <c r="JSV28" s="914"/>
      <c r="JSW28" s="914"/>
      <c r="JSX28" s="914"/>
      <c r="JSY28" s="914"/>
      <c r="JSZ28" s="911"/>
      <c r="JTA28" s="911"/>
      <c r="JTB28" s="911"/>
      <c r="JTC28" s="915"/>
      <c r="JTD28" s="914"/>
      <c r="JTE28" s="914"/>
      <c r="JTF28" s="914"/>
      <c r="JTG28" s="914"/>
      <c r="JTH28" s="914"/>
      <c r="JTI28" s="914"/>
      <c r="JTJ28" s="914"/>
      <c r="JTK28" s="911"/>
      <c r="JTL28" s="911"/>
      <c r="JTM28" s="911"/>
      <c r="JTN28" s="915"/>
      <c r="JTO28" s="914"/>
      <c r="JTP28" s="914"/>
      <c r="JTQ28" s="914"/>
      <c r="JTR28" s="914"/>
      <c r="JTS28" s="914"/>
      <c r="JTT28" s="914"/>
      <c r="JTU28" s="914"/>
      <c r="JTV28" s="911"/>
      <c r="JTW28" s="911"/>
      <c r="JTX28" s="911"/>
      <c r="JTY28" s="915"/>
      <c r="JTZ28" s="914"/>
      <c r="JUA28" s="914"/>
      <c r="JUB28" s="914"/>
      <c r="JUC28" s="914"/>
      <c r="JUD28" s="914"/>
      <c r="JUE28" s="914"/>
      <c r="JUF28" s="914"/>
      <c r="JUG28" s="911"/>
      <c r="JUH28" s="911"/>
      <c r="JUI28" s="911"/>
      <c r="JUJ28" s="915"/>
      <c r="JUK28" s="914"/>
      <c r="JUL28" s="914"/>
      <c r="JUM28" s="914"/>
      <c r="JUN28" s="914"/>
      <c r="JUO28" s="914"/>
      <c r="JUP28" s="914"/>
      <c r="JUQ28" s="914"/>
      <c r="JUR28" s="911"/>
      <c r="JUS28" s="911"/>
      <c r="JUT28" s="911"/>
      <c r="JUU28" s="915"/>
      <c r="JUV28" s="914"/>
      <c r="JUW28" s="914"/>
      <c r="JUX28" s="914"/>
      <c r="JUY28" s="914"/>
      <c r="JUZ28" s="914"/>
      <c r="JVA28" s="914"/>
      <c r="JVB28" s="914"/>
      <c r="JVC28" s="911"/>
      <c r="JVD28" s="911"/>
      <c r="JVE28" s="911"/>
      <c r="JVF28" s="915"/>
      <c r="JVG28" s="914"/>
      <c r="JVH28" s="914"/>
      <c r="JVI28" s="914"/>
      <c r="JVJ28" s="914"/>
      <c r="JVK28" s="914"/>
      <c r="JVL28" s="914"/>
      <c r="JVM28" s="914"/>
      <c r="JVN28" s="911"/>
      <c r="JVO28" s="911"/>
      <c r="JVP28" s="911"/>
      <c r="JVQ28" s="915"/>
      <c r="JVR28" s="914"/>
      <c r="JVS28" s="914"/>
      <c r="JVT28" s="914"/>
      <c r="JVU28" s="914"/>
      <c r="JVV28" s="914"/>
      <c r="JVW28" s="914"/>
      <c r="JVX28" s="914"/>
      <c r="JVY28" s="911"/>
      <c r="JVZ28" s="911"/>
      <c r="JWA28" s="911"/>
      <c r="JWB28" s="915"/>
      <c r="JWC28" s="914"/>
      <c r="JWD28" s="914"/>
      <c r="JWE28" s="914"/>
      <c r="JWF28" s="914"/>
      <c r="JWG28" s="914"/>
      <c r="JWH28" s="914"/>
      <c r="JWI28" s="914"/>
      <c r="JWJ28" s="911"/>
      <c r="JWK28" s="911"/>
      <c r="JWL28" s="911"/>
      <c r="JWM28" s="915"/>
      <c r="JWN28" s="914"/>
      <c r="JWO28" s="914"/>
      <c r="JWP28" s="914"/>
      <c r="JWQ28" s="914"/>
      <c r="JWR28" s="914"/>
      <c r="JWS28" s="914"/>
      <c r="JWT28" s="914"/>
      <c r="JWU28" s="911"/>
      <c r="JWV28" s="911"/>
      <c r="JWW28" s="911"/>
      <c r="JWX28" s="915"/>
      <c r="JWY28" s="914"/>
      <c r="JWZ28" s="914"/>
      <c r="JXA28" s="914"/>
      <c r="JXB28" s="914"/>
      <c r="JXC28" s="914"/>
      <c r="JXD28" s="914"/>
      <c r="JXE28" s="914"/>
      <c r="JXF28" s="911"/>
      <c r="JXG28" s="911"/>
      <c r="JXH28" s="911"/>
      <c r="JXI28" s="915"/>
      <c r="JXJ28" s="914"/>
      <c r="JXK28" s="914"/>
      <c r="JXL28" s="914"/>
      <c r="JXM28" s="914"/>
      <c r="JXN28" s="914"/>
      <c r="JXO28" s="914"/>
      <c r="JXP28" s="914"/>
      <c r="JXQ28" s="911"/>
      <c r="JXR28" s="911"/>
      <c r="JXS28" s="911"/>
      <c r="JXT28" s="915"/>
      <c r="JXU28" s="914"/>
      <c r="JXV28" s="914"/>
      <c r="JXW28" s="914"/>
      <c r="JXX28" s="914"/>
      <c r="JXY28" s="914"/>
      <c r="JXZ28" s="914"/>
      <c r="JYA28" s="914"/>
      <c r="JYB28" s="911"/>
      <c r="JYC28" s="911"/>
      <c r="JYD28" s="911"/>
      <c r="JYE28" s="915"/>
      <c r="JYF28" s="914"/>
      <c r="JYG28" s="914"/>
      <c r="JYH28" s="914"/>
      <c r="JYI28" s="914"/>
      <c r="JYJ28" s="914"/>
      <c r="JYK28" s="914"/>
      <c r="JYL28" s="914"/>
      <c r="JYM28" s="911"/>
      <c r="JYN28" s="911"/>
      <c r="JYO28" s="911"/>
      <c r="JYP28" s="915"/>
      <c r="JYQ28" s="914"/>
      <c r="JYR28" s="914"/>
      <c r="JYS28" s="914"/>
      <c r="JYT28" s="914"/>
      <c r="JYU28" s="914"/>
      <c r="JYV28" s="914"/>
      <c r="JYW28" s="914"/>
      <c r="JYX28" s="911"/>
      <c r="JYY28" s="911"/>
      <c r="JYZ28" s="911"/>
      <c r="JZA28" s="915"/>
      <c r="JZB28" s="914"/>
      <c r="JZC28" s="914"/>
      <c r="JZD28" s="914"/>
      <c r="JZE28" s="914"/>
      <c r="JZF28" s="914"/>
      <c r="JZG28" s="914"/>
      <c r="JZH28" s="914"/>
      <c r="JZI28" s="911"/>
      <c r="JZJ28" s="911"/>
      <c r="JZK28" s="911"/>
      <c r="JZL28" s="915"/>
      <c r="JZM28" s="914"/>
      <c r="JZN28" s="914"/>
      <c r="JZO28" s="914"/>
      <c r="JZP28" s="914"/>
      <c r="JZQ28" s="914"/>
      <c r="JZR28" s="914"/>
      <c r="JZS28" s="914"/>
      <c r="JZT28" s="911"/>
      <c r="JZU28" s="911"/>
      <c r="JZV28" s="911"/>
      <c r="JZW28" s="915"/>
      <c r="JZX28" s="914"/>
      <c r="JZY28" s="914"/>
      <c r="JZZ28" s="914"/>
      <c r="KAA28" s="914"/>
      <c r="KAB28" s="914"/>
      <c r="KAC28" s="914"/>
      <c r="KAD28" s="914"/>
      <c r="KAE28" s="911"/>
      <c r="KAF28" s="911"/>
      <c r="KAG28" s="911"/>
      <c r="KAH28" s="915"/>
      <c r="KAI28" s="914"/>
      <c r="KAJ28" s="914"/>
      <c r="KAK28" s="914"/>
      <c r="KAL28" s="914"/>
      <c r="KAM28" s="914"/>
      <c r="KAN28" s="914"/>
      <c r="KAO28" s="914"/>
      <c r="KAP28" s="911"/>
      <c r="KAQ28" s="911"/>
      <c r="KAR28" s="911"/>
      <c r="KAS28" s="915"/>
      <c r="KAT28" s="914"/>
      <c r="KAU28" s="914"/>
      <c r="KAV28" s="914"/>
      <c r="KAW28" s="914"/>
      <c r="KAX28" s="914"/>
      <c r="KAY28" s="914"/>
      <c r="KAZ28" s="914"/>
      <c r="KBA28" s="911"/>
      <c r="KBB28" s="911"/>
      <c r="KBC28" s="911"/>
      <c r="KBD28" s="915"/>
      <c r="KBE28" s="914"/>
      <c r="KBF28" s="914"/>
      <c r="KBG28" s="914"/>
      <c r="KBH28" s="914"/>
      <c r="KBI28" s="914"/>
      <c r="KBJ28" s="914"/>
      <c r="KBK28" s="914"/>
      <c r="KBL28" s="911"/>
      <c r="KBM28" s="911"/>
      <c r="KBN28" s="911"/>
      <c r="KBO28" s="915"/>
      <c r="KBP28" s="914"/>
      <c r="KBQ28" s="914"/>
      <c r="KBR28" s="914"/>
      <c r="KBS28" s="914"/>
      <c r="KBT28" s="914"/>
      <c r="KBU28" s="914"/>
      <c r="KBV28" s="914"/>
      <c r="KBW28" s="911"/>
      <c r="KBX28" s="911"/>
      <c r="KBY28" s="911"/>
      <c r="KBZ28" s="915"/>
      <c r="KCA28" s="914"/>
      <c r="KCB28" s="914"/>
      <c r="KCC28" s="914"/>
      <c r="KCD28" s="914"/>
      <c r="KCE28" s="914"/>
      <c r="KCF28" s="914"/>
      <c r="KCG28" s="914"/>
      <c r="KCH28" s="911"/>
      <c r="KCI28" s="911"/>
      <c r="KCJ28" s="911"/>
      <c r="KCK28" s="915"/>
      <c r="KCL28" s="914"/>
      <c r="KCM28" s="914"/>
      <c r="KCN28" s="914"/>
      <c r="KCO28" s="914"/>
      <c r="KCP28" s="914"/>
      <c r="KCQ28" s="914"/>
      <c r="KCR28" s="914"/>
      <c r="KCS28" s="911"/>
      <c r="KCT28" s="911"/>
      <c r="KCU28" s="911"/>
      <c r="KCV28" s="915"/>
      <c r="KCW28" s="914"/>
      <c r="KCX28" s="914"/>
      <c r="KCY28" s="914"/>
      <c r="KCZ28" s="914"/>
      <c r="KDA28" s="914"/>
      <c r="KDB28" s="914"/>
      <c r="KDC28" s="914"/>
      <c r="KDD28" s="911"/>
      <c r="KDE28" s="911"/>
      <c r="KDF28" s="911"/>
      <c r="KDG28" s="915"/>
      <c r="KDH28" s="914"/>
      <c r="KDI28" s="914"/>
      <c r="KDJ28" s="914"/>
      <c r="KDK28" s="914"/>
      <c r="KDL28" s="914"/>
      <c r="KDM28" s="914"/>
      <c r="KDN28" s="914"/>
      <c r="KDO28" s="911"/>
      <c r="KDP28" s="911"/>
      <c r="KDQ28" s="911"/>
      <c r="KDR28" s="915"/>
      <c r="KDS28" s="914"/>
      <c r="KDT28" s="914"/>
      <c r="KDU28" s="914"/>
      <c r="KDV28" s="914"/>
      <c r="KDW28" s="914"/>
      <c r="KDX28" s="914"/>
      <c r="KDY28" s="914"/>
      <c r="KDZ28" s="911"/>
      <c r="KEA28" s="911"/>
      <c r="KEB28" s="911"/>
      <c r="KEC28" s="915"/>
      <c r="KED28" s="914"/>
      <c r="KEE28" s="914"/>
      <c r="KEF28" s="914"/>
      <c r="KEG28" s="914"/>
      <c r="KEH28" s="914"/>
      <c r="KEI28" s="914"/>
      <c r="KEJ28" s="914"/>
      <c r="KEK28" s="911"/>
      <c r="KEL28" s="911"/>
      <c r="KEM28" s="911"/>
      <c r="KEN28" s="915"/>
      <c r="KEO28" s="914"/>
      <c r="KEP28" s="914"/>
      <c r="KEQ28" s="914"/>
      <c r="KER28" s="914"/>
      <c r="KES28" s="914"/>
      <c r="KET28" s="914"/>
      <c r="KEU28" s="914"/>
      <c r="KEV28" s="911"/>
      <c r="KEW28" s="911"/>
      <c r="KEX28" s="911"/>
      <c r="KEY28" s="915"/>
      <c r="KEZ28" s="914"/>
      <c r="KFA28" s="914"/>
      <c r="KFB28" s="914"/>
      <c r="KFC28" s="914"/>
      <c r="KFD28" s="914"/>
      <c r="KFE28" s="914"/>
      <c r="KFF28" s="914"/>
      <c r="KFG28" s="911"/>
      <c r="KFH28" s="911"/>
      <c r="KFI28" s="911"/>
      <c r="KFJ28" s="915"/>
      <c r="KFK28" s="914"/>
      <c r="KFL28" s="914"/>
      <c r="KFM28" s="914"/>
      <c r="KFN28" s="914"/>
      <c r="KFO28" s="914"/>
      <c r="KFP28" s="914"/>
      <c r="KFQ28" s="914"/>
      <c r="KFR28" s="911"/>
      <c r="KFS28" s="911"/>
      <c r="KFT28" s="911"/>
      <c r="KFU28" s="915"/>
      <c r="KFV28" s="914"/>
      <c r="KFW28" s="914"/>
      <c r="KFX28" s="914"/>
      <c r="KFY28" s="914"/>
      <c r="KFZ28" s="914"/>
      <c r="KGA28" s="914"/>
      <c r="KGB28" s="914"/>
      <c r="KGC28" s="911"/>
      <c r="KGD28" s="911"/>
      <c r="KGE28" s="911"/>
      <c r="KGF28" s="915"/>
      <c r="KGG28" s="914"/>
      <c r="KGH28" s="914"/>
      <c r="KGI28" s="914"/>
      <c r="KGJ28" s="914"/>
      <c r="KGK28" s="914"/>
      <c r="KGL28" s="914"/>
      <c r="KGM28" s="914"/>
      <c r="KGN28" s="911"/>
      <c r="KGO28" s="911"/>
      <c r="KGP28" s="911"/>
      <c r="KGQ28" s="915"/>
      <c r="KGR28" s="914"/>
      <c r="KGS28" s="914"/>
      <c r="KGT28" s="914"/>
      <c r="KGU28" s="914"/>
      <c r="KGV28" s="914"/>
      <c r="KGW28" s="914"/>
      <c r="KGX28" s="914"/>
      <c r="KGY28" s="911"/>
      <c r="KGZ28" s="911"/>
      <c r="KHA28" s="911"/>
      <c r="KHB28" s="915"/>
      <c r="KHC28" s="914"/>
      <c r="KHD28" s="914"/>
      <c r="KHE28" s="914"/>
      <c r="KHF28" s="914"/>
      <c r="KHG28" s="914"/>
      <c r="KHH28" s="914"/>
      <c r="KHI28" s="914"/>
      <c r="KHJ28" s="911"/>
      <c r="KHK28" s="911"/>
      <c r="KHL28" s="911"/>
      <c r="KHM28" s="915"/>
      <c r="KHN28" s="914"/>
      <c r="KHO28" s="914"/>
      <c r="KHP28" s="914"/>
      <c r="KHQ28" s="914"/>
      <c r="KHR28" s="914"/>
      <c r="KHS28" s="914"/>
      <c r="KHT28" s="914"/>
      <c r="KHU28" s="911"/>
      <c r="KHV28" s="911"/>
      <c r="KHW28" s="911"/>
      <c r="KHX28" s="915"/>
      <c r="KHY28" s="914"/>
      <c r="KHZ28" s="914"/>
      <c r="KIA28" s="914"/>
      <c r="KIB28" s="914"/>
      <c r="KIC28" s="914"/>
      <c r="KID28" s="914"/>
      <c r="KIE28" s="914"/>
      <c r="KIF28" s="911"/>
      <c r="KIG28" s="911"/>
      <c r="KIH28" s="911"/>
      <c r="KII28" s="915"/>
      <c r="KIJ28" s="914"/>
      <c r="KIK28" s="914"/>
      <c r="KIL28" s="914"/>
      <c r="KIM28" s="914"/>
      <c r="KIN28" s="914"/>
      <c r="KIO28" s="914"/>
      <c r="KIP28" s="914"/>
      <c r="KIQ28" s="911"/>
      <c r="KIR28" s="911"/>
      <c r="KIS28" s="911"/>
      <c r="KIT28" s="915"/>
      <c r="KIU28" s="914"/>
      <c r="KIV28" s="914"/>
      <c r="KIW28" s="914"/>
      <c r="KIX28" s="914"/>
      <c r="KIY28" s="914"/>
      <c r="KIZ28" s="914"/>
      <c r="KJA28" s="914"/>
      <c r="KJB28" s="911"/>
      <c r="KJC28" s="911"/>
      <c r="KJD28" s="911"/>
      <c r="KJE28" s="915"/>
      <c r="KJF28" s="914"/>
      <c r="KJG28" s="914"/>
      <c r="KJH28" s="914"/>
      <c r="KJI28" s="914"/>
      <c r="KJJ28" s="914"/>
      <c r="KJK28" s="914"/>
      <c r="KJL28" s="914"/>
      <c r="KJM28" s="911"/>
      <c r="KJN28" s="911"/>
      <c r="KJO28" s="911"/>
      <c r="KJP28" s="915"/>
      <c r="KJQ28" s="914"/>
      <c r="KJR28" s="914"/>
      <c r="KJS28" s="914"/>
      <c r="KJT28" s="914"/>
      <c r="KJU28" s="914"/>
      <c r="KJV28" s="914"/>
      <c r="KJW28" s="914"/>
      <c r="KJX28" s="911"/>
      <c r="KJY28" s="911"/>
      <c r="KJZ28" s="911"/>
      <c r="KKA28" s="915"/>
      <c r="KKB28" s="914"/>
      <c r="KKC28" s="914"/>
      <c r="KKD28" s="914"/>
      <c r="KKE28" s="914"/>
      <c r="KKF28" s="914"/>
      <c r="KKG28" s="914"/>
      <c r="KKH28" s="914"/>
      <c r="KKI28" s="911"/>
      <c r="KKJ28" s="911"/>
      <c r="KKK28" s="911"/>
      <c r="KKL28" s="915"/>
      <c r="KKM28" s="914"/>
      <c r="KKN28" s="914"/>
      <c r="KKO28" s="914"/>
      <c r="KKP28" s="914"/>
      <c r="KKQ28" s="914"/>
      <c r="KKR28" s="914"/>
      <c r="KKS28" s="914"/>
      <c r="KKT28" s="911"/>
      <c r="KKU28" s="911"/>
      <c r="KKV28" s="911"/>
      <c r="KKW28" s="915"/>
      <c r="KKX28" s="914"/>
      <c r="KKY28" s="914"/>
      <c r="KKZ28" s="914"/>
      <c r="KLA28" s="914"/>
      <c r="KLB28" s="914"/>
      <c r="KLC28" s="914"/>
      <c r="KLD28" s="914"/>
      <c r="KLE28" s="911"/>
      <c r="KLF28" s="911"/>
      <c r="KLG28" s="911"/>
      <c r="KLH28" s="915"/>
      <c r="KLI28" s="914"/>
      <c r="KLJ28" s="914"/>
      <c r="KLK28" s="914"/>
      <c r="KLL28" s="914"/>
      <c r="KLM28" s="914"/>
      <c r="KLN28" s="914"/>
      <c r="KLO28" s="914"/>
      <c r="KLP28" s="911"/>
      <c r="KLQ28" s="911"/>
      <c r="KLR28" s="911"/>
      <c r="KLS28" s="915"/>
      <c r="KLT28" s="914"/>
      <c r="KLU28" s="914"/>
      <c r="KLV28" s="914"/>
      <c r="KLW28" s="914"/>
      <c r="KLX28" s="914"/>
      <c r="KLY28" s="914"/>
      <c r="KLZ28" s="914"/>
      <c r="KMA28" s="911"/>
      <c r="KMB28" s="911"/>
      <c r="KMC28" s="911"/>
      <c r="KMD28" s="915"/>
      <c r="KME28" s="914"/>
      <c r="KMF28" s="914"/>
      <c r="KMG28" s="914"/>
      <c r="KMH28" s="914"/>
      <c r="KMI28" s="914"/>
      <c r="KMJ28" s="914"/>
      <c r="KMK28" s="914"/>
      <c r="KML28" s="911"/>
      <c r="KMM28" s="911"/>
      <c r="KMN28" s="911"/>
      <c r="KMO28" s="915"/>
      <c r="KMP28" s="914"/>
      <c r="KMQ28" s="914"/>
      <c r="KMR28" s="914"/>
      <c r="KMS28" s="914"/>
      <c r="KMT28" s="914"/>
      <c r="KMU28" s="914"/>
      <c r="KMV28" s="914"/>
      <c r="KMW28" s="911"/>
      <c r="KMX28" s="911"/>
      <c r="KMY28" s="911"/>
      <c r="KMZ28" s="915"/>
      <c r="KNA28" s="914"/>
      <c r="KNB28" s="914"/>
      <c r="KNC28" s="914"/>
      <c r="KND28" s="914"/>
      <c r="KNE28" s="914"/>
      <c r="KNF28" s="914"/>
      <c r="KNG28" s="914"/>
      <c r="KNH28" s="911"/>
      <c r="KNI28" s="911"/>
      <c r="KNJ28" s="911"/>
      <c r="KNK28" s="915"/>
      <c r="KNL28" s="914"/>
      <c r="KNM28" s="914"/>
      <c r="KNN28" s="914"/>
      <c r="KNO28" s="914"/>
      <c r="KNP28" s="914"/>
      <c r="KNQ28" s="914"/>
      <c r="KNR28" s="914"/>
      <c r="KNS28" s="911"/>
      <c r="KNT28" s="911"/>
      <c r="KNU28" s="911"/>
      <c r="KNV28" s="915"/>
      <c r="KNW28" s="914"/>
      <c r="KNX28" s="914"/>
      <c r="KNY28" s="914"/>
      <c r="KNZ28" s="914"/>
      <c r="KOA28" s="914"/>
      <c r="KOB28" s="914"/>
      <c r="KOC28" s="914"/>
      <c r="KOD28" s="911"/>
      <c r="KOE28" s="911"/>
      <c r="KOF28" s="911"/>
      <c r="KOG28" s="915"/>
      <c r="KOH28" s="914"/>
      <c r="KOI28" s="914"/>
      <c r="KOJ28" s="914"/>
      <c r="KOK28" s="914"/>
      <c r="KOL28" s="914"/>
      <c r="KOM28" s="914"/>
      <c r="KON28" s="914"/>
      <c r="KOO28" s="911"/>
      <c r="KOP28" s="911"/>
      <c r="KOQ28" s="911"/>
      <c r="KOR28" s="915"/>
      <c r="KOS28" s="914"/>
      <c r="KOT28" s="914"/>
      <c r="KOU28" s="914"/>
      <c r="KOV28" s="914"/>
      <c r="KOW28" s="914"/>
      <c r="KOX28" s="914"/>
      <c r="KOY28" s="914"/>
      <c r="KOZ28" s="911"/>
      <c r="KPA28" s="911"/>
      <c r="KPB28" s="911"/>
      <c r="KPC28" s="915"/>
      <c r="KPD28" s="914"/>
      <c r="KPE28" s="914"/>
      <c r="KPF28" s="914"/>
      <c r="KPG28" s="914"/>
      <c r="KPH28" s="914"/>
      <c r="KPI28" s="914"/>
      <c r="KPJ28" s="914"/>
      <c r="KPK28" s="911"/>
      <c r="KPL28" s="911"/>
      <c r="KPM28" s="911"/>
      <c r="KPN28" s="915"/>
      <c r="KPO28" s="914"/>
      <c r="KPP28" s="914"/>
      <c r="KPQ28" s="914"/>
      <c r="KPR28" s="914"/>
      <c r="KPS28" s="914"/>
      <c r="KPT28" s="914"/>
      <c r="KPU28" s="914"/>
      <c r="KPV28" s="911"/>
      <c r="KPW28" s="911"/>
      <c r="KPX28" s="911"/>
      <c r="KPY28" s="915"/>
      <c r="KPZ28" s="914"/>
      <c r="KQA28" s="914"/>
      <c r="KQB28" s="914"/>
      <c r="KQC28" s="914"/>
      <c r="KQD28" s="914"/>
      <c r="KQE28" s="914"/>
      <c r="KQF28" s="914"/>
      <c r="KQG28" s="911"/>
      <c r="KQH28" s="911"/>
      <c r="KQI28" s="911"/>
      <c r="KQJ28" s="915"/>
      <c r="KQK28" s="914"/>
      <c r="KQL28" s="914"/>
      <c r="KQM28" s="914"/>
      <c r="KQN28" s="914"/>
      <c r="KQO28" s="914"/>
      <c r="KQP28" s="914"/>
      <c r="KQQ28" s="914"/>
      <c r="KQR28" s="911"/>
      <c r="KQS28" s="911"/>
      <c r="KQT28" s="911"/>
      <c r="KQU28" s="915"/>
      <c r="KQV28" s="914"/>
      <c r="KQW28" s="914"/>
      <c r="KQX28" s="914"/>
      <c r="KQY28" s="914"/>
      <c r="KQZ28" s="914"/>
      <c r="KRA28" s="914"/>
      <c r="KRB28" s="914"/>
      <c r="KRC28" s="911"/>
      <c r="KRD28" s="911"/>
      <c r="KRE28" s="911"/>
      <c r="KRF28" s="915"/>
      <c r="KRG28" s="914"/>
      <c r="KRH28" s="914"/>
      <c r="KRI28" s="914"/>
      <c r="KRJ28" s="914"/>
      <c r="KRK28" s="914"/>
      <c r="KRL28" s="914"/>
      <c r="KRM28" s="914"/>
      <c r="KRN28" s="911"/>
      <c r="KRO28" s="911"/>
      <c r="KRP28" s="911"/>
      <c r="KRQ28" s="915"/>
      <c r="KRR28" s="914"/>
      <c r="KRS28" s="914"/>
      <c r="KRT28" s="914"/>
      <c r="KRU28" s="914"/>
      <c r="KRV28" s="914"/>
      <c r="KRW28" s="914"/>
      <c r="KRX28" s="914"/>
      <c r="KRY28" s="911"/>
      <c r="KRZ28" s="911"/>
      <c r="KSA28" s="911"/>
      <c r="KSB28" s="915"/>
      <c r="KSC28" s="914"/>
      <c r="KSD28" s="914"/>
      <c r="KSE28" s="914"/>
      <c r="KSF28" s="914"/>
      <c r="KSG28" s="914"/>
      <c r="KSH28" s="914"/>
      <c r="KSI28" s="914"/>
      <c r="KSJ28" s="911"/>
      <c r="KSK28" s="911"/>
      <c r="KSL28" s="911"/>
      <c r="KSM28" s="915"/>
      <c r="KSN28" s="914"/>
      <c r="KSO28" s="914"/>
      <c r="KSP28" s="914"/>
      <c r="KSQ28" s="914"/>
      <c r="KSR28" s="914"/>
      <c r="KSS28" s="914"/>
      <c r="KST28" s="914"/>
      <c r="KSU28" s="911"/>
      <c r="KSV28" s="911"/>
      <c r="KSW28" s="911"/>
      <c r="KSX28" s="915"/>
      <c r="KSY28" s="914"/>
      <c r="KSZ28" s="914"/>
      <c r="KTA28" s="914"/>
      <c r="KTB28" s="914"/>
      <c r="KTC28" s="914"/>
      <c r="KTD28" s="914"/>
      <c r="KTE28" s="914"/>
      <c r="KTF28" s="911"/>
      <c r="KTG28" s="911"/>
      <c r="KTH28" s="911"/>
      <c r="KTI28" s="915"/>
      <c r="KTJ28" s="914"/>
      <c r="KTK28" s="914"/>
      <c r="KTL28" s="914"/>
      <c r="KTM28" s="914"/>
      <c r="KTN28" s="914"/>
      <c r="KTO28" s="914"/>
      <c r="KTP28" s="914"/>
      <c r="KTQ28" s="911"/>
      <c r="KTR28" s="911"/>
      <c r="KTS28" s="911"/>
      <c r="KTT28" s="915"/>
      <c r="KTU28" s="914"/>
      <c r="KTV28" s="914"/>
      <c r="KTW28" s="914"/>
      <c r="KTX28" s="914"/>
      <c r="KTY28" s="914"/>
      <c r="KTZ28" s="914"/>
      <c r="KUA28" s="914"/>
      <c r="KUB28" s="911"/>
      <c r="KUC28" s="911"/>
      <c r="KUD28" s="911"/>
      <c r="KUE28" s="915"/>
      <c r="KUF28" s="914"/>
      <c r="KUG28" s="914"/>
      <c r="KUH28" s="914"/>
      <c r="KUI28" s="914"/>
      <c r="KUJ28" s="914"/>
      <c r="KUK28" s="914"/>
      <c r="KUL28" s="914"/>
      <c r="KUM28" s="911"/>
      <c r="KUN28" s="911"/>
      <c r="KUO28" s="911"/>
      <c r="KUP28" s="915"/>
      <c r="KUQ28" s="914"/>
      <c r="KUR28" s="914"/>
      <c r="KUS28" s="914"/>
      <c r="KUT28" s="914"/>
      <c r="KUU28" s="914"/>
      <c r="KUV28" s="914"/>
      <c r="KUW28" s="914"/>
      <c r="KUX28" s="911"/>
      <c r="KUY28" s="911"/>
      <c r="KUZ28" s="911"/>
      <c r="KVA28" s="915"/>
      <c r="KVB28" s="914"/>
      <c r="KVC28" s="914"/>
      <c r="KVD28" s="914"/>
      <c r="KVE28" s="914"/>
      <c r="KVF28" s="914"/>
      <c r="KVG28" s="914"/>
      <c r="KVH28" s="914"/>
      <c r="KVI28" s="911"/>
      <c r="KVJ28" s="911"/>
      <c r="KVK28" s="911"/>
      <c r="KVL28" s="915"/>
      <c r="KVM28" s="914"/>
      <c r="KVN28" s="914"/>
      <c r="KVO28" s="914"/>
      <c r="KVP28" s="914"/>
      <c r="KVQ28" s="914"/>
      <c r="KVR28" s="914"/>
      <c r="KVS28" s="914"/>
      <c r="KVT28" s="911"/>
      <c r="KVU28" s="911"/>
      <c r="KVV28" s="911"/>
      <c r="KVW28" s="915"/>
      <c r="KVX28" s="914"/>
      <c r="KVY28" s="914"/>
      <c r="KVZ28" s="914"/>
      <c r="KWA28" s="914"/>
      <c r="KWB28" s="914"/>
      <c r="KWC28" s="914"/>
      <c r="KWD28" s="914"/>
      <c r="KWE28" s="911"/>
      <c r="KWF28" s="911"/>
      <c r="KWG28" s="911"/>
      <c r="KWH28" s="915"/>
      <c r="KWI28" s="914"/>
      <c r="KWJ28" s="914"/>
      <c r="KWK28" s="914"/>
      <c r="KWL28" s="914"/>
      <c r="KWM28" s="914"/>
      <c r="KWN28" s="914"/>
      <c r="KWO28" s="914"/>
      <c r="KWP28" s="911"/>
      <c r="KWQ28" s="911"/>
      <c r="KWR28" s="911"/>
      <c r="KWS28" s="915"/>
      <c r="KWT28" s="914"/>
      <c r="KWU28" s="914"/>
      <c r="KWV28" s="914"/>
      <c r="KWW28" s="914"/>
      <c r="KWX28" s="914"/>
      <c r="KWY28" s="914"/>
      <c r="KWZ28" s="914"/>
      <c r="KXA28" s="911"/>
      <c r="KXB28" s="911"/>
      <c r="KXC28" s="911"/>
      <c r="KXD28" s="915"/>
      <c r="KXE28" s="914"/>
      <c r="KXF28" s="914"/>
      <c r="KXG28" s="914"/>
      <c r="KXH28" s="914"/>
      <c r="KXI28" s="914"/>
      <c r="KXJ28" s="914"/>
      <c r="KXK28" s="914"/>
      <c r="KXL28" s="911"/>
      <c r="KXM28" s="911"/>
      <c r="KXN28" s="911"/>
      <c r="KXO28" s="915"/>
      <c r="KXP28" s="914"/>
      <c r="KXQ28" s="914"/>
      <c r="KXR28" s="914"/>
      <c r="KXS28" s="914"/>
      <c r="KXT28" s="914"/>
      <c r="KXU28" s="914"/>
      <c r="KXV28" s="914"/>
      <c r="KXW28" s="911"/>
      <c r="KXX28" s="911"/>
      <c r="KXY28" s="911"/>
      <c r="KXZ28" s="915"/>
      <c r="KYA28" s="914"/>
      <c r="KYB28" s="914"/>
      <c r="KYC28" s="914"/>
      <c r="KYD28" s="914"/>
      <c r="KYE28" s="914"/>
      <c r="KYF28" s="914"/>
      <c r="KYG28" s="914"/>
      <c r="KYH28" s="911"/>
      <c r="KYI28" s="911"/>
      <c r="KYJ28" s="911"/>
      <c r="KYK28" s="915"/>
      <c r="KYL28" s="914"/>
      <c r="KYM28" s="914"/>
      <c r="KYN28" s="914"/>
      <c r="KYO28" s="914"/>
      <c r="KYP28" s="914"/>
      <c r="KYQ28" s="914"/>
      <c r="KYR28" s="914"/>
      <c r="KYS28" s="911"/>
      <c r="KYT28" s="911"/>
      <c r="KYU28" s="911"/>
      <c r="KYV28" s="915"/>
      <c r="KYW28" s="914"/>
      <c r="KYX28" s="914"/>
      <c r="KYY28" s="914"/>
      <c r="KYZ28" s="914"/>
      <c r="KZA28" s="914"/>
      <c r="KZB28" s="914"/>
      <c r="KZC28" s="914"/>
      <c r="KZD28" s="911"/>
      <c r="KZE28" s="911"/>
      <c r="KZF28" s="911"/>
      <c r="KZG28" s="915"/>
      <c r="KZH28" s="914"/>
      <c r="KZI28" s="914"/>
      <c r="KZJ28" s="914"/>
      <c r="KZK28" s="914"/>
      <c r="KZL28" s="914"/>
      <c r="KZM28" s="914"/>
      <c r="KZN28" s="914"/>
      <c r="KZO28" s="911"/>
      <c r="KZP28" s="911"/>
      <c r="KZQ28" s="911"/>
      <c r="KZR28" s="915"/>
      <c r="KZS28" s="914"/>
      <c r="KZT28" s="914"/>
      <c r="KZU28" s="914"/>
      <c r="KZV28" s="914"/>
      <c r="KZW28" s="914"/>
      <c r="KZX28" s="914"/>
      <c r="KZY28" s="914"/>
      <c r="KZZ28" s="911"/>
      <c r="LAA28" s="911"/>
      <c r="LAB28" s="911"/>
      <c r="LAC28" s="915"/>
      <c r="LAD28" s="914"/>
      <c r="LAE28" s="914"/>
      <c r="LAF28" s="914"/>
      <c r="LAG28" s="914"/>
      <c r="LAH28" s="914"/>
      <c r="LAI28" s="914"/>
      <c r="LAJ28" s="914"/>
      <c r="LAK28" s="911"/>
      <c r="LAL28" s="911"/>
      <c r="LAM28" s="911"/>
      <c r="LAN28" s="915"/>
      <c r="LAO28" s="914"/>
      <c r="LAP28" s="914"/>
      <c r="LAQ28" s="914"/>
      <c r="LAR28" s="914"/>
      <c r="LAS28" s="914"/>
      <c r="LAT28" s="914"/>
      <c r="LAU28" s="914"/>
      <c r="LAV28" s="911"/>
      <c r="LAW28" s="911"/>
      <c r="LAX28" s="911"/>
      <c r="LAY28" s="915"/>
      <c r="LAZ28" s="914"/>
      <c r="LBA28" s="914"/>
      <c r="LBB28" s="914"/>
      <c r="LBC28" s="914"/>
      <c r="LBD28" s="914"/>
      <c r="LBE28" s="914"/>
      <c r="LBF28" s="914"/>
      <c r="LBG28" s="911"/>
      <c r="LBH28" s="911"/>
      <c r="LBI28" s="911"/>
      <c r="LBJ28" s="915"/>
      <c r="LBK28" s="914"/>
      <c r="LBL28" s="914"/>
      <c r="LBM28" s="914"/>
      <c r="LBN28" s="914"/>
      <c r="LBO28" s="914"/>
      <c r="LBP28" s="914"/>
      <c r="LBQ28" s="914"/>
      <c r="LBR28" s="911"/>
      <c r="LBS28" s="911"/>
      <c r="LBT28" s="911"/>
      <c r="LBU28" s="915"/>
      <c r="LBV28" s="914"/>
      <c r="LBW28" s="914"/>
      <c r="LBX28" s="914"/>
      <c r="LBY28" s="914"/>
      <c r="LBZ28" s="914"/>
      <c r="LCA28" s="914"/>
      <c r="LCB28" s="914"/>
      <c r="LCC28" s="911"/>
      <c r="LCD28" s="911"/>
      <c r="LCE28" s="911"/>
      <c r="LCF28" s="915"/>
      <c r="LCG28" s="914"/>
      <c r="LCH28" s="914"/>
      <c r="LCI28" s="914"/>
      <c r="LCJ28" s="914"/>
      <c r="LCK28" s="914"/>
      <c r="LCL28" s="914"/>
      <c r="LCM28" s="914"/>
      <c r="LCN28" s="911"/>
      <c r="LCO28" s="911"/>
      <c r="LCP28" s="911"/>
      <c r="LCQ28" s="915"/>
      <c r="LCR28" s="914"/>
      <c r="LCS28" s="914"/>
      <c r="LCT28" s="914"/>
      <c r="LCU28" s="914"/>
      <c r="LCV28" s="914"/>
      <c r="LCW28" s="914"/>
      <c r="LCX28" s="914"/>
      <c r="LCY28" s="911"/>
      <c r="LCZ28" s="911"/>
      <c r="LDA28" s="911"/>
      <c r="LDB28" s="915"/>
      <c r="LDC28" s="914"/>
      <c r="LDD28" s="914"/>
      <c r="LDE28" s="914"/>
      <c r="LDF28" s="914"/>
      <c r="LDG28" s="914"/>
      <c r="LDH28" s="914"/>
      <c r="LDI28" s="914"/>
      <c r="LDJ28" s="911"/>
      <c r="LDK28" s="911"/>
      <c r="LDL28" s="911"/>
      <c r="LDM28" s="915"/>
      <c r="LDN28" s="914"/>
      <c r="LDO28" s="914"/>
      <c r="LDP28" s="914"/>
      <c r="LDQ28" s="914"/>
      <c r="LDR28" s="914"/>
      <c r="LDS28" s="914"/>
      <c r="LDT28" s="914"/>
      <c r="LDU28" s="911"/>
      <c r="LDV28" s="911"/>
      <c r="LDW28" s="911"/>
      <c r="LDX28" s="915"/>
      <c r="LDY28" s="914"/>
      <c r="LDZ28" s="914"/>
      <c r="LEA28" s="914"/>
      <c r="LEB28" s="914"/>
      <c r="LEC28" s="914"/>
      <c r="LED28" s="914"/>
      <c r="LEE28" s="914"/>
      <c r="LEF28" s="911"/>
      <c r="LEG28" s="911"/>
      <c r="LEH28" s="911"/>
      <c r="LEI28" s="915"/>
      <c r="LEJ28" s="914"/>
      <c r="LEK28" s="914"/>
      <c r="LEL28" s="914"/>
      <c r="LEM28" s="914"/>
      <c r="LEN28" s="914"/>
      <c r="LEO28" s="914"/>
      <c r="LEP28" s="914"/>
      <c r="LEQ28" s="911"/>
      <c r="LER28" s="911"/>
      <c r="LES28" s="911"/>
      <c r="LET28" s="915"/>
      <c r="LEU28" s="914"/>
      <c r="LEV28" s="914"/>
      <c r="LEW28" s="914"/>
      <c r="LEX28" s="914"/>
      <c r="LEY28" s="914"/>
      <c r="LEZ28" s="914"/>
      <c r="LFA28" s="914"/>
      <c r="LFB28" s="911"/>
      <c r="LFC28" s="911"/>
      <c r="LFD28" s="911"/>
      <c r="LFE28" s="915"/>
      <c r="LFF28" s="914"/>
      <c r="LFG28" s="914"/>
      <c r="LFH28" s="914"/>
      <c r="LFI28" s="914"/>
      <c r="LFJ28" s="914"/>
      <c r="LFK28" s="914"/>
      <c r="LFL28" s="914"/>
      <c r="LFM28" s="911"/>
      <c r="LFN28" s="911"/>
      <c r="LFO28" s="911"/>
      <c r="LFP28" s="915"/>
      <c r="LFQ28" s="914"/>
      <c r="LFR28" s="914"/>
      <c r="LFS28" s="914"/>
      <c r="LFT28" s="914"/>
      <c r="LFU28" s="914"/>
      <c r="LFV28" s="914"/>
      <c r="LFW28" s="914"/>
      <c r="LFX28" s="911"/>
      <c r="LFY28" s="911"/>
      <c r="LFZ28" s="911"/>
      <c r="LGA28" s="915"/>
      <c r="LGB28" s="914"/>
      <c r="LGC28" s="914"/>
      <c r="LGD28" s="914"/>
      <c r="LGE28" s="914"/>
      <c r="LGF28" s="914"/>
      <c r="LGG28" s="914"/>
      <c r="LGH28" s="914"/>
      <c r="LGI28" s="911"/>
      <c r="LGJ28" s="911"/>
      <c r="LGK28" s="911"/>
      <c r="LGL28" s="915"/>
      <c r="LGM28" s="914"/>
      <c r="LGN28" s="914"/>
      <c r="LGO28" s="914"/>
      <c r="LGP28" s="914"/>
      <c r="LGQ28" s="914"/>
      <c r="LGR28" s="914"/>
      <c r="LGS28" s="914"/>
      <c r="LGT28" s="911"/>
      <c r="LGU28" s="911"/>
      <c r="LGV28" s="911"/>
      <c r="LGW28" s="915"/>
      <c r="LGX28" s="914"/>
      <c r="LGY28" s="914"/>
      <c r="LGZ28" s="914"/>
      <c r="LHA28" s="914"/>
      <c r="LHB28" s="914"/>
      <c r="LHC28" s="914"/>
      <c r="LHD28" s="914"/>
      <c r="LHE28" s="911"/>
      <c r="LHF28" s="911"/>
      <c r="LHG28" s="911"/>
      <c r="LHH28" s="915"/>
      <c r="LHI28" s="914"/>
      <c r="LHJ28" s="914"/>
      <c r="LHK28" s="914"/>
      <c r="LHL28" s="914"/>
      <c r="LHM28" s="914"/>
      <c r="LHN28" s="914"/>
      <c r="LHO28" s="914"/>
      <c r="LHP28" s="911"/>
      <c r="LHQ28" s="911"/>
      <c r="LHR28" s="911"/>
      <c r="LHS28" s="915"/>
      <c r="LHT28" s="914"/>
      <c r="LHU28" s="914"/>
      <c r="LHV28" s="914"/>
      <c r="LHW28" s="914"/>
      <c r="LHX28" s="914"/>
      <c r="LHY28" s="914"/>
      <c r="LHZ28" s="914"/>
      <c r="LIA28" s="911"/>
      <c r="LIB28" s="911"/>
      <c r="LIC28" s="911"/>
      <c r="LID28" s="915"/>
      <c r="LIE28" s="914"/>
      <c r="LIF28" s="914"/>
      <c r="LIG28" s="914"/>
      <c r="LIH28" s="914"/>
      <c r="LII28" s="914"/>
      <c r="LIJ28" s="914"/>
      <c r="LIK28" s="914"/>
      <c r="LIL28" s="911"/>
      <c r="LIM28" s="911"/>
      <c r="LIN28" s="911"/>
      <c r="LIO28" s="915"/>
      <c r="LIP28" s="914"/>
      <c r="LIQ28" s="914"/>
      <c r="LIR28" s="914"/>
      <c r="LIS28" s="914"/>
      <c r="LIT28" s="914"/>
      <c r="LIU28" s="914"/>
      <c r="LIV28" s="914"/>
      <c r="LIW28" s="911"/>
      <c r="LIX28" s="911"/>
      <c r="LIY28" s="911"/>
      <c r="LIZ28" s="915"/>
      <c r="LJA28" s="914"/>
      <c r="LJB28" s="914"/>
      <c r="LJC28" s="914"/>
      <c r="LJD28" s="914"/>
      <c r="LJE28" s="914"/>
      <c r="LJF28" s="914"/>
      <c r="LJG28" s="914"/>
      <c r="LJH28" s="911"/>
      <c r="LJI28" s="911"/>
      <c r="LJJ28" s="911"/>
      <c r="LJK28" s="915"/>
      <c r="LJL28" s="914"/>
      <c r="LJM28" s="914"/>
      <c r="LJN28" s="914"/>
      <c r="LJO28" s="914"/>
      <c r="LJP28" s="914"/>
      <c r="LJQ28" s="914"/>
      <c r="LJR28" s="914"/>
      <c r="LJS28" s="911"/>
      <c r="LJT28" s="911"/>
      <c r="LJU28" s="911"/>
      <c r="LJV28" s="915"/>
      <c r="LJW28" s="914"/>
      <c r="LJX28" s="914"/>
      <c r="LJY28" s="914"/>
      <c r="LJZ28" s="914"/>
      <c r="LKA28" s="914"/>
      <c r="LKB28" s="914"/>
      <c r="LKC28" s="914"/>
      <c r="LKD28" s="911"/>
      <c r="LKE28" s="911"/>
      <c r="LKF28" s="911"/>
      <c r="LKG28" s="915"/>
      <c r="LKH28" s="914"/>
      <c r="LKI28" s="914"/>
      <c r="LKJ28" s="914"/>
      <c r="LKK28" s="914"/>
      <c r="LKL28" s="914"/>
      <c r="LKM28" s="914"/>
      <c r="LKN28" s="914"/>
      <c r="LKO28" s="911"/>
      <c r="LKP28" s="911"/>
      <c r="LKQ28" s="911"/>
      <c r="LKR28" s="915"/>
      <c r="LKS28" s="914"/>
      <c r="LKT28" s="914"/>
      <c r="LKU28" s="914"/>
      <c r="LKV28" s="914"/>
      <c r="LKW28" s="914"/>
      <c r="LKX28" s="914"/>
      <c r="LKY28" s="914"/>
      <c r="LKZ28" s="911"/>
      <c r="LLA28" s="911"/>
      <c r="LLB28" s="911"/>
      <c r="LLC28" s="915"/>
      <c r="LLD28" s="914"/>
      <c r="LLE28" s="914"/>
      <c r="LLF28" s="914"/>
      <c r="LLG28" s="914"/>
      <c r="LLH28" s="914"/>
      <c r="LLI28" s="914"/>
      <c r="LLJ28" s="914"/>
      <c r="LLK28" s="911"/>
      <c r="LLL28" s="911"/>
      <c r="LLM28" s="911"/>
      <c r="LLN28" s="915"/>
      <c r="LLO28" s="914"/>
      <c r="LLP28" s="914"/>
      <c r="LLQ28" s="914"/>
      <c r="LLR28" s="914"/>
      <c r="LLS28" s="914"/>
      <c r="LLT28" s="914"/>
      <c r="LLU28" s="914"/>
      <c r="LLV28" s="911"/>
      <c r="LLW28" s="911"/>
      <c r="LLX28" s="911"/>
      <c r="LLY28" s="915"/>
      <c r="LLZ28" s="914"/>
      <c r="LMA28" s="914"/>
      <c r="LMB28" s="914"/>
      <c r="LMC28" s="914"/>
      <c r="LMD28" s="914"/>
      <c r="LME28" s="914"/>
      <c r="LMF28" s="914"/>
      <c r="LMG28" s="911"/>
      <c r="LMH28" s="911"/>
      <c r="LMI28" s="911"/>
      <c r="LMJ28" s="915"/>
      <c r="LMK28" s="914"/>
      <c r="LML28" s="914"/>
      <c r="LMM28" s="914"/>
      <c r="LMN28" s="914"/>
      <c r="LMO28" s="914"/>
      <c r="LMP28" s="914"/>
      <c r="LMQ28" s="914"/>
      <c r="LMR28" s="911"/>
      <c r="LMS28" s="911"/>
      <c r="LMT28" s="911"/>
      <c r="LMU28" s="915"/>
      <c r="LMV28" s="914"/>
      <c r="LMW28" s="914"/>
      <c r="LMX28" s="914"/>
      <c r="LMY28" s="914"/>
      <c r="LMZ28" s="914"/>
      <c r="LNA28" s="914"/>
      <c r="LNB28" s="914"/>
      <c r="LNC28" s="911"/>
      <c r="LND28" s="911"/>
      <c r="LNE28" s="911"/>
      <c r="LNF28" s="915"/>
      <c r="LNG28" s="914"/>
      <c r="LNH28" s="914"/>
      <c r="LNI28" s="914"/>
      <c r="LNJ28" s="914"/>
      <c r="LNK28" s="914"/>
      <c r="LNL28" s="914"/>
      <c r="LNM28" s="914"/>
      <c r="LNN28" s="911"/>
      <c r="LNO28" s="911"/>
      <c r="LNP28" s="911"/>
      <c r="LNQ28" s="915"/>
      <c r="LNR28" s="914"/>
      <c r="LNS28" s="914"/>
      <c r="LNT28" s="914"/>
      <c r="LNU28" s="914"/>
      <c r="LNV28" s="914"/>
      <c r="LNW28" s="914"/>
      <c r="LNX28" s="914"/>
      <c r="LNY28" s="911"/>
      <c r="LNZ28" s="911"/>
      <c r="LOA28" s="911"/>
      <c r="LOB28" s="915"/>
      <c r="LOC28" s="914"/>
      <c r="LOD28" s="914"/>
      <c r="LOE28" s="914"/>
      <c r="LOF28" s="914"/>
      <c r="LOG28" s="914"/>
      <c r="LOH28" s="914"/>
      <c r="LOI28" s="914"/>
      <c r="LOJ28" s="911"/>
      <c r="LOK28" s="911"/>
      <c r="LOL28" s="911"/>
      <c r="LOM28" s="915"/>
      <c r="LON28" s="914"/>
      <c r="LOO28" s="914"/>
      <c r="LOP28" s="914"/>
      <c r="LOQ28" s="914"/>
      <c r="LOR28" s="914"/>
      <c r="LOS28" s="914"/>
      <c r="LOT28" s="914"/>
      <c r="LOU28" s="911"/>
      <c r="LOV28" s="911"/>
      <c r="LOW28" s="911"/>
      <c r="LOX28" s="915"/>
      <c r="LOY28" s="914"/>
      <c r="LOZ28" s="914"/>
      <c r="LPA28" s="914"/>
      <c r="LPB28" s="914"/>
      <c r="LPC28" s="914"/>
      <c r="LPD28" s="914"/>
      <c r="LPE28" s="914"/>
      <c r="LPF28" s="911"/>
      <c r="LPG28" s="911"/>
      <c r="LPH28" s="911"/>
      <c r="LPI28" s="915"/>
      <c r="LPJ28" s="914"/>
      <c r="LPK28" s="914"/>
      <c r="LPL28" s="914"/>
      <c r="LPM28" s="914"/>
      <c r="LPN28" s="914"/>
      <c r="LPO28" s="914"/>
      <c r="LPP28" s="914"/>
      <c r="LPQ28" s="911"/>
      <c r="LPR28" s="911"/>
      <c r="LPS28" s="911"/>
      <c r="LPT28" s="915"/>
      <c r="LPU28" s="914"/>
      <c r="LPV28" s="914"/>
      <c r="LPW28" s="914"/>
      <c r="LPX28" s="914"/>
      <c r="LPY28" s="914"/>
      <c r="LPZ28" s="914"/>
      <c r="LQA28" s="914"/>
      <c r="LQB28" s="911"/>
      <c r="LQC28" s="911"/>
      <c r="LQD28" s="911"/>
      <c r="LQE28" s="915"/>
      <c r="LQF28" s="914"/>
      <c r="LQG28" s="914"/>
      <c r="LQH28" s="914"/>
      <c r="LQI28" s="914"/>
      <c r="LQJ28" s="914"/>
      <c r="LQK28" s="914"/>
      <c r="LQL28" s="914"/>
      <c r="LQM28" s="911"/>
      <c r="LQN28" s="911"/>
      <c r="LQO28" s="911"/>
      <c r="LQP28" s="915"/>
      <c r="LQQ28" s="914"/>
      <c r="LQR28" s="914"/>
      <c r="LQS28" s="914"/>
      <c r="LQT28" s="914"/>
      <c r="LQU28" s="914"/>
      <c r="LQV28" s="914"/>
      <c r="LQW28" s="914"/>
      <c r="LQX28" s="911"/>
      <c r="LQY28" s="911"/>
      <c r="LQZ28" s="911"/>
      <c r="LRA28" s="915"/>
      <c r="LRB28" s="914"/>
      <c r="LRC28" s="914"/>
      <c r="LRD28" s="914"/>
      <c r="LRE28" s="914"/>
      <c r="LRF28" s="914"/>
      <c r="LRG28" s="914"/>
      <c r="LRH28" s="914"/>
      <c r="LRI28" s="911"/>
      <c r="LRJ28" s="911"/>
      <c r="LRK28" s="911"/>
      <c r="LRL28" s="915"/>
      <c r="LRM28" s="914"/>
      <c r="LRN28" s="914"/>
      <c r="LRO28" s="914"/>
      <c r="LRP28" s="914"/>
      <c r="LRQ28" s="914"/>
      <c r="LRR28" s="914"/>
      <c r="LRS28" s="914"/>
      <c r="LRT28" s="911"/>
      <c r="LRU28" s="911"/>
      <c r="LRV28" s="911"/>
      <c r="LRW28" s="915"/>
      <c r="LRX28" s="914"/>
      <c r="LRY28" s="914"/>
      <c r="LRZ28" s="914"/>
      <c r="LSA28" s="914"/>
      <c r="LSB28" s="914"/>
      <c r="LSC28" s="914"/>
      <c r="LSD28" s="914"/>
      <c r="LSE28" s="911"/>
      <c r="LSF28" s="911"/>
      <c r="LSG28" s="911"/>
      <c r="LSH28" s="915"/>
      <c r="LSI28" s="914"/>
      <c r="LSJ28" s="914"/>
      <c r="LSK28" s="914"/>
      <c r="LSL28" s="914"/>
      <c r="LSM28" s="914"/>
      <c r="LSN28" s="914"/>
      <c r="LSO28" s="914"/>
      <c r="LSP28" s="911"/>
      <c r="LSQ28" s="911"/>
      <c r="LSR28" s="911"/>
      <c r="LSS28" s="915"/>
      <c r="LST28" s="914"/>
      <c r="LSU28" s="914"/>
      <c r="LSV28" s="914"/>
      <c r="LSW28" s="914"/>
      <c r="LSX28" s="914"/>
      <c r="LSY28" s="914"/>
      <c r="LSZ28" s="914"/>
      <c r="LTA28" s="911"/>
      <c r="LTB28" s="911"/>
      <c r="LTC28" s="911"/>
      <c r="LTD28" s="915"/>
      <c r="LTE28" s="914"/>
      <c r="LTF28" s="914"/>
      <c r="LTG28" s="914"/>
      <c r="LTH28" s="914"/>
      <c r="LTI28" s="914"/>
      <c r="LTJ28" s="914"/>
      <c r="LTK28" s="914"/>
      <c r="LTL28" s="911"/>
      <c r="LTM28" s="911"/>
      <c r="LTN28" s="911"/>
      <c r="LTO28" s="915"/>
      <c r="LTP28" s="914"/>
      <c r="LTQ28" s="914"/>
      <c r="LTR28" s="914"/>
      <c r="LTS28" s="914"/>
      <c r="LTT28" s="914"/>
      <c r="LTU28" s="914"/>
      <c r="LTV28" s="914"/>
      <c r="LTW28" s="911"/>
      <c r="LTX28" s="911"/>
      <c r="LTY28" s="911"/>
      <c r="LTZ28" s="915"/>
      <c r="LUA28" s="914"/>
      <c r="LUB28" s="914"/>
      <c r="LUC28" s="914"/>
      <c r="LUD28" s="914"/>
      <c r="LUE28" s="914"/>
      <c r="LUF28" s="914"/>
      <c r="LUG28" s="914"/>
      <c r="LUH28" s="911"/>
      <c r="LUI28" s="911"/>
      <c r="LUJ28" s="911"/>
      <c r="LUK28" s="915"/>
      <c r="LUL28" s="914"/>
      <c r="LUM28" s="914"/>
      <c r="LUN28" s="914"/>
      <c r="LUO28" s="914"/>
      <c r="LUP28" s="914"/>
      <c r="LUQ28" s="914"/>
      <c r="LUR28" s="914"/>
      <c r="LUS28" s="911"/>
      <c r="LUT28" s="911"/>
      <c r="LUU28" s="911"/>
      <c r="LUV28" s="915"/>
      <c r="LUW28" s="914"/>
      <c r="LUX28" s="914"/>
      <c r="LUY28" s="914"/>
      <c r="LUZ28" s="914"/>
      <c r="LVA28" s="914"/>
      <c r="LVB28" s="914"/>
      <c r="LVC28" s="914"/>
      <c r="LVD28" s="911"/>
      <c r="LVE28" s="911"/>
      <c r="LVF28" s="911"/>
      <c r="LVG28" s="915"/>
      <c r="LVH28" s="914"/>
      <c r="LVI28" s="914"/>
      <c r="LVJ28" s="914"/>
      <c r="LVK28" s="914"/>
      <c r="LVL28" s="914"/>
      <c r="LVM28" s="914"/>
      <c r="LVN28" s="914"/>
      <c r="LVO28" s="911"/>
      <c r="LVP28" s="911"/>
      <c r="LVQ28" s="911"/>
      <c r="LVR28" s="915"/>
      <c r="LVS28" s="914"/>
      <c r="LVT28" s="914"/>
      <c r="LVU28" s="914"/>
      <c r="LVV28" s="914"/>
      <c r="LVW28" s="914"/>
      <c r="LVX28" s="914"/>
      <c r="LVY28" s="914"/>
      <c r="LVZ28" s="911"/>
      <c r="LWA28" s="911"/>
      <c r="LWB28" s="911"/>
      <c r="LWC28" s="915"/>
      <c r="LWD28" s="914"/>
      <c r="LWE28" s="914"/>
      <c r="LWF28" s="914"/>
      <c r="LWG28" s="914"/>
      <c r="LWH28" s="914"/>
      <c r="LWI28" s="914"/>
      <c r="LWJ28" s="914"/>
      <c r="LWK28" s="911"/>
      <c r="LWL28" s="911"/>
      <c r="LWM28" s="911"/>
      <c r="LWN28" s="915"/>
      <c r="LWO28" s="914"/>
      <c r="LWP28" s="914"/>
      <c r="LWQ28" s="914"/>
      <c r="LWR28" s="914"/>
      <c r="LWS28" s="914"/>
      <c r="LWT28" s="914"/>
      <c r="LWU28" s="914"/>
      <c r="LWV28" s="911"/>
      <c r="LWW28" s="911"/>
      <c r="LWX28" s="911"/>
      <c r="LWY28" s="915"/>
      <c r="LWZ28" s="914"/>
      <c r="LXA28" s="914"/>
      <c r="LXB28" s="914"/>
      <c r="LXC28" s="914"/>
      <c r="LXD28" s="914"/>
      <c r="LXE28" s="914"/>
      <c r="LXF28" s="914"/>
      <c r="LXG28" s="911"/>
      <c r="LXH28" s="911"/>
      <c r="LXI28" s="911"/>
      <c r="LXJ28" s="915"/>
      <c r="LXK28" s="914"/>
      <c r="LXL28" s="914"/>
      <c r="LXM28" s="914"/>
      <c r="LXN28" s="914"/>
      <c r="LXO28" s="914"/>
      <c r="LXP28" s="914"/>
      <c r="LXQ28" s="914"/>
      <c r="LXR28" s="911"/>
      <c r="LXS28" s="911"/>
      <c r="LXT28" s="911"/>
      <c r="LXU28" s="915"/>
      <c r="LXV28" s="914"/>
      <c r="LXW28" s="914"/>
      <c r="LXX28" s="914"/>
      <c r="LXY28" s="914"/>
      <c r="LXZ28" s="914"/>
      <c r="LYA28" s="914"/>
      <c r="LYB28" s="914"/>
      <c r="LYC28" s="911"/>
      <c r="LYD28" s="911"/>
      <c r="LYE28" s="911"/>
      <c r="LYF28" s="915"/>
      <c r="LYG28" s="914"/>
      <c r="LYH28" s="914"/>
      <c r="LYI28" s="914"/>
      <c r="LYJ28" s="914"/>
      <c r="LYK28" s="914"/>
      <c r="LYL28" s="914"/>
      <c r="LYM28" s="914"/>
      <c r="LYN28" s="911"/>
      <c r="LYO28" s="911"/>
      <c r="LYP28" s="911"/>
      <c r="LYQ28" s="915"/>
      <c r="LYR28" s="914"/>
      <c r="LYS28" s="914"/>
      <c r="LYT28" s="914"/>
      <c r="LYU28" s="914"/>
      <c r="LYV28" s="914"/>
      <c r="LYW28" s="914"/>
      <c r="LYX28" s="914"/>
      <c r="LYY28" s="911"/>
      <c r="LYZ28" s="911"/>
      <c r="LZA28" s="911"/>
      <c r="LZB28" s="915"/>
      <c r="LZC28" s="914"/>
      <c r="LZD28" s="914"/>
      <c r="LZE28" s="914"/>
      <c r="LZF28" s="914"/>
      <c r="LZG28" s="914"/>
      <c r="LZH28" s="914"/>
      <c r="LZI28" s="914"/>
      <c r="LZJ28" s="911"/>
      <c r="LZK28" s="911"/>
      <c r="LZL28" s="911"/>
      <c r="LZM28" s="915"/>
      <c r="LZN28" s="914"/>
      <c r="LZO28" s="914"/>
      <c r="LZP28" s="914"/>
      <c r="LZQ28" s="914"/>
      <c r="LZR28" s="914"/>
      <c r="LZS28" s="914"/>
      <c r="LZT28" s="914"/>
      <c r="LZU28" s="911"/>
      <c r="LZV28" s="911"/>
      <c r="LZW28" s="911"/>
      <c r="LZX28" s="915"/>
      <c r="LZY28" s="914"/>
      <c r="LZZ28" s="914"/>
      <c r="MAA28" s="914"/>
      <c r="MAB28" s="914"/>
      <c r="MAC28" s="914"/>
      <c r="MAD28" s="914"/>
      <c r="MAE28" s="914"/>
      <c r="MAF28" s="911"/>
      <c r="MAG28" s="911"/>
      <c r="MAH28" s="911"/>
      <c r="MAI28" s="915"/>
      <c r="MAJ28" s="914"/>
      <c r="MAK28" s="914"/>
      <c r="MAL28" s="914"/>
      <c r="MAM28" s="914"/>
      <c r="MAN28" s="914"/>
      <c r="MAO28" s="914"/>
      <c r="MAP28" s="914"/>
      <c r="MAQ28" s="911"/>
      <c r="MAR28" s="911"/>
      <c r="MAS28" s="911"/>
      <c r="MAT28" s="915"/>
      <c r="MAU28" s="914"/>
      <c r="MAV28" s="914"/>
      <c r="MAW28" s="914"/>
      <c r="MAX28" s="914"/>
      <c r="MAY28" s="914"/>
      <c r="MAZ28" s="914"/>
      <c r="MBA28" s="914"/>
      <c r="MBB28" s="911"/>
      <c r="MBC28" s="911"/>
      <c r="MBD28" s="911"/>
      <c r="MBE28" s="915"/>
      <c r="MBF28" s="914"/>
      <c r="MBG28" s="914"/>
      <c r="MBH28" s="914"/>
      <c r="MBI28" s="914"/>
      <c r="MBJ28" s="914"/>
      <c r="MBK28" s="914"/>
      <c r="MBL28" s="914"/>
      <c r="MBM28" s="911"/>
      <c r="MBN28" s="911"/>
      <c r="MBO28" s="911"/>
      <c r="MBP28" s="915"/>
      <c r="MBQ28" s="914"/>
      <c r="MBR28" s="914"/>
      <c r="MBS28" s="914"/>
      <c r="MBT28" s="914"/>
      <c r="MBU28" s="914"/>
      <c r="MBV28" s="914"/>
      <c r="MBW28" s="914"/>
      <c r="MBX28" s="911"/>
      <c r="MBY28" s="911"/>
      <c r="MBZ28" s="911"/>
      <c r="MCA28" s="915"/>
      <c r="MCB28" s="914"/>
      <c r="MCC28" s="914"/>
      <c r="MCD28" s="914"/>
      <c r="MCE28" s="914"/>
      <c r="MCF28" s="914"/>
      <c r="MCG28" s="914"/>
      <c r="MCH28" s="914"/>
      <c r="MCI28" s="911"/>
      <c r="MCJ28" s="911"/>
      <c r="MCK28" s="911"/>
      <c r="MCL28" s="915"/>
      <c r="MCM28" s="914"/>
      <c r="MCN28" s="914"/>
      <c r="MCO28" s="914"/>
      <c r="MCP28" s="914"/>
      <c r="MCQ28" s="914"/>
      <c r="MCR28" s="914"/>
      <c r="MCS28" s="914"/>
      <c r="MCT28" s="911"/>
      <c r="MCU28" s="911"/>
      <c r="MCV28" s="911"/>
      <c r="MCW28" s="915"/>
      <c r="MCX28" s="914"/>
      <c r="MCY28" s="914"/>
      <c r="MCZ28" s="914"/>
      <c r="MDA28" s="914"/>
      <c r="MDB28" s="914"/>
      <c r="MDC28" s="914"/>
      <c r="MDD28" s="914"/>
      <c r="MDE28" s="911"/>
      <c r="MDF28" s="911"/>
      <c r="MDG28" s="911"/>
      <c r="MDH28" s="915"/>
      <c r="MDI28" s="914"/>
      <c r="MDJ28" s="914"/>
      <c r="MDK28" s="914"/>
      <c r="MDL28" s="914"/>
      <c r="MDM28" s="914"/>
      <c r="MDN28" s="914"/>
      <c r="MDO28" s="914"/>
      <c r="MDP28" s="911"/>
      <c r="MDQ28" s="911"/>
      <c r="MDR28" s="911"/>
      <c r="MDS28" s="915"/>
      <c r="MDT28" s="914"/>
      <c r="MDU28" s="914"/>
      <c r="MDV28" s="914"/>
      <c r="MDW28" s="914"/>
      <c r="MDX28" s="914"/>
      <c r="MDY28" s="914"/>
      <c r="MDZ28" s="914"/>
      <c r="MEA28" s="911"/>
      <c r="MEB28" s="911"/>
      <c r="MEC28" s="911"/>
      <c r="MED28" s="915"/>
      <c r="MEE28" s="914"/>
      <c r="MEF28" s="914"/>
      <c r="MEG28" s="914"/>
      <c r="MEH28" s="914"/>
      <c r="MEI28" s="914"/>
      <c r="MEJ28" s="914"/>
      <c r="MEK28" s="914"/>
      <c r="MEL28" s="911"/>
      <c r="MEM28" s="911"/>
      <c r="MEN28" s="911"/>
      <c r="MEO28" s="915"/>
      <c r="MEP28" s="914"/>
      <c r="MEQ28" s="914"/>
      <c r="MER28" s="914"/>
      <c r="MES28" s="914"/>
      <c r="MET28" s="914"/>
      <c r="MEU28" s="914"/>
      <c r="MEV28" s="914"/>
      <c r="MEW28" s="911"/>
      <c r="MEX28" s="911"/>
      <c r="MEY28" s="911"/>
      <c r="MEZ28" s="915"/>
      <c r="MFA28" s="914"/>
      <c r="MFB28" s="914"/>
      <c r="MFC28" s="914"/>
      <c r="MFD28" s="914"/>
      <c r="MFE28" s="914"/>
      <c r="MFF28" s="914"/>
      <c r="MFG28" s="914"/>
      <c r="MFH28" s="911"/>
      <c r="MFI28" s="911"/>
      <c r="MFJ28" s="911"/>
      <c r="MFK28" s="915"/>
      <c r="MFL28" s="914"/>
      <c r="MFM28" s="914"/>
      <c r="MFN28" s="914"/>
      <c r="MFO28" s="914"/>
      <c r="MFP28" s="914"/>
      <c r="MFQ28" s="914"/>
      <c r="MFR28" s="914"/>
      <c r="MFS28" s="911"/>
      <c r="MFT28" s="911"/>
      <c r="MFU28" s="911"/>
      <c r="MFV28" s="915"/>
      <c r="MFW28" s="914"/>
      <c r="MFX28" s="914"/>
      <c r="MFY28" s="914"/>
      <c r="MFZ28" s="914"/>
      <c r="MGA28" s="914"/>
      <c r="MGB28" s="914"/>
      <c r="MGC28" s="914"/>
      <c r="MGD28" s="911"/>
      <c r="MGE28" s="911"/>
      <c r="MGF28" s="911"/>
      <c r="MGG28" s="915"/>
      <c r="MGH28" s="914"/>
      <c r="MGI28" s="914"/>
      <c r="MGJ28" s="914"/>
      <c r="MGK28" s="914"/>
      <c r="MGL28" s="914"/>
      <c r="MGM28" s="914"/>
      <c r="MGN28" s="914"/>
      <c r="MGO28" s="911"/>
      <c r="MGP28" s="911"/>
      <c r="MGQ28" s="911"/>
      <c r="MGR28" s="915"/>
      <c r="MGS28" s="914"/>
      <c r="MGT28" s="914"/>
      <c r="MGU28" s="914"/>
      <c r="MGV28" s="914"/>
      <c r="MGW28" s="914"/>
      <c r="MGX28" s="914"/>
      <c r="MGY28" s="914"/>
      <c r="MGZ28" s="911"/>
      <c r="MHA28" s="911"/>
      <c r="MHB28" s="911"/>
      <c r="MHC28" s="915"/>
      <c r="MHD28" s="914"/>
      <c r="MHE28" s="914"/>
      <c r="MHF28" s="914"/>
      <c r="MHG28" s="914"/>
      <c r="MHH28" s="914"/>
      <c r="MHI28" s="914"/>
      <c r="MHJ28" s="914"/>
      <c r="MHK28" s="911"/>
      <c r="MHL28" s="911"/>
      <c r="MHM28" s="911"/>
      <c r="MHN28" s="915"/>
      <c r="MHO28" s="914"/>
      <c r="MHP28" s="914"/>
      <c r="MHQ28" s="914"/>
      <c r="MHR28" s="914"/>
      <c r="MHS28" s="914"/>
      <c r="MHT28" s="914"/>
      <c r="MHU28" s="914"/>
      <c r="MHV28" s="911"/>
      <c r="MHW28" s="911"/>
      <c r="MHX28" s="911"/>
      <c r="MHY28" s="915"/>
      <c r="MHZ28" s="914"/>
      <c r="MIA28" s="914"/>
      <c r="MIB28" s="914"/>
      <c r="MIC28" s="914"/>
      <c r="MID28" s="914"/>
      <c r="MIE28" s="914"/>
      <c r="MIF28" s="914"/>
      <c r="MIG28" s="911"/>
      <c r="MIH28" s="911"/>
      <c r="MII28" s="911"/>
      <c r="MIJ28" s="915"/>
      <c r="MIK28" s="914"/>
      <c r="MIL28" s="914"/>
      <c r="MIM28" s="914"/>
      <c r="MIN28" s="914"/>
      <c r="MIO28" s="914"/>
      <c r="MIP28" s="914"/>
      <c r="MIQ28" s="914"/>
      <c r="MIR28" s="911"/>
      <c r="MIS28" s="911"/>
      <c r="MIT28" s="911"/>
      <c r="MIU28" s="915"/>
      <c r="MIV28" s="914"/>
      <c r="MIW28" s="914"/>
      <c r="MIX28" s="914"/>
      <c r="MIY28" s="914"/>
      <c r="MIZ28" s="914"/>
      <c r="MJA28" s="914"/>
      <c r="MJB28" s="914"/>
      <c r="MJC28" s="911"/>
      <c r="MJD28" s="911"/>
      <c r="MJE28" s="911"/>
      <c r="MJF28" s="915"/>
      <c r="MJG28" s="914"/>
      <c r="MJH28" s="914"/>
      <c r="MJI28" s="914"/>
      <c r="MJJ28" s="914"/>
      <c r="MJK28" s="914"/>
      <c r="MJL28" s="914"/>
      <c r="MJM28" s="914"/>
      <c r="MJN28" s="911"/>
      <c r="MJO28" s="911"/>
      <c r="MJP28" s="911"/>
      <c r="MJQ28" s="915"/>
      <c r="MJR28" s="914"/>
      <c r="MJS28" s="914"/>
      <c r="MJT28" s="914"/>
      <c r="MJU28" s="914"/>
      <c r="MJV28" s="914"/>
      <c r="MJW28" s="914"/>
      <c r="MJX28" s="914"/>
      <c r="MJY28" s="911"/>
      <c r="MJZ28" s="911"/>
      <c r="MKA28" s="911"/>
      <c r="MKB28" s="915"/>
      <c r="MKC28" s="914"/>
      <c r="MKD28" s="914"/>
      <c r="MKE28" s="914"/>
      <c r="MKF28" s="914"/>
      <c r="MKG28" s="914"/>
      <c r="MKH28" s="914"/>
      <c r="MKI28" s="914"/>
      <c r="MKJ28" s="911"/>
      <c r="MKK28" s="911"/>
      <c r="MKL28" s="911"/>
      <c r="MKM28" s="915"/>
      <c r="MKN28" s="914"/>
      <c r="MKO28" s="914"/>
      <c r="MKP28" s="914"/>
      <c r="MKQ28" s="914"/>
      <c r="MKR28" s="914"/>
      <c r="MKS28" s="914"/>
      <c r="MKT28" s="914"/>
      <c r="MKU28" s="911"/>
      <c r="MKV28" s="911"/>
      <c r="MKW28" s="911"/>
      <c r="MKX28" s="915"/>
      <c r="MKY28" s="914"/>
      <c r="MKZ28" s="914"/>
      <c r="MLA28" s="914"/>
      <c r="MLB28" s="914"/>
      <c r="MLC28" s="914"/>
      <c r="MLD28" s="914"/>
      <c r="MLE28" s="914"/>
      <c r="MLF28" s="911"/>
      <c r="MLG28" s="911"/>
      <c r="MLH28" s="911"/>
      <c r="MLI28" s="915"/>
      <c r="MLJ28" s="914"/>
      <c r="MLK28" s="914"/>
      <c r="MLL28" s="914"/>
      <c r="MLM28" s="914"/>
      <c r="MLN28" s="914"/>
      <c r="MLO28" s="914"/>
      <c r="MLP28" s="914"/>
      <c r="MLQ28" s="911"/>
      <c r="MLR28" s="911"/>
      <c r="MLS28" s="911"/>
      <c r="MLT28" s="915"/>
      <c r="MLU28" s="914"/>
      <c r="MLV28" s="914"/>
      <c r="MLW28" s="914"/>
      <c r="MLX28" s="914"/>
      <c r="MLY28" s="914"/>
      <c r="MLZ28" s="914"/>
      <c r="MMA28" s="914"/>
      <c r="MMB28" s="911"/>
      <c r="MMC28" s="911"/>
      <c r="MMD28" s="911"/>
      <c r="MME28" s="915"/>
      <c r="MMF28" s="914"/>
      <c r="MMG28" s="914"/>
      <c r="MMH28" s="914"/>
      <c r="MMI28" s="914"/>
      <c r="MMJ28" s="914"/>
      <c r="MMK28" s="914"/>
      <c r="MML28" s="914"/>
      <c r="MMM28" s="911"/>
      <c r="MMN28" s="911"/>
      <c r="MMO28" s="911"/>
      <c r="MMP28" s="915"/>
      <c r="MMQ28" s="914"/>
      <c r="MMR28" s="914"/>
      <c r="MMS28" s="914"/>
      <c r="MMT28" s="914"/>
      <c r="MMU28" s="914"/>
      <c r="MMV28" s="914"/>
      <c r="MMW28" s="914"/>
      <c r="MMX28" s="911"/>
      <c r="MMY28" s="911"/>
      <c r="MMZ28" s="911"/>
      <c r="MNA28" s="915"/>
      <c r="MNB28" s="914"/>
      <c r="MNC28" s="914"/>
      <c r="MND28" s="914"/>
      <c r="MNE28" s="914"/>
      <c r="MNF28" s="914"/>
      <c r="MNG28" s="914"/>
      <c r="MNH28" s="914"/>
      <c r="MNI28" s="911"/>
      <c r="MNJ28" s="911"/>
      <c r="MNK28" s="911"/>
      <c r="MNL28" s="915"/>
      <c r="MNM28" s="914"/>
      <c r="MNN28" s="914"/>
      <c r="MNO28" s="914"/>
      <c r="MNP28" s="914"/>
      <c r="MNQ28" s="914"/>
      <c r="MNR28" s="914"/>
      <c r="MNS28" s="914"/>
      <c r="MNT28" s="911"/>
      <c r="MNU28" s="911"/>
      <c r="MNV28" s="911"/>
      <c r="MNW28" s="915"/>
      <c r="MNX28" s="914"/>
      <c r="MNY28" s="914"/>
      <c r="MNZ28" s="914"/>
      <c r="MOA28" s="914"/>
      <c r="MOB28" s="914"/>
      <c r="MOC28" s="914"/>
      <c r="MOD28" s="914"/>
      <c r="MOE28" s="911"/>
      <c r="MOF28" s="911"/>
      <c r="MOG28" s="911"/>
      <c r="MOH28" s="915"/>
      <c r="MOI28" s="914"/>
      <c r="MOJ28" s="914"/>
      <c r="MOK28" s="914"/>
      <c r="MOL28" s="914"/>
      <c r="MOM28" s="914"/>
      <c r="MON28" s="914"/>
      <c r="MOO28" s="914"/>
      <c r="MOP28" s="911"/>
      <c r="MOQ28" s="911"/>
      <c r="MOR28" s="911"/>
      <c r="MOS28" s="915"/>
      <c r="MOT28" s="914"/>
      <c r="MOU28" s="914"/>
      <c r="MOV28" s="914"/>
      <c r="MOW28" s="914"/>
      <c r="MOX28" s="914"/>
      <c r="MOY28" s="914"/>
      <c r="MOZ28" s="914"/>
      <c r="MPA28" s="911"/>
      <c r="MPB28" s="911"/>
      <c r="MPC28" s="911"/>
      <c r="MPD28" s="915"/>
      <c r="MPE28" s="914"/>
      <c r="MPF28" s="914"/>
      <c r="MPG28" s="914"/>
      <c r="MPH28" s="914"/>
      <c r="MPI28" s="914"/>
      <c r="MPJ28" s="914"/>
      <c r="MPK28" s="914"/>
      <c r="MPL28" s="911"/>
      <c r="MPM28" s="911"/>
      <c r="MPN28" s="911"/>
      <c r="MPO28" s="915"/>
      <c r="MPP28" s="914"/>
      <c r="MPQ28" s="914"/>
      <c r="MPR28" s="914"/>
      <c r="MPS28" s="914"/>
      <c r="MPT28" s="914"/>
      <c r="MPU28" s="914"/>
      <c r="MPV28" s="914"/>
      <c r="MPW28" s="911"/>
      <c r="MPX28" s="911"/>
      <c r="MPY28" s="911"/>
      <c r="MPZ28" s="915"/>
      <c r="MQA28" s="914"/>
      <c r="MQB28" s="914"/>
      <c r="MQC28" s="914"/>
      <c r="MQD28" s="914"/>
      <c r="MQE28" s="914"/>
      <c r="MQF28" s="914"/>
      <c r="MQG28" s="914"/>
      <c r="MQH28" s="911"/>
      <c r="MQI28" s="911"/>
      <c r="MQJ28" s="911"/>
      <c r="MQK28" s="915"/>
      <c r="MQL28" s="914"/>
      <c r="MQM28" s="914"/>
      <c r="MQN28" s="914"/>
      <c r="MQO28" s="914"/>
      <c r="MQP28" s="914"/>
      <c r="MQQ28" s="914"/>
      <c r="MQR28" s="914"/>
      <c r="MQS28" s="911"/>
      <c r="MQT28" s="911"/>
      <c r="MQU28" s="911"/>
      <c r="MQV28" s="915"/>
      <c r="MQW28" s="914"/>
      <c r="MQX28" s="914"/>
      <c r="MQY28" s="914"/>
      <c r="MQZ28" s="914"/>
      <c r="MRA28" s="914"/>
      <c r="MRB28" s="914"/>
      <c r="MRC28" s="914"/>
      <c r="MRD28" s="911"/>
      <c r="MRE28" s="911"/>
      <c r="MRF28" s="911"/>
      <c r="MRG28" s="915"/>
      <c r="MRH28" s="914"/>
      <c r="MRI28" s="914"/>
      <c r="MRJ28" s="914"/>
      <c r="MRK28" s="914"/>
      <c r="MRL28" s="914"/>
      <c r="MRM28" s="914"/>
      <c r="MRN28" s="914"/>
      <c r="MRO28" s="911"/>
      <c r="MRP28" s="911"/>
      <c r="MRQ28" s="911"/>
      <c r="MRR28" s="915"/>
      <c r="MRS28" s="914"/>
      <c r="MRT28" s="914"/>
      <c r="MRU28" s="914"/>
      <c r="MRV28" s="914"/>
      <c r="MRW28" s="914"/>
      <c r="MRX28" s="914"/>
      <c r="MRY28" s="914"/>
      <c r="MRZ28" s="911"/>
      <c r="MSA28" s="911"/>
      <c r="MSB28" s="911"/>
      <c r="MSC28" s="915"/>
      <c r="MSD28" s="914"/>
      <c r="MSE28" s="914"/>
      <c r="MSF28" s="914"/>
      <c r="MSG28" s="914"/>
      <c r="MSH28" s="914"/>
      <c r="MSI28" s="914"/>
      <c r="MSJ28" s="914"/>
      <c r="MSK28" s="911"/>
      <c r="MSL28" s="911"/>
      <c r="MSM28" s="911"/>
      <c r="MSN28" s="915"/>
      <c r="MSO28" s="914"/>
      <c r="MSP28" s="914"/>
      <c r="MSQ28" s="914"/>
      <c r="MSR28" s="914"/>
      <c r="MSS28" s="914"/>
      <c r="MST28" s="914"/>
      <c r="MSU28" s="914"/>
      <c r="MSV28" s="911"/>
      <c r="MSW28" s="911"/>
      <c r="MSX28" s="911"/>
      <c r="MSY28" s="915"/>
      <c r="MSZ28" s="914"/>
      <c r="MTA28" s="914"/>
      <c r="MTB28" s="914"/>
      <c r="MTC28" s="914"/>
      <c r="MTD28" s="914"/>
      <c r="MTE28" s="914"/>
      <c r="MTF28" s="914"/>
      <c r="MTG28" s="911"/>
      <c r="MTH28" s="911"/>
      <c r="MTI28" s="911"/>
      <c r="MTJ28" s="915"/>
      <c r="MTK28" s="914"/>
      <c r="MTL28" s="914"/>
      <c r="MTM28" s="914"/>
      <c r="MTN28" s="914"/>
      <c r="MTO28" s="914"/>
      <c r="MTP28" s="914"/>
      <c r="MTQ28" s="914"/>
      <c r="MTR28" s="911"/>
      <c r="MTS28" s="911"/>
      <c r="MTT28" s="911"/>
      <c r="MTU28" s="915"/>
      <c r="MTV28" s="914"/>
      <c r="MTW28" s="914"/>
      <c r="MTX28" s="914"/>
      <c r="MTY28" s="914"/>
      <c r="MTZ28" s="914"/>
      <c r="MUA28" s="914"/>
      <c r="MUB28" s="914"/>
      <c r="MUC28" s="911"/>
      <c r="MUD28" s="911"/>
      <c r="MUE28" s="911"/>
      <c r="MUF28" s="915"/>
      <c r="MUG28" s="914"/>
      <c r="MUH28" s="914"/>
      <c r="MUI28" s="914"/>
      <c r="MUJ28" s="914"/>
      <c r="MUK28" s="914"/>
      <c r="MUL28" s="914"/>
      <c r="MUM28" s="914"/>
      <c r="MUN28" s="911"/>
      <c r="MUO28" s="911"/>
      <c r="MUP28" s="911"/>
      <c r="MUQ28" s="915"/>
      <c r="MUR28" s="914"/>
      <c r="MUS28" s="914"/>
      <c r="MUT28" s="914"/>
      <c r="MUU28" s="914"/>
      <c r="MUV28" s="914"/>
      <c r="MUW28" s="914"/>
      <c r="MUX28" s="914"/>
      <c r="MUY28" s="911"/>
      <c r="MUZ28" s="911"/>
      <c r="MVA28" s="911"/>
      <c r="MVB28" s="915"/>
      <c r="MVC28" s="914"/>
      <c r="MVD28" s="914"/>
      <c r="MVE28" s="914"/>
      <c r="MVF28" s="914"/>
      <c r="MVG28" s="914"/>
      <c r="MVH28" s="914"/>
      <c r="MVI28" s="914"/>
      <c r="MVJ28" s="911"/>
      <c r="MVK28" s="911"/>
      <c r="MVL28" s="911"/>
      <c r="MVM28" s="915"/>
      <c r="MVN28" s="914"/>
      <c r="MVO28" s="914"/>
      <c r="MVP28" s="914"/>
      <c r="MVQ28" s="914"/>
      <c r="MVR28" s="914"/>
      <c r="MVS28" s="914"/>
      <c r="MVT28" s="914"/>
      <c r="MVU28" s="911"/>
      <c r="MVV28" s="911"/>
      <c r="MVW28" s="911"/>
      <c r="MVX28" s="915"/>
      <c r="MVY28" s="914"/>
      <c r="MVZ28" s="914"/>
      <c r="MWA28" s="914"/>
      <c r="MWB28" s="914"/>
      <c r="MWC28" s="914"/>
      <c r="MWD28" s="914"/>
      <c r="MWE28" s="914"/>
      <c r="MWF28" s="911"/>
      <c r="MWG28" s="911"/>
      <c r="MWH28" s="911"/>
      <c r="MWI28" s="915"/>
      <c r="MWJ28" s="914"/>
      <c r="MWK28" s="914"/>
      <c r="MWL28" s="914"/>
      <c r="MWM28" s="914"/>
      <c r="MWN28" s="914"/>
      <c r="MWO28" s="914"/>
      <c r="MWP28" s="914"/>
      <c r="MWQ28" s="911"/>
      <c r="MWR28" s="911"/>
      <c r="MWS28" s="911"/>
      <c r="MWT28" s="915"/>
      <c r="MWU28" s="914"/>
      <c r="MWV28" s="914"/>
      <c r="MWW28" s="914"/>
      <c r="MWX28" s="914"/>
      <c r="MWY28" s="914"/>
      <c r="MWZ28" s="914"/>
      <c r="MXA28" s="914"/>
      <c r="MXB28" s="911"/>
      <c r="MXC28" s="911"/>
      <c r="MXD28" s="911"/>
      <c r="MXE28" s="915"/>
      <c r="MXF28" s="914"/>
      <c r="MXG28" s="914"/>
      <c r="MXH28" s="914"/>
      <c r="MXI28" s="914"/>
      <c r="MXJ28" s="914"/>
      <c r="MXK28" s="914"/>
      <c r="MXL28" s="914"/>
      <c r="MXM28" s="911"/>
      <c r="MXN28" s="911"/>
      <c r="MXO28" s="911"/>
      <c r="MXP28" s="915"/>
      <c r="MXQ28" s="914"/>
      <c r="MXR28" s="914"/>
      <c r="MXS28" s="914"/>
      <c r="MXT28" s="914"/>
      <c r="MXU28" s="914"/>
      <c r="MXV28" s="914"/>
      <c r="MXW28" s="914"/>
      <c r="MXX28" s="911"/>
      <c r="MXY28" s="911"/>
      <c r="MXZ28" s="911"/>
      <c r="MYA28" s="915"/>
      <c r="MYB28" s="914"/>
      <c r="MYC28" s="914"/>
      <c r="MYD28" s="914"/>
      <c r="MYE28" s="914"/>
      <c r="MYF28" s="914"/>
      <c r="MYG28" s="914"/>
      <c r="MYH28" s="914"/>
      <c r="MYI28" s="911"/>
      <c r="MYJ28" s="911"/>
      <c r="MYK28" s="911"/>
      <c r="MYL28" s="915"/>
      <c r="MYM28" s="914"/>
      <c r="MYN28" s="914"/>
      <c r="MYO28" s="914"/>
      <c r="MYP28" s="914"/>
      <c r="MYQ28" s="914"/>
      <c r="MYR28" s="914"/>
      <c r="MYS28" s="914"/>
      <c r="MYT28" s="911"/>
      <c r="MYU28" s="911"/>
      <c r="MYV28" s="911"/>
      <c r="MYW28" s="915"/>
      <c r="MYX28" s="914"/>
      <c r="MYY28" s="914"/>
      <c r="MYZ28" s="914"/>
      <c r="MZA28" s="914"/>
      <c r="MZB28" s="914"/>
      <c r="MZC28" s="914"/>
      <c r="MZD28" s="914"/>
      <c r="MZE28" s="911"/>
      <c r="MZF28" s="911"/>
      <c r="MZG28" s="911"/>
      <c r="MZH28" s="915"/>
      <c r="MZI28" s="914"/>
      <c r="MZJ28" s="914"/>
      <c r="MZK28" s="914"/>
      <c r="MZL28" s="914"/>
      <c r="MZM28" s="914"/>
      <c r="MZN28" s="914"/>
      <c r="MZO28" s="914"/>
      <c r="MZP28" s="911"/>
      <c r="MZQ28" s="911"/>
      <c r="MZR28" s="911"/>
      <c r="MZS28" s="915"/>
      <c r="MZT28" s="914"/>
      <c r="MZU28" s="914"/>
      <c r="MZV28" s="914"/>
      <c r="MZW28" s="914"/>
      <c r="MZX28" s="914"/>
      <c r="MZY28" s="914"/>
      <c r="MZZ28" s="914"/>
      <c r="NAA28" s="911"/>
      <c r="NAB28" s="911"/>
      <c r="NAC28" s="911"/>
      <c r="NAD28" s="915"/>
      <c r="NAE28" s="914"/>
      <c r="NAF28" s="914"/>
      <c r="NAG28" s="914"/>
      <c r="NAH28" s="914"/>
      <c r="NAI28" s="914"/>
      <c r="NAJ28" s="914"/>
      <c r="NAK28" s="914"/>
      <c r="NAL28" s="911"/>
      <c r="NAM28" s="911"/>
      <c r="NAN28" s="911"/>
      <c r="NAO28" s="915"/>
      <c r="NAP28" s="914"/>
      <c r="NAQ28" s="914"/>
      <c r="NAR28" s="914"/>
      <c r="NAS28" s="914"/>
      <c r="NAT28" s="914"/>
      <c r="NAU28" s="914"/>
      <c r="NAV28" s="914"/>
      <c r="NAW28" s="911"/>
      <c r="NAX28" s="911"/>
      <c r="NAY28" s="911"/>
      <c r="NAZ28" s="915"/>
      <c r="NBA28" s="914"/>
      <c r="NBB28" s="914"/>
      <c r="NBC28" s="914"/>
      <c r="NBD28" s="914"/>
      <c r="NBE28" s="914"/>
      <c r="NBF28" s="914"/>
      <c r="NBG28" s="914"/>
      <c r="NBH28" s="911"/>
      <c r="NBI28" s="911"/>
      <c r="NBJ28" s="911"/>
      <c r="NBK28" s="915"/>
      <c r="NBL28" s="914"/>
      <c r="NBM28" s="914"/>
      <c r="NBN28" s="914"/>
      <c r="NBO28" s="914"/>
      <c r="NBP28" s="914"/>
      <c r="NBQ28" s="914"/>
      <c r="NBR28" s="914"/>
      <c r="NBS28" s="911"/>
      <c r="NBT28" s="911"/>
      <c r="NBU28" s="911"/>
      <c r="NBV28" s="915"/>
      <c r="NBW28" s="914"/>
      <c r="NBX28" s="914"/>
      <c r="NBY28" s="914"/>
      <c r="NBZ28" s="914"/>
      <c r="NCA28" s="914"/>
      <c r="NCB28" s="914"/>
      <c r="NCC28" s="914"/>
      <c r="NCD28" s="911"/>
      <c r="NCE28" s="911"/>
      <c r="NCF28" s="911"/>
      <c r="NCG28" s="915"/>
      <c r="NCH28" s="914"/>
      <c r="NCI28" s="914"/>
      <c r="NCJ28" s="914"/>
      <c r="NCK28" s="914"/>
      <c r="NCL28" s="914"/>
      <c r="NCM28" s="914"/>
      <c r="NCN28" s="914"/>
      <c r="NCO28" s="911"/>
      <c r="NCP28" s="911"/>
      <c r="NCQ28" s="911"/>
      <c r="NCR28" s="915"/>
      <c r="NCS28" s="914"/>
      <c r="NCT28" s="914"/>
      <c r="NCU28" s="914"/>
      <c r="NCV28" s="914"/>
      <c r="NCW28" s="914"/>
      <c r="NCX28" s="914"/>
      <c r="NCY28" s="914"/>
      <c r="NCZ28" s="911"/>
      <c r="NDA28" s="911"/>
      <c r="NDB28" s="911"/>
      <c r="NDC28" s="915"/>
      <c r="NDD28" s="914"/>
      <c r="NDE28" s="914"/>
      <c r="NDF28" s="914"/>
      <c r="NDG28" s="914"/>
      <c r="NDH28" s="914"/>
      <c r="NDI28" s="914"/>
      <c r="NDJ28" s="914"/>
      <c r="NDK28" s="911"/>
      <c r="NDL28" s="911"/>
      <c r="NDM28" s="911"/>
      <c r="NDN28" s="915"/>
      <c r="NDO28" s="914"/>
      <c r="NDP28" s="914"/>
      <c r="NDQ28" s="914"/>
      <c r="NDR28" s="914"/>
      <c r="NDS28" s="914"/>
      <c r="NDT28" s="914"/>
      <c r="NDU28" s="914"/>
      <c r="NDV28" s="911"/>
      <c r="NDW28" s="911"/>
      <c r="NDX28" s="911"/>
      <c r="NDY28" s="915"/>
      <c r="NDZ28" s="914"/>
      <c r="NEA28" s="914"/>
      <c r="NEB28" s="914"/>
      <c r="NEC28" s="914"/>
      <c r="NED28" s="914"/>
      <c r="NEE28" s="914"/>
      <c r="NEF28" s="914"/>
      <c r="NEG28" s="911"/>
      <c r="NEH28" s="911"/>
      <c r="NEI28" s="911"/>
      <c r="NEJ28" s="915"/>
      <c r="NEK28" s="914"/>
      <c r="NEL28" s="914"/>
      <c r="NEM28" s="914"/>
      <c r="NEN28" s="914"/>
      <c r="NEO28" s="914"/>
      <c r="NEP28" s="914"/>
      <c r="NEQ28" s="914"/>
      <c r="NER28" s="911"/>
      <c r="NES28" s="911"/>
      <c r="NET28" s="911"/>
      <c r="NEU28" s="915"/>
      <c r="NEV28" s="914"/>
      <c r="NEW28" s="914"/>
      <c r="NEX28" s="914"/>
      <c r="NEY28" s="914"/>
      <c r="NEZ28" s="914"/>
      <c r="NFA28" s="914"/>
      <c r="NFB28" s="914"/>
      <c r="NFC28" s="911"/>
      <c r="NFD28" s="911"/>
      <c r="NFE28" s="911"/>
      <c r="NFF28" s="915"/>
      <c r="NFG28" s="914"/>
      <c r="NFH28" s="914"/>
      <c r="NFI28" s="914"/>
      <c r="NFJ28" s="914"/>
      <c r="NFK28" s="914"/>
      <c r="NFL28" s="914"/>
      <c r="NFM28" s="914"/>
      <c r="NFN28" s="911"/>
      <c r="NFO28" s="911"/>
      <c r="NFP28" s="911"/>
      <c r="NFQ28" s="915"/>
      <c r="NFR28" s="914"/>
      <c r="NFS28" s="914"/>
      <c r="NFT28" s="914"/>
      <c r="NFU28" s="914"/>
      <c r="NFV28" s="914"/>
      <c r="NFW28" s="914"/>
      <c r="NFX28" s="914"/>
      <c r="NFY28" s="911"/>
      <c r="NFZ28" s="911"/>
      <c r="NGA28" s="911"/>
      <c r="NGB28" s="915"/>
      <c r="NGC28" s="914"/>
      <c r="NGD28" s="914"/>
      <c r="NGE28" s="914"/>
      <c r="NGF28" s="914"/>
      <c r="NGG28" s="914"/>
      <c r="NGH28" s="914"/>
      <c r="NGI28" s="914"/>
      <c r="NGJ28" s="911"/>
      <c r="NGK28" s="911"/>
      <c r="NGL28" s="911"/>
      <c r="NGM28" s="915"/>
      <c r="NGN28" s="914"/>
      <c r="NGO28" s="914"/>
      <c r="NGP28" s="914"/>
      <c r="NGQ28" s="914"/>
      <c r="NGR28" s="914"/>
      <c r="NGS28" s="914"/>
      <c r="NGT28" s="914"/>
      <c r="NGU28" s="911"/>
      <c r="NGV28" s="911"/>
      <c r="NGW28" s="911"/>
      <c r="NGX28" s="915"/>
      <c r="NGY28" s="914"/>
      <c r="NGZ28" s="914"/>
      <c r="NHA28" s="914"/>
      <c r="NHB28" s="914"/>
      <c r="NHC28" s="914"/>
      <c r="NHD28" s="914"/>
      <c r="NHE28" s="914"/>
      <c r="NHF28" s="911"/>
      <c r="NHG28" s="911"/>
      <c r="NHH28" s="911"/>
      <c r="NHI28" s="915"/>
      <c r="NHJ28" s="914"/>
      <c r="NHK28" s="914"/>
      <c r="NHL28" s="914"/>
      <c r="NHM28" s="914"/>
      <c r="NHN28" s="914"/>
      <c r="NHO28" s="914"/>
      <c r="NHP28" s="914"/>
      <c r="NHQ28" s="911"/>
      <c r="NHR28" s="911"/>
      <c r="NHS28" s="911"/>
      <c r="NHT28" s="915"/>
      <c r="NHU28" s="914"/>
      <c r="NHV28" s="914"/>
      <c r="NHW28" s="914"/>
      <c r="NHX28" s="914"/>
      <c r="NHY28" s="914"/>
      <c r="NHZ28" s="914"/>
      <c r="NIA28" s="914"/>
      <c r="NIB28" s="911"/>
      <c r="NIC28" s="911"/>
      <c r="NID28" s="911"/>
      <c r="NIE28" s="915"/>
      <c r="NIF28" s="914"/>
      <c r="NIG28" s="914"/>
      <c r="NIH28" s="914"/>
      <c r="NII28" s="914"/>
      <c r="NIJ28" s="914"/>
      <c r="NIK28" s="914"/>
      <c r="NIL28" s="914"/>
      <c r="NIM28" s="911"/>
      <c r="NIN28" s="911"/>
      <c r="NIO28" s="911"/>
      <c r="NIP28" s="915"/>
      <c r="NIQ28" s="914"/>
      <c r="NIR28" s="914"/>
      <c r="NIS28" s="914"/>
      <c r="NIT28" s="914"/>
      <c r="NIU28" s="914"/>
      <c r="NIV28" s="914"/>
      <c r="NIW28" s="914"/>
      <c r="NIX28" s="911"/>
      <c r="NIY28" s="911"/>
      <c r="NIZ28" s="911"/>
      <c r="NJA28" s="915"/>
      <c r="NJB28" s="914"/>
      <c r="NJC28" s="914"/>
      <c r="NJD28" s="914"/>
      <c r="NJE28" s="914"/>
      <c r="NJF28" s="914"/>
      <c r="NJG28" s="914"/>
      <c r="NJH28" s="914"/>
      <c r="NJI28" s="911"/>
      <c r="NJJ28" s="911"/>
      <c r="NJK28" s="911"/>
      <c r="NJL28" s="915"/>
      <c r="NJM28" s="914"/>
      <c r="NJN28" s="914"/>
      <c r="NJO28" s="914"/>
      <c r="NJP28" s="914"/>
      <c r="NJQ28" s="914"/>
      <c r="NJR28" s="914"/>
      <c r="NJS28" s="914"/>
      <c r="NJT28" s="911"/>
      <c r="NJU28" s="911"/>
      <c r="NJV28" s="911"/>
      <c r="NJW28" s="915"/>
      <c r="NJX28" s="914"/>
      <c r="NJY28" s="914"/>
      <c r="NJZ28" s="914"/>
      <c r="NKA28" s="914"/>
      <c r="NKB28" s="914"/>
      <c r="NKC28" s="914"/>
      <c r="NKD28" s="914"/>
      <c r="NKE28" s="911"/>
      <c r="NKF28" s="911"/>
      <c r="NKG28" s="911"/>
      <c r="NKH28" s="915"/>
      <c r="NKI28" s="914"/>
      <c r="NKJ28" s="914"/>
      <c r="NKK28" s="914"/>
      <c r="NKL28" s="914"/>
      <c r="NKM28" s="914"/>
      <c r="NKN28" s="914"/>
      <c r="NKO28" s="914"/>
      <c r="NKP28" s="911"/>
      <c r="NKQ28" s="911"/>
      <c r="NKR28" s="911"/>
      <c r="NKS28" s="915"/>
      <c r="NKT28" s="914"/>
      <c r="NKU28" s="914"/>
      <c r="NKV28" s="914"/>
      <c r="NKW28" s="914"/>
      <c r="NKX28" s="914"/>
      <c r="NKY28" s="914"/>
      <c r="NKZ28" s="914"/>
      <c r="NLA28" s="911"/>
      <c r="NLB28" s="911"/>
      <c r="NLC28" s="911"/>
      <c r="NLD28" s="915"/>
      <c r="NLE28" s="914"/>
      <c r="NLF28" s="914"/>
      <c r="NLG28" s="914"/>
      <c r="NLH28" s="914"/>
      <c r="NLI28" s="914"/>
      <c r="NLJ28" s="914"/>
      <c r="NLK28" s="914"/>
      <c r="NLL28" s="911"/>
      <c r="NLM28" s="911"/>
      <c r="NLN28" s="911"/>
      <c r="NLO28" s="915"/>
      <c r="NLP28" s="914"/>
      <c r="NLQ28" s="914"/>
      <c r="NLR28" s="914"/>
      <c r="NLS28" s="914"/>
      <c r="NLT28" s="914"/>
      <c r="NLU28" s="914"/>
      <c r="NLV28" s="914"/>
      <c r="NLW28" s="911"/>
      <c r="NLX28" s="911"/>
      <c r="NLY28" s="911"/>
      <c r="NLZ28" s="915"/>
      <c r="NMA28" s="914"/>
      <c r="NMB28" s="914"/>
      <c r="NMC28" s="914"/>
      <c r="NMD28" s="914"/>
      <c r="NME28" s="914"/>
      <c r="NMF28" s="914"/>
      <c r="NMG28" s="914"/>
      <c r="NMH28" s="911"/>
      <c r="NMI28" s="911"/>
      <c r="NMJ28" s="911"/>
      <c r="NMK28" s="915"/>
      <c r="NML28" s="914"/>
      <c r="NMM28" s="914"/>
      <c r="NMN28" s="914"/>
      <c r="NMO28" s="914"/>
      <c r="NMP28" s="914"/>
      <c r="NMQ28" s="914"/>
      <c r="NMR28" s="914"/>
      <c r="NMS28" s="911"/>
      <c r="NMT28" s="911"/>
      <c r="NMU28" s="911"/>
      <c r="NMV28" s="915"/>
      <c r="NMW28" s="914"/>
      <c r="NMX28" s="914"/>
      <c r="NMY28" s="914"/>
      <c r="NMZ28" s="914"/>
      <c r="NNA28" s="914"/>
      <c r="NNB28" s="914"/>
      <c r="NNC28" s="914"/>
      <c r="NND28" s="911"/>
      <c r="NNE28" s="911"/>
      <c r="NNF28" s="911"/>
      <c r="NNG28" s="915"/>
      <c r="NNH28" s="914"/>
      <c r="NNI28" s="914"/>
      <c r="NNJ28" s="914"/>
      <c r="NNK28" s="914"/>
      <c r="NNL28" s="914"/>
      <c r="NNM28" s="914"/>
      <c r="NNN28" s="914"/>
      <c r="NNO28" s="911"/>
      <c r="NNP28" s="911"/>
      <c r="NNQ28" s="911"/>
      <c r="NNR28" s="915"/>
      <c r="NNS28" s="914"/>
      <c r="NNT28" s="914"/>
      <c r="NNU28" s="914"/>
      <c r="NNV28" s="914"/>
      <c r="NNW28" s="914"/>
      <c r="NNX28" s="914"/>
      <c r="NNY28" s="914"/>
      <c r="NNZ28" s="911"/>
      <c r="NOA28" s="911"/>
      <c r="NOB28" s="911"/>
      <c r="NOC28" s="915"/>
      <c r="NOD28" s="914"/>
      <c r="NOE28" s="914"/>
      <c r="NOF28" s="914"/>
      <c r="NOG28" s="914"/>
      <c r="NOH28" s="914"/>
      <c r="NOI28" s="914"/>
      <c r="NOJ28" s="914"/>
      <c r="NOK28" s="911"/>
      <c r="NOL28" s="911"/>
      <c r="NOM28" s="911"/>
      <c r="NON28" s="915"/>
      <c r="NOO28" s="914"/>
      <c r="NOP28" s="914"/>
      <c r="NOQ28" s="914"/>
      <c r="NOR28" s="914"/>
      <c r="NOS28" s="914"/>
      <c r="NOT28" s="914"/>
      <c r="NOU28" s="914"/>
      <c r="NOV28" s="911"/>
      <c r="NOW28" s="911"/>
      <c r="NOX28" s="911"/>
      <c r="NOY28" s="915"/>
      <c r="NOZ28" s="914"/>
      <c r="NPA28" s="914"/>
      <c r="NPB28" s="914"/>
      <c r="NPC28" s="914"/>
      <c r="NPD28" s="914"/>
      <c r="NPE28" s="914"/>
      <c r="NPF28" s="914"/>
      <c r="NPG28" s="911"/>
      <c r="NPH28" s="911"/>
      <c r="NPI28" s="911"/>
      <c r="NPJ28" s="915"/>
      <c r="NPK28" s="914"/>
      <c r="NPL28" s="914"/>
      <c r="NPM28" s="914"/>
      <c r="NPN28" s="914"/>
      <c r="NPO28" s="914"/>
      <c r="NPP28" s="914"/>
      <c r="NPQ28" s="914"/>
      <c r="NPR28" s="911"/>
      <c r="NPS28" s="911"/>
      <c r="NPT28" s="911"/>
      <c r="NPU28" s="915"/>
      <c r="NPV28" s="914"/>
      <c r="NPW28" s="914"/>
      <c r="NPX28" s="914"/>
      <c r="NPY28" s="914"/>
      <c r="NPZ28" s="914"/>
      <c r="NQA28" s="914"/>
      <c r="NQB28" s="914"/>
      <c r="NQC28" s="911"/>
      <c r="NQD28" s="911"/>
      <c r="NQE28" s="911"/>
      <c r="NQF28" s="915"/>
      <c r="NQG28" s="914"/>
      <c r="NQH28" s="914"/>
      <c r="NQI28" s="914"/>
      <c r="NQJ28" s="914"/>
      <c r="NQK28" s="914"/>
      <c r="NQL28" s="914"/>
      <c r="NQM28" s="914"/>
      <c r="NQN28" s="911"/>
      <c r="NQO28" s="911"/>
      <c r="NQP28" s="911"/>
      <c r="NQQ28" s="915"/>
      <c r="NQR28" s="914"/>
      <c r="NQS28" s="914"/>
      <c r="NQT28" s="914"/>
      <c r="NQU28" s="914"/>
      <c r="NQV28" s="914"/>
      <c r="NQW28" s="914"/>
      <c r="NQX28" s="914"/>
      <c r="NQY28" s="911"/>
      <c r="NQZ28" s="911"/>
      <c r="NRA28" s="911"/>
      <c r="NRB28" s="915"/>
      <c r="NRC28" s="914"/>
      <c r="NRD28" s="914"/>
      <c r="NRE28" s="914"/>
      <c r="NRF28" s="914"/>
      <c r="NRG28" s="914"/>
      <c r="NRH28" s="914"/>
      <c r="NRI28" s="914"/>
      <c r="NRJ28" s="911"/>
      <c r="NRK28" s="911"/>
      <c r="NRL28" s="911"/>
      <c r="NRM28" s="915"/>
      <c r="NRN28" s="914"/>
      <c r="NRO28" s="914"/>
      <c r="NRP28" s="914"/>
      <c r="NRQ28" s="914"/>
      <c r="NRR28" s="914"/>
      <c r="NRS28" s="914"/>
      <c r="NRT28" s="914"/>
      <c r="NRU28" s="911"/>
      <c r="NRV28" s="911"/>
      <c r="NRW28" s="911"/>
      <c r="NRX28" s="915"/>
      <c r="NRY28" s="914"/>
      <c r="NRZ28" s="914"/>
      <c r="NSA28" s="914"/>
      <c r="NSB28" s="914"/>
      <c r="NSC28" s="914"/>
      <c r="NSD28" s="914"/>
      <c r="NSE28" s="914"/>
      <c r="NSF28" s="911"/>
      <c r="NSG28" s="911"/>
      <c r="NSH28" s="911"/>
      <c r="NSI28" s="915"/>
      <c r="NSJ28" s="914"/>
      <c r="NSK28" s="914"/>
      <c r="NSL28" s="914"/>
      <c r="NSM28" s="914"/>
      <c r="NSN28" s="914"/>
      <c r="NSO28" s="914"/>
      <c r="NSP28" s="914"/>
      <c r="NSQ28" s="911"/>
      <c r="NSR28" s="911"/>
      <c r="NSS28" s="911"/>
      <c r="NST28" s="915"/>
      <c r="NSU28" s="914"/>
      <c r="NSV28" s="914"/>
      <c r="NSW28" s="914"/>
      <c r="NSX28" s="914"/>
      <c r="NSY28" s="914"/>
      <c r="NSZ28" s="914"/>
      <c r="NTA28" s="914"/>
      <c r="NTB28" s="911"/>
      <c r="NTC28" s="911"/>
      <c r="NTD28" s="911"/>
      <c r="NTE28" s="915"/>
      <c r="NTF28" s="914"/>
      <c r="NTG28" s="914"/>
      <c r="NTH28" s="914"/>
      <c r="NTI28" s="914"/>
      <c r="NTJ28" s="914"/>
      <c r="NTK28" s="914"/>
      <c r="NTL28" s="914"/>
      <c r="NTM28" s="911"/>
      <c r="NTN28" s="911"/>
      <c r="NTO28" s="911"/>
      <c r="NTP28" s="915"/>
      <c r="NTQ28" s="914"/>
      <c r="NTR28" s="914"/>
      <c r="NTS28" s="914"/>
      <c r="NTT28" s="914"/>
      <c r="NTU28" s="914"/>
      <c r="NTV28" s="914"/>
      <c r="NTW28" s="914"/>
      <c r="NTX28" s="911"/>
      <c r="NTY28" s="911"/>
      <c r="NTZ28" s="911"/>
      <c r="NUA28" s="915"/>
      <c r="NUB28" s="914"/>
      <c r="NUC28" s="914"/>
      <c r="NUD28" s="914"/>
      <c r="NUE28" s="914"/>
      <c r="NUF28" s="914"/>
      <c r="NUG28" s="914"/>
      <c r="NUH28" s="914"/>
      <c r="NUI28" s="911"/>
      <c r="NUJ28" s="911"/>
      <c r="NUK28" s="911"/>
      <c r="NUL28" s="915"/>
      <c r="NUM28" s="914"/>
      <c r="NUN28" s="914"/>
      <c r="NUO28" s="914"/>
      <c r="NUP28" s="914"/>
      <c r="NUQ28" s="914"/>
      <c r="NUR28" s="914"/>
      <c r="NUS28" s="914"/>
      <c r="NUT28" s="911"/>
      <c r="NUU28" s="911"/>
      <c r="NUV28" s="911"/>
      <c r="NUW28" s="915"/>
      <c r="NUX28" s="914"/>
      <c r="NUY28" s="914"/>
      <c r="NUZ28" s="914"/>
      <c r="NVA28" s="914"/>
      <c r="NVB28" s="914"/>
      <c r="NVC28" s="914"/>
      <c r="NVD28" s="914"/>
      <c r="NVE28" s="911"/>
      <c r="NVF28" s="911"/>
      <c r="NVG28" s="911"/>
      <c r="NVH28" s="915"/>
      <c r="NVI28" s="914"/>
      <c r="NVJ28" s="914"/>
      <c r="NVK28" s="914"/>
      <c r="NVL28" s="914"/>
      <c r="NVM28" s="914"/>
      <c r="NVN28" s="914"/>
      <c r="NVO28" s="914"/>
      <c r="NVP28" s="911"/>
      <c r="NVQ28" s="911"/>
      <c r="NVR28" s="911"/>
      <c r="NVS28" s="915"/>
      <c r="NVT28" s="914"/>
      <c r="NVU28" s="914"/>
      <c r="NVV28" s="914"/>
      <c r="NVW28" s="914"/>
      <c r="NVX28" s="914"/>
      <c r="NVY28" s="914"/>
      <c r="NVZ28" s="914"/>
      <c r="NWA28" s="911"/>
      <c r="NWB28" s="911"/>
      <c r="NWC28" s="911"/>
      <c r="NWD28" s="915"/>
      <c r="NWE28" s="914"/>
      <c r="NWF28" s="914"/>
      <c r="NWG28" s="914"/>
      <c r="NWH28" s="914"/>
      <c r="NWI28" s="914"/>
      <c r="NWJ28" s="914"/>
      <c r="NWK28" s="914"/>
      <c r="NWL28" s="911"/>
      <c r="NWM28" s="911"/>
      <c r="NWN28" s="911"/>
      <c r="NWO28" s="915"/>
      <c r="NWP28" s="914"/>
      <c r="NWQ28" s="914"/>
      <c r="NWR28" s="914"/>
      <c r="NWS28" s="914"/>
      <c r="NWT28" s="914"/>
      <c r="NWU28" s="914"/>
      <c r="NWV28" s="914"/>
      <c r="NWW28" s="911"/>
      <c r="NWX28" s="911"/>
      <c r="NWY28" s="911"/>
      <c r="NWZ28" s="915"/>
      <c r="NXA28" s="914"/>
      <c r="NXB28" s="914"/>
      <c r="NXC28" s="914"/>
      <c r="NXD28" s="914"/>
      <c r="NXE28" s="914"/>
      <c r="NXF28" s="914"/>
      <c r="NXG28" s="914"/>
      <c r="NXH28" s="911"/>
      <c r="NXI28" s="911"/>
      <c r="NXJ28" s="911"/>
      <c r="NXK28" s="915"/>
      <c r="NXL28" s="914"/>
      <c r="NXM28" s="914"/>
      <c r="NXN28" s="914"/>
      <c r="NXO28" s="914"/>
      <c r="NXP28" s="914"/>
      <c r="NXQ28" s="914"/>
      <c r="NXR28" s="914"/>
      <c r="NXS28" s="911"/>
      <c r="NXT28" s="911"/>
      <c r="NXU28" s="911"/>
      <c r="NXV28" s="915"/>
      <c r="NXW28" s="914"/>
      <c r="NXX28" s="914"/>
      <c r="NXY28" s="914"/>
      <c r="NXZ28" s="914"/>
      <c r="NYA28" s="914"/>
      <c r="NYB28" s="914"/>
      <c r="NYC28" s="914"/>
      <c r="NYD28" s="911"/>
      <c r="NYE28" s="911"/>
      <c r="NYF28" s="911"/>
      <c r="NYG28" s="915"/>
      <c r="NYH28" s="914"/>
      <c r="NYI28" s="914"/>
      <c r="NYJ28" s="914"/>
      <c r="NYK28" s="914"/>
      <c r="NYL28" s="914"/>
      <c r="NYM28" s="914"/>
      <c r="NYN28" s="914"/>
      <c r="NYO28" s="911"/>
      <c r="NYP28" s="911"/>
      <c r="NYQ28" s="911"/>
      <c r="NYR28" s="915"/>
      <c r="NYS28" s="914"/>
      <c r="NYT28" s="914"/>
      <c r="NYU28" s="914"/>
      <c r="NYV28" s="914"/>
      <c r="NYW28" s="914"/>
      <c r="NYX28" s="914"/>
      <c r="NYY28" s="914"/>
      <c r="NYZ28" s="911"/>
      <c r="NZA28" s="911"/>
      <c r="NZB28" s="911"/>
      <c r="NZC28" s="915"/>
      <c r="NZD28" s="914"/>
      <c r="NZE28" s="914"/>
      <c r="NZF28" s="914"/>
      <c r="NZG28" s="914"/>
      <c r="NZH28" s="914"/>
      <c r="NZI28" s="914"/>
      <c r="NZJ28" s="914"/>
      <c r="NZK28" s="911"/>
      <c r="NZL28" s="911"/>
      <c r="NZM28" s="911"/>
      <c r="NZN28" s="915"/>
      <c r="NZO28" s="914"/>
      <c r="NZP28" s="914"/>
      <c r="NZQ28" s="914"/>
      <c r="NZR28" s="914"/>
      <c r="NZS28" s="914"/>
      <c r="NZT28" s="914"/>
      <c r="NZU28" s="914"/>
      <c r="NZV28" s="911"/>
      <c r="NZW28" s="911"/>
      <c r="NZX28" s="911"/>
      <c r="NZY28" s="915"/>
      <c r="NZZ28" s="914"/>
      <c r="OAA28" s="914"/>
      <c r="OAB28" s="914"/>
      <c r="OAC28" s="914"/>
      <c r="OAD28" s="914"/>
      <c r="OAE28" s="914"/>
      <c r="OAF28" s="914"/>
      <c r="OAG28" s="911"/>
      <c r="OAH28" s="911"/>
      <c r="OAI28" s="911"/>
      <c r="OAJ28" s="915"/>
      <c r="OAK28" s="914"/>
      <c r="OAL28" s="914"/>
      <c r="OAM28" s="914"/>
      <c r="OAN28" s="914"/>
      <c r="OAO28" s="914"/>
      <c r="OAP28" s="914"/>
      <c r="OAQ28" s="914"/>
      <c r="OAR28" s="911"/>
      <c r="OAS28" s="911"/>
      <c r="OAT28" s="911"/>
      <c r="OAU28" s="915"/>
      <c r="OAV28" s="914"/>
      <c r="OAW28" s="914"/>
      <c r="OAX28" s="914"/>
      <c r="OAY28" s="914"/>
      <c r="OAZ28" s="914"/>
      <c r="OBA28" s="914"/>
      <c r="OBB28" s="914"/>
      <c r="OBC28" s="911"/>
      <c r="OBD28" s="911"/>
      <c r="OBE28" s="911"/>
      <c r="OBF28" s="915"/>
      <c r="OBG28" s="914"/>
      <c r="OBH28" s="914"/>
      <c r="OBI28" s="914"/>
      <c r="OBJ28" s="914"/>
      <c r="OBK28" s="914"/>
      <c r="OBL28" s="914"/>
      <c r="OBM28" s="914"/>
      <c r="OBN28" s="911"/>
      <c r="OBO28" s="911"/>
      <c r="OBP28" s="911"/>
      <c r="OBQ28" s="915"/>
      <c r="OBR28" s="914"/>
      <c r="OBS28" s="914"/>
      <c r="OBT28" s="914"/>
      <c r="OBU28" s="914"/>
      <c r="OBV28" s="914"/>
      <c r="OBW28" s="914"/>
      <c r="OBX28" s="914"/>
      <c r="OBY28" s="911"/>
      <c r="OBZ28" s="911"/>
      <c r="OCA28" s="911"/>
      <c r="OCB28" s="915"/>
      <c r="OCC28" s="914"/>
      <c r="OCD28" s="914"/>
      <c r="OCE28" s="914"/>
      <c r="OCF28" s="914"/>
      <c r="OCG28" s="914"/>
      <c r="OCH28" s="914"/>
      <c r="OCI28" s="914"/>
      <c r="OCJ28" s="911"/>
      <c r="OCK28" s="911"/>
      <c r="OCL28" s="911"/>
      <c r="OCM28" s="915"/>
      <c r="OCN28" s="914"/>
      <c r="OCO28" s="914"/>
      <c r="OCP28" s="914"/>
      <c r="OCQ28" s="914"/>
      <c r="OCR28" s="914"/>
      <c r="OCS28" s="914"/>
      <c r="OCT28" s="914"/>
      <c r="OCU28" s="911"/>
      <c r="OCV28" s="911"/>
      <c r="OCW28" s="911"/>
      <c r="OCX28" s="915"/>
      <c r="OCY28" s="914"/>
      <c r="OCZ28" s="914"/>
      <c r="ODA28" s="914"/>
      <c r="ODB28" s="914"/>
      <c r="ODC28" s="914"/>
      <c r="ODD28" s="914"/>
      <c r="ODE28" s="914"/>
      <c r="ODF28" s="911"/>
      <c r="ODG28" s="911"/>
      <c r="ODH28" s="911"/>
      <c r="ODI28" s="915"/>
      <c r="ODJ28" s="914"/>
      <c r="ODK28" s="914"/>
      <c r="ODL28" s="914"/>
      <c r="ODM28" s="914"/>
      <c r="ODN28" s="914"/>
      <c r="ODO28" s="914"/>
      <c r="ODP28" s="914"/>
      <c r="ODQ28" s="911"/>
      <c r="ODR28" s="911"/>
      <c r="ODS28" s="911"/>
      <c r="ODT28" s="915"/>
      <c r="ODU28" s="914"/>
      <c r="ODV28" s="914"/>
      <c r="ODW28" s="914"/>
      <c r="ODX28" s="914"/>
      <c r="ODY28" s="914"/>
      <c r="ODZ28" s="914"/>
      <c r="OEA28" s="914"/>
      <c r="OEB28" s="911"/>
      <c r="OEC28" s="911"/>
      <c r="OED28" s="911"/>
      <c r="OEE28" s="915"/>
      <c r="OEF28" s="914"/>
      <c r="OEG28" s="914"/>
      <c r="OEH28" s="914"/>
      <c r="OEI28" s="914"/>
      <c r="OEJ28" s="914"/>
      <c r="OEK28" s="914"/>
      <c r="OEL28" s="914"/>
      <c r="OEM28" s="911"/>
      <c r="OEN28" s="911"/>
      <c r="OEO28" s="911"/>
      <c r="OEP28" s="915"/>
      <c r="OEQ28" s="914"/>
      <c r="OER28" s="914"/>
      <c r="OES28" s="914"/>
      <c r="OET28" s="914"/>
      <c r="OEU28" s="914"/>
      <c r="OEV28" s="914"/>
      <c r="OEW28" s="914"/>
      <c r="OEX28" s="911"/>
      <c r="OEY28" s="911"/>
      <c r="OEZ28" s="911"/>
      <c r="OFA28" s="915"/>
      <c r="OFB28" s="914"/>
      <c r="OFC28" s="914"/>
      <c r="OFD28" s="914"/>
      <c r="OFE28" s="914"/>
      <c r="OFF28" s="914"/>
      <c r="OFG28" s="914"/>
      <c r="OFH28" s="914"/>
      <c r="OFI28" s="911"/>
      <c r="OFJ28" s="911"/>
      <c r="OFK28" s="911"/>
      <c r="OFL28" s="915"/>
      <c r="OFM28" s="914"/>
      <c r="OFN28" s="914"/>
      <c r="OFO28" s="914"/>
      <c r="OFP28" s="914"/>
      <c r="OFQ28" s="914"/>
      <c r="OFR28" s="914"/>
      <c r="OFS28" s="914"/>
      <c r="OFT28" s="911"/>
      <c r="OFU28" s="911"/>
      <c r="OFV28" s="911"/>
      <c r="OFW28" s="915"/>
      <c r="OFX28" s="914"/>
      <c r="OFY28" s="914"/>
      <c r="OFZ28" s="914"/>
      <c r="OGA28" s="914"/>
      <c r="OGB28" s="914"/>
      <c r="OGC28" s="914"/>
      <c r="OGD28" s="914"/>
      <c r="OGE28" s="911"/>
      <c r="OGF28" s="911"/>
      <c r="OGG28" s="911"/>
      <c r="OGH28" s="915"/>
      <c r="OGI28" s="914"/>
      <c r="OGJ28" s="914"/>
      <c r="OGK28" s="914"/>
      <c r="OGL28" s="914"/>
      <c r="OGM28" s="914"/>
      <c r="OGN28" s="914"/>
      <c r="OGO28" s="914"/>
      <c r="OGP28" s="911"/>
      <c r="OGQ28" s="911"/>
      <c r="OGR28" s="911"/>
      <c r="OGS28" s="915"/>
      <c r="OGT28" s="914"/>
      <c r="OGU28" s="914"/>
      <c r="OGV28" s="914"/>
      <c r="OGW28" s="914"/>
      <c r="OGX28" s="914"/>
      <c r="OGY28" s="914"/>
      <c r="OGZ28" s="914"/>
      <c r="OHA28" s="911"/>
      <c r="OHB28" s="911"/>
      <c r="OHC28" s="911"/>
      <c r="OHD28" s="915"/>
      <c r="OHE28" s="914"/>
      <c r="OHF28" s="914"/>
      <c r="OHG28" s="914"/>
      <c r="OHH28" s="914"/>
      <c r="OHI28" s="914"/>
      <c r="OHJ28" s="914"/>
      <c r="OHK28" s="914"/>
      <c r="OHL28" s="911"/>
      <c r="OHM28" s="911"/>
      <c r="OHN28" s="911"/>
      <c r="OHO28" s="915"/>
      <c r="OHP28" s="914"/>
      <c r="OHQ28" s="914"/>
      <c r="OHR28" s="914"/>
      <c r="OHS28" s="914"/>
      <c r="OHT28" s="914"/>
      <c r="OHU28" s="914"/>
      <c r="OHV28" s="914"/>
      <c r="OHW28" s="911"/>
      <c r="OHX28" s="911"/>
      <c r="OHY28" s="911"/>
      <c r="OHZ28" s="915"/>
      <c r="OIA28" s="914"/>
      <c r="OIB28" s="914"/>
      <c r="OIC28" s="914"/>
      <c r="OID28" s="914"/>
      <c r="OIE28" s="914"/>
      <c r="OIF28" s="914"/>
      <c r="OIG28" s="914"/>
      <c r="OIH28" s="911"/>
      <c r="OII28" s="911"/>
      <c r="OIJ28" s="911"/>
      <c r="OIK28" s="915"/>
      <c r="OIL28" s="914"/>
      <c r="OIM28" s="914"/>
      <c r="OIN28" s="914"/>
      <c r="OIO28" s="914"/>
      <c r="OIP28" s="914"/>
      <c r="OIQ28" s="914"/>
      <c r="OIR28" s="914"/>
      <c r="OIS28" s="911"/>
      <c r="OIT28" s="911"/>
      <c r="OIU28" s="911"/>
      <c r="OIV28" s="915"/>
      <c r="OIW28" s="914"/>
      <c r="OIX28" s="914"/>
      <c r="OIY28" s="914"/>
      <c r="OIZ28" s="914"/>
      <c r="OJA28" s="914"/>
      <c r="OJB28" s="914"/>
      <c r="OJC28" s="914"/>
      <c r="OJD28" s="911"/>
      <c r="OJE28" s="911"/>
      <c r="OJF28" s="911"/>
      <c r="OJG28" s="915"/>
      <c r="OJH28" s="914"/>
      <c r="OJI28" s="914"/>
      <c r="OJJ28" s="914"/>
      <c r="OJK28" s="914"/>
      <c r="OJL28" s="914"/>
      <c r="OJM28" s="914"/>
      <c r="OJN28" s="914"/>
      <c r="OJO28" s="911"/>
      <c r="OJP28" s="911"/>
      <c r="OJQ28" s="911"/>
      <c r="OJR28" s="915"/>
      <c r="OJS28" s="914"/>
      <c r="OJT28" s="914"/>
      <c r="OJU28" s="914"/>
      <c r="OJV28" s="914"/>
      <c r="OJW28" s="914"/>
      <c r="OJX28" s="914"/>
      <c r="OJY28" s="914"/>
      <c r="OJZ28" s="911"/>
      <c r="OKA28" s="911"/>
      <c r="OKB28" s="911"/>
      <c r="OKC28" s="915"/>
      <c r="OKD28" s="914"/>
      <c r="OKE28" s="914"/>
      <c r="OKF28" s="914"/>
      <c r="OKG28" s="914"/>
      <c r="OKH28" s="914"/>
      <c r="OKI28" s="914"/>
      <c r="OKJ28" s="914"/>
      <c r="OKK28" s="911"/>
      <c r="OKL28" s="911"/>
      <c r="OKM28" s="911"/>
      <c r="OKN28" s="915"/>
      <c r="OKO28" s="914"/>
      <c r="OKP28" s="914"/>
      <c r="OKQ28" s="914"/>
      <c r="OKR28" s="914"/>
      <c r="OKS28" s="914"/>
      <c r="OKT28" s="914"/>
      <c r="OKU28" s="914"/>
      <c r="OKV28" s="911"/>
      <c r="OKW28" s="911"/>
      <c r="OKX28" s="911"/>
      <c r="OKY28" s="915"/>
      <c r="OKZ28" s="914"/>
      <c r="OLA28" s="914"/>
      <c r="OLB28" s="914"/>
      <c r="OLC28" s="914"/>
      <c r="OLD28" s="914"/>
      <c r="OLE28" s="914"/>
      <c r="OLF28" s="914"/>
      <c r="OLG28" s="911"/>
      <c r="OLH28" s="911"/>
      <c r="OLI28" s="911"/>
      <c r="OLJ28" s="915"/>
      <c r="OLK28" s="914"/>
      <c r="OLL28" s="914"/>
      <c r="OLM28" s="914"/>
      <c r="OLN28" s="914"/>
      <c r="OLO28" s="914"/>
      <c r="OLP28" s="914"/>
      <c r="OLQ28" s="914"/>
      <c r="OLR28" s="911"/>
      <c r="OLS28" s="911"/>
      <c r="OLT28" s="911"/>
      <c r="OLU28" s="915"/>
      <c r="OLV28" s="914"/>
      <c r="OLW28" s="914"/>
      <c r="OLX28" s="914"/>
      <c r="OLY28" s="914"/>
      <c r="OLZ28" s="914"/>
      <c r="OMA28" s="914"/>
      <c r="OMB28" s="914"/>
      <c r="OMC28" s="911"/>
      <c r="OMD28" s="911"/>
      <c r="OME28" s="911"/>
      <c r="OMF28" s="915"/>
      <c r="OMG28" s="914"/>
      <c r="OMH28" s="914"/>
      <c r="OMI28" s="914"/>
      <c r="OMJ28" s="914"/>
      <c r="OMK28" s="914"/>
      <c r="OML28" s="914"/>
      <c r="OMM28" s="914"/>
      <c r="OMN28" s="911"/>
      <c r="OMO28" s="911"/>
      <c r="OMP28" s="911"/>
      <c r="OMQ28" s="915"/>
      <c r="OMR28" s="914"/>
      <c r="OMS28" s="914"/>
      <c r="OMT28" s="914"/>
      <c r="OMU28" s="914"/>
      <c r="OMV28" s="914"/>
      <c r="OMW28" s="914"/>
      <c r="OMX28" s="914"/>
      <c r="OMY28" s="911"/>
      <c r="OMZ28" s="911"/>
      <c r="ONA28" s="911"/>
      <c r="ONB28" s="915"/>
      <c r="ONC28" s="914"/>
      <c r="OND28" s="914"/>
      <c r="ONE28" s="914"/>
      <c r="ONF28" s="914"/>
      <c r="ONG28" s="914"/>
      <c r="ONH28" s="914"/>
      <c r="ONI28" s="914"/>
      <c r="ONJ28" s="911"/>
      <c r="ONK28" s="911"/>
      <c r="ONL28" s="911"/>
      <c r="ONM28" s="915"/>
      <c r="ONN28" s="914"/>
      <c r="ONO28" s="914"/>
      <c r="ONP28" s="914"/>
      <c r="ONQ28" s="914"/>
      <c r="ONR28" s="914"/>
      <c r="ONS28" s="914"/>
      <c r="ONT28" s="914"/>
      <c r="ONU28" s="911"/>
      <c r="ONV28" s="911"/>
      <c r="ONW28" s="911"/>
      <c r="ONX28" s="915"/>
      <c r="ONY28" s="914"/>
      <c r="ONZ28" s="914"/>
      <c r="OOA28" s="914"/>
      <c r="OOB28" s="914"/>
      <c r="OOC28" s="914"/>
      <c r="OOD28" s="914"/>
      <c r="OOE28" s="914"/>
      <c r="OOF28" s="911"/>
      <c r="OOG28" s="911"/>
      <c r="OOH28" s="911"/>
      <c r="OOI28" s="915"/>
      <c r="OOJ28" s="914"/>
      <c r="OOK28" s="914"/>
      <c r="OOL28" s="914"/>
      <c r="OOM28" s="914"/>
      <c r="OON28" s="914"/>
      <c r="OOO28" s="914"/>
      <c r="OOP28" s="914"/>
      <c r="OOQ28" s="911"/>
      <c r="OOR28" s="911"/>
      <c r="OOS28" s="911"/>
      <c r="OOT28" s="915"/>
      <c r="OOU28" s="914"/>
      <c r="OOV28" s="914"/>
      <c r="OOW28" s="914"/>
      <c r="OOX28" s="914"/>
      <c r="OOY28" s="914"/>
      <c r="OOZ28" s="914"/>
      <c r="OPA28" s="914"/>
      <c r="OPB28" s="911"/>
      <c r="OPC28" s="911"/>
      <c r="OPD28" s="911"/>
      <c r="OPE28" s="915"/>
      <c r="OPF28" s="914"/>
      <c r="OPG28" s="914"/>
      <c r="OPH28" s="914"/>
      <c r="OPI28" s="914"/>
      <c r="OPJ28" s="914"/>
      <c r="OPK28" s="914"/>
      <c r="OPL28" s="914"/>
      <c r="OPM28" s="911"/>
      <c r="OPN28" s="911"/>
      <c r="OPO28" s="911"/>
      <c r="OPP28" s="915"/>
      <c r="OPQ28" s="914"/>
      <c r="OPR28" s="914"/>
      <c r="OPS28" s="914"/>
      <c r="OPT28" s="914"/>
      <c r="OPU28" s="914"/>
      <c r="OPV28" s="914"/>
      <c r="OPW28" s="914"/>
      <c r="OPX28" s="911"/>
      <c r="OPY28" s="911"/>
      <c r="OPZ28" s="911"/>
      <c r="OQA28" s="915"/>
      <c r="OQB28" s="914"/>
      <c r="OQC28" s="914"/>
      <c r="OQD28" s="914"/>
      <c r="OQE28" s="914"/>
      <c r="OQF28" s="914"/>
      <c r="OQG28" s="914"/>
      <c r="OQH28" s="914"/>
      <c r="OQI28" s="911"/>
      <c r="OQJ28" s="911"/>
      <c r="OQK28" s="911"/>
      <c r="OQL28" s="915"/>
      <c r="OQM28" s="914"/>
      <c r="OQN28" s="914"/>
      <c r="OQO28" s="914"/>
      <c r="OQP28" s="914"/>
      <c r="OQQ28" s="914"/>
      <c r="OQR28" s="914"/>
      <c r="OQS28" s="914"/>
      <c r="OQT28" s="911"/>
      <c r="OQU28" s="911"/>
      <c r="OQV28" s="911"/>
      <c r="OQW28" s="915"/>
      <c r="OQX28" s="914"/>
      <c r="OQY28" s="914"/>
      <c r="OQZ28" s="914"/>
      <c r="ORA28" s="914"/>
      <c r="ORB28" s="914"/>
      <c r="ORC28" s="914"/>
      <c r="ORD28" s="914"/>
      <c r="ORE28" s="911"/>
      <c r="ORF28" s="911"/>
      <c r="ORG28" s="911"/>
      <c r="ORH28" s="915"/>
      <c r="ORI28" s="914"/>
      <c r="ORJ28" s="914"/>
      <c r="ORK28" s="914"/>
      <c r="ORL28" s="914"/>
      <c r="ORM28" s="914"/>
      <c r="ORN28" s="914"/>
      <c r="ORO28" s="914"/>
      <c r="ORP28" s="911"/>
      <c r="ORQ28" s="911"/>
      <c r="ORR28" s="911"/>
      <c r="ORS28" s="915"/>
      <c r="ORT28" s="914"/>
      <c r="ORU28" s="914"/>
      <c r="ORV28" s="914"/>
      <c r="ORW28" s="914"/>
      <c r="ORX28" s="914"/>
      <c r="ORY28" s="914"/>
      <c r="ORZ28" s="914"/>
      <c r="OSA28" s="911"/>
      <c r="OSB28" s="911"/>
      <c r="OSC28" s="911"/>
      <c r="OSD28" s="915"/>
      <c r="OSE28" s="914"/>
      <c r="OSF28" s="914"/>
      <c r="OSG28" s="914"/>
      <c r="OSH28" s="914"/>
      <c r="OSI28" s="914"/>
      <c r="OSJ28" s="914"/>
      <c r="OSK28" s="914"/>
      <c r="OSL28" s="911"/>
      <c r="OSM28" s="911"/>
      <c r="OSN28" s="911"/>
      <c r="OSO28" s="915"/>
      <c r="OSP28" s="914"/>
      <c r="OSQ28" s="914"/>
      <c r="OSR28" s="914"/>
      <c r="OSS28" s="914"/>
      <c r="OST28" s="914"/>
      <c r="OSU28" s="914"/>
      <c r="OSV28" s="914"/>
      <c r="OSW28" s="911"/>
      <c r="OSX28" s="911"/>
      <c r="OSY28" s="911"/>
      <c r="OSZ28" s="915"/>
      <c r="OTA28" s="914"/>
      <c r="OTB28" s="914"/>
      <c r="OTC28" s="914"/>
      <c r="OTD28" s="914"/>
      <c r="OTE28" s="914"/>
      <c r="OTF28" s="914"/>
      <c r="OTG28" s="914"/>
      <c r="OTH28" s="911"/>
      <c r="OTI28" s="911"/>
      <c r="OTJ28" s="911"/>
      <c r="OTK28" s="915"/>
      <c r="OTL28" s="914"/>
      <c r="OTM28" s="914"/>
      <c r="OTN28" s="914"/>
      <c r="OTO28" s="914"/>
      <c r="OTP28" s="914"/>
      <c r="OTQ28" s="914"/>
      <c r="OTR28" s="914"/>
      <c r="OTS28" s="911"/>
      <c r="OTT28" s="911"/>
      <c r="OTU28" s="911"/>
      <c r="OTV28" s="915"/>
      <c r="OTW28" s="914"/>
      <c r="OTX28" s="914"/>
      <c r="OTY28" s="914"/>
      <c r="OTZ28" s="914"/>
      <c r="OUA28" s="914"/>
      <c r="OUB28" s="914"/>
      <c r="OUC28" s="914"/>
      <c r="OUD28" s="911"/>
      <c r="OUE28" s="911"/>
      <c r="OUF28" s="911"/>
      <c r="OUG28" s="915"/>
      <c r="OUH28" s="914"/>
      <c r="OUI28" s="914"/>
      <c r="OUJ28" s="914"/>
      <c r="OUK28" s="914"/>
      <c r="OUL28" s="914"/>
      <c r="OUM28" s="914"/>
      <c r="OUN28" s="914"/>
      <c r="OUO28" s="911"/>
      <c r="OUP28" s="911"/>
      <c r="OUQ28" s="911"/>
      <c r="OUR28" s="915"/>
      <c r="OUS28" s="914"/>
      <c r="OUT28" s="914"/>
      <c r="OUU28" s="914"/>
      <c r="OUV28" s="914"/>
      <c r="OUW28" s="914"/>
      <c r="OUX28" s="914"/>
      <c r="OUY28" s="914"/>
      <c r="OUZ28" s="911"/>
      <c r="OVA28" s="911"/>
      <c r="OVB28" s="911"/>
      <c r="OVC28" s="915"/>
      <c r="OVD28" s="914"/>
      <c r="OVE28" s="914"/>
      <c r="OVF28" s="914"/>
      <c r="OVG28" s="914"/>
      <c r="OVH28" s="914"/>
      <c r="OVI28" s="914"/>
      <c r="OVJ28" s="914"/>
      <c r="OVK28" s="911"/>
      <c r="OVL28" s="911"/>
      <c r="OVM28" s="911"/>
      <c r="OVN28" s="915"/>
      <c r="OVO28" s="914"/>
      <c r="OVP28" s="914"/>
      <c r="OVQ28" s="914"/>
      <c r="OVR28" s="914"/>
      <c r="OVS28" s="914"/>
      <c r="OVT28" s="914"/>
      <c r="OVU28" s="914"/>
      <c r="OVV28" s="911"/>
      <c r="OVW28" s="911"/>
      <c r="OVX28" s="911"/>
      <c r="OVY28" s="915"/>
      <c r="OVZ28" s="914"/>
      <c r="OWA28" s="914"/>
      <c r="OWB28" s="914"/>
      <c r="OWC28" s="914"/>
      <c r="OWD28" s="914"/>
      <c r="OWE28" s="914"/>
      <c r="OWF28" s="914"/>
      <c r="OWG28" s="911"/>
      <c r="OWH28" s="911"/>
      <c r="OWI28" s="911"/>
      <c r="OWJ28" s="915"/>
      <c r="OWK28" s="914"/>
      <c r="OWL28" s="914"/>
      <c r="OWM28" s="914"/>
      <c r="OWN28" s="914"/>
      <c r="OWO28" s="914"/>
      <c r="OWP28" s="914"/>
      <c r="OWQ28" s="914"/>
      <c r="OWR28" s="911"/>
      <c r="OWS28" s="911"/>
      <c r="OWT28" s="911"/>
      <c r="OWU28" s="915"/>
      <c r="OWV28" s="914"/>
      <c r="OWW28" s="914"/>
      <c r="OWX28" s="914"/>
      <c r="OWY28" s="914"/>
      <c r="OWZ28" s="914"/>
      <c r="OXA28" s="914"/>
      <c r="OXB28" s="914"/>
      <c r="OXC28" s="911"/>
      <c r="OXD28" s="911"/>
      <c r="OXE28" s="911"/>
      <c r="OXF28" s="915"/>
      <c r="OXG28" s="914"/>
      <c r="OXH28" s="914"/>
      <c r="OXI28" s="914"/>
      <c r="OXJ28" s="914"/>
      <c r="OXK28" s="914"/>
      <c r="OXL28" s="914"/>
      <c r="OXM28" s="914"/>
      <c r="OXN28" s="911"/>
      <c r="OXO28" s="911"/>
      <c r="OXP28" s="911"/>
      <c r="OXQ28" s="915"/>
      <c r="OXR28" s="914"/>
      <c r="OXS28" s="914"/>
      <c r="OXT28" s="914"/>
      <c r="OXU28" s="914"/>
      <c r="OXV28" s="914"/>
      <c r="OXW28" s="914"/>
      <c r="OXX28" s="914"/>
      <c r="OXY28" s="911"/>
      <c r="OXZ28" s="911"/>
      <c r="OYA28" s="911"/>
      <c r="OYB28" s="915"/>
      <c r="OYC28" s="914"/>
      <c r="OYD28" s="914"/>
      <c r="OYE28" s="914"/>
      <c r="OYF28" s="914"/>
      <c r="OYG28" s="914"/>
      <c r="OYH28" s="914"/>
      <c r="OYI28" s="914"/>
      <c r="OYJ28" s="911"/>
      <c r="OYK28" s="911"/>
      <c r="OYL28" s="911"/>
      <c r="OYM28" s="915"/>
      <c r="OYN28" s="914"/>
      <c r="OYO28" s="914"/>
      <c r="OYP28" s="914"/>
      <c r="OYQ28" s="914"/>
      <c r="OYR28" s="914"/>
      <c r="OYS28" s="914"/>
      <c r="OYT28" s="914"/>
      <c r="OYU28" s="911"/>
      <c r="OYV28" s="911"/>
      <c r="OYW28" s="911"/>
      <c r="OYX28" s="915"/>
      <c r="OYY28" s="914"/>
      <c r="OYZ28" s="914"/>
      <c r="OZA28" s="914"/>
      <c r="OZB28" s="914"/>
      <c r="OZC28" s="914"/>
      <c r="OZD28" s="914"/>
      <c r="OZE28" s="914"/>
      <c r="OZF28" s="911"/>
      <c r="OZG28" s="911"/>
      <c r="OZH28" s="911"/>
      <c r="OZI28" s="915"/>
      <c r="OZJ28" s="914"/>
      <c r="OZK28" s="914"/>
      <c r="OZL28" s="914"/>
      <c r="OZM28" s="914"/>
      <c r="OZN28" s="914"/>
      <c r="OZO28" s="914"/>
      <c r="OZP28" s="914"/>
      <c r="OZQ28" s="911"/>
      <c r="OZR28" s="911"/>
      <c r="OZS28" s="911"/>
      <c r="OZT28" s="915"/>
      <c r="OZU28" s="914"/>
      <c r="OZV28" s="914"/>
      <c r="OZW28" s="914"/>
      <c r="OZX28" s="914"/>
      <c r="OZY28" s="914"/>
      <c r="OZZ28" s="914"/>
      <c r="PAA28" s="914"/>
      <c r="PAB28" s="911"/>
      <c r="PAC28" s="911"/>
      <c r="PAD28" s="911"/>
      <c r="PAE28" s="915"/>
      <c r="PAF28" s="914"/>
      <c r="PAG28" s="914"/>
      <c r="PAH28" s="914"/>
      <c r="PAI28" s="914"/>
      <c r="PAJ28" s="914"/>
      <c r="PAK28" s="914"/>
      <c r="PAL28" s="914"/>
      <c r="PAM28" s="911"/>
      <c r="PAN28" s="911"/>
      <c r="PAO28" s="911"/>
      <c r="PAP28" s="915"/>
      <c r="PAQ28" s="914"/>
      <c r="PAR28" s="914"/>
      <c r="PAS28" s="914"/>
      <c r="PAT28" s="914"/>
      <c r="PAU28" s="914"/>
      <c r="PAV28" s="914"/>
      <c r="PAW28" s="914"/>
      <c r="PAX28" s="911"/>
      <c r="PAY28" s="911"/>
      <c r="PAZ28" s="911"/>
      <c r="PBA28" s="915"/>
      <c r="PBB28" s="914"/>
      <c r="PBC28" s="914"/>
      <c r="PBD28" s="914"/>
      <c r="PBE28" s="914"/>
      <c r="PBF28" s="914"/>
      <c r="PBG28" s="914"/>
      <c r="PBH28" s="914"/>
      <c r="PBI28" s="911"/>
      <c r="PBJ28" s="911"/>
      <c r="PBK28" s="911"/>
      <c r="PBL28" s="915"/>
      <c r="PBM28" s="914"/>
      <c r="PBN28" s="914"/>
      <c r="PBO28" s="914"/>
      <c r="PBP28" s="914"/>
      <c r="PBQ28" s="914"/>
      <c r="PBR28" s="914"/>
      <c r="PBS28" s="914"/>
      <c r="PBT28" s="911"/>
      <c r="PBU28" s="911"/>
      <c r="PBV28" s="911"/>
      <c r="PBW28" s="915"/>
      <c r="PBX28" s="914"/>
      <c r="PBY28" s="914"/>
      <c r="PBZ28" s="914"/>
      <c r="PCA28" s="914"/>
      <c r="PCB28" s="914"/>
      <c r="PCC28" s="914"/>
      <c r="PCD28" s="914"/>
      <c r="PCE28" s="911"/>
      <c r="PCF28" s="911"/>
      <c r="PCG28" s="911"/>
      <c r="PCH28" s="915"/>
      <c r="PCI28" s="914"/>
      <c r="PCJ28" s="914"/>
      <c r="PCK28" s="914"/>
      <c r="PCL28" s="914"/>
      <c r="PCM28" s="914"/>
      <c r="PCN28" s="914"/>
      <c r="PCO28" s="914"/>
      <c r="PCP28" s="911"/>
      <c r="PCQ28" s="911"/>
      <c r="PCR28" s="911"/>
      <c r="PCS28" s="915"/>
      <c r="PCT28" s="914"/>
      <c r="PCU28" s="914"/>
      <c r="PCV28" s="914"/>
      <c r="PCW28" s="914"/>
      <c r="PCX28" s="914"/>
      <c r="PCY28" s="914"/>
      <c r="PCZ28" s="914"/>
      <c r="PDA28" s="911"/>
      <c r="PDB28" s="911"/>
      <c r="PDC28" s="911"/>
      <c r="PDD28" s="915"/>
      <c r="PDE28" s="914"/>
      <c r="PDF28" s="914"/>
      <c r="PDG28" s="914"/>
      <c r="PDH28" s="914"/>
      <c r="PDI28" s="914"/>
      <c r="PDJ28" s="914"/>
      <c r="PDK28" s="914"/>
      <c r="PDL28" s="911"/>
      <c r="PDM28" s="911"/>
      <c r="PDN28" s="911"/>
      <c r="PDO28" s="915"/>
      <c r="PDP28" s="914"/>
      <c r="PDQ28" s="914"/>
      <c r="PDR28" s="914"/>
      <c r="PDS28" s="914"/>
      <c r="PDT28" s="914"/>
      <c r="PDU28" s="914"/>
      <c r="PDV28" s="914"/>
      <c r="PDW28" s="911"/>
      <c r="PDX28" s="911"/>
      <c r="PDY28" s="911"/>
      <c r="PDZ28" s="915"/>
      <c r="PEA28" s="914"/>
      <c r="PEB28" s="914"/>
      <c r="PEC28" s="914"/>
      <c r="PED28" s="914"/>
      <c r="PEE28" s="914"/>
      <c r="PEF28" s="914"/>
      <c r="PEG28" s="914"/>
      <c r="PEH28" s="911"/>
      <c r="PEI28" s="911"/>
      <c r="PEJ28" s="911"/>
      <c r="PEK28" s="915"/>
      <c r="PEL28" s="914"/>
      <c r="PEM28" s="914"/>
      <c r="PEN28" s="914"/>
      <c r="PEO28" s="914"/>
      <c r="PEP28" s="914"/>
      <c r="PEQ28" s="914"/>
      <c r="PER28" s="914"/>
      <c r="PES28" s="911"/>
      <c r="PET28" s="911"/>
      <c r="PEU28" s="911"/>
      <c r="PEV28" s="915"/>
      <c r="PEW28" s="914"/>
      <c r="PEX28" s="914"/>
      <c r="PEY28" s="914"/>
      <c r="PEZ28" s="914"/>
      <c r="PFA28" s="914"/>
      <c r="PFB28" s="914"/>
      <c r="PFC28" s="914"/>
      <c r="PFD28" s="911"/>
      <c r="PFE28" s="911"/>
      <c r="PFF28" s="911"/>
      <c r="PFG28" s="915"/>
      <c r="PFH28" s="914"/>
      <c r="PFI28" s="914"/>
      <c r="PFJ28" s="914"/>
      <c r="PFK28" s="914"/>
      <c r="PFL28" s="914"/>
      <c r="PFM28" s="914"/>
      <c r="PFN28" s="914"/>
      <c r="PFO28" s="911"/>
      <c r="PFP28" s="911"/>
      <c r="PFQ28" s="911"/>
      <c r="PFR28" s="915"/>
      <c r="PFS28" s="914"/>
      <c r="PFT28" s="914"/>
      <c r="PFU28" s="914"/>
      <c r="PFV28" s="914"/>
      <c r="PFW28" s="914"/>
      <c r="PFX28" s="914"/>
      <c r="PFY28" s="914"/>
      <c r="PFZ28" s="911"/>
      <c r="PGA28" s="911"/>
      <c r="PGB28" s="911"/>
      <c r="PGC28" s="915"/>
      <c r="PGD28" s="914"/>
      <c r="PGE28" s="914"/>
      <c r="PGF28" s="914"/>
      <c r="PGG28" s="914"/>
      <c r="PGH28" s="914"/>
      <c r="PGI28" s="914"/>
      <c r="PGJ28" s="914"/>
      <c r="PGK28" s="911"/>
      <c r="PGL28" s="911"/>
      <c r="PGM28" s="911"/>
      <c r="PGN28" s="915"/>
      <c r="PGO28" s="914"/>
      <c r="PGP28" s="914"/>
      <c r="PGQ28" s="914"/>
      <c r="PGR28" s="914"/>
      <c r="PGS28" s="914"/>
      <c r="PGT28" s="914"/>
      <c r="PGU28" s="914"/>
      <c r="PGV28" s="911"/>
      <c r="PGW28" s="911"/>
      <c r="PGX28" s="911"/>
      <c r="PGY28" s="915"/>
      <c r="PGZ28" s="914"/>
      <c r="PHA28" s="914"/>
      <c r="PHB28" s="914"/>
      <c r="PHC28" s="914"/>
      <c r="PHD28" s="914"/>
      <c r="PHE28" s="914"/>
      <c r="PHF28" s="914"/>
      <c r="PHG28" s="911"/>
      <c r="PHH28" s="911"/>
      <c r="PHI28" s="911"/>
      <c r="PHJ28" s="915"/>
      <c r="PHK28" s="914"/>
      <c r="PHL28" s="914"/>
      <c r="PHM28" s="914"/>
      <c r="PHN28" s="914"/>
      <c r="PHO28" s="914"/>
      <c r="PHP28" s="914"/>
      <c r="PHQ28" s="914"/>
      <c r="PHR28" s="911"/>
      <c r="PHS28" s="911"/>
      <c r="PHT28" s="911"/>
      <c r="PHU28" s="915"/>
      <c r="PHV28" s="914"/>
      <c r="PHW28" s="914"/>
      <c r="PHX28" s="914"/>
      <c r="PHY28" s="914"/>
      <c r="PHZ28" s="914"/>
      <c r="PIA28" s="914"/>
      <c r="PIB28" s="914"/>
      <c r="PIC28" s="911"/>
      <c r="PID28" s="911"/>
      <c r="PIE28" s="911"/>
      <c r="PIF28" s="915"/>
      <c r="PIG28" s="914"/>
      <c r="PIH28" s="914"/>
      <c r="PII28" s="914"/>
      <c r="PIJ28" s="914"/>
      <c r="PIK28" s="914"/>
      <c r="PIL28" s="914"/>
      <c r="PIM28" s="914"/>
      <c r="PIN28" s="911"/>
      <c r="PIO28" s="911"/>
      <c r="PIP28" s="911"/>
      <c r="PIQ28" s="915"/>
      <c r="PIR28" s="914"/>
      <c r="PIS28" s="914"/>
      <c r="PIT28" s="914"/>
      <c r="PIU28" s="914"/>
      <c r="PIV28" s="914"/>
      <c r="PIW28" s="914"/>
      <c r="PIX28" s="914"/>
      <c r="PIY28" s="911"/>
      <c r="PIZ28" s="911"/>
      <c r="PJA28" s="911"/>
      <c r="PJB28" s="915"/>
      <c r="PJC28" s="914"/>
      <c r="PJD28" s="914"/>
      <c r="PJE28" s="914"/>
      <c r="PJF28" s="914"/>
      <c r="PJG28" s="914"/>
      <c r="PJH28" s="914"/>
      <c r="PJI28" s="914"/>
      <c r="PJJ28" s="911"/>
      <c r="PJK28" s="911"/>
      <c r="PJL28" s="911"/>
      <c r="PJM28" s="915"/>
      <c r="PJN28" s="914"/>
      <c r="PJO28" s="914"/>
      <c r="PJP28" s="914"/>
      <c r="PJQ28" s="914"/>
      <c r="PJR28" s="914"/>
      <c r="PJS28" s="914"/>
      <c r="PJT28" s="914"/>
      <c r="PJU28" s="911"/>
      <c r="PJV28" s="911"/>
      <c r="PJW28" s="911"/>
      <c r="PJX28" s="915"/>
      <c r="PJY28" s="914"/>
      <c r="PJZ28" s="914"/>
      <c r="PKA28" s="914"/>
      <c r="PKB28" s="914"/>
      <c r="PKC28" s="914"/>
      <c r="PKD28" s="914"/>
      <c r="PKE28" s="914"/>
      <c r="PKF28" s="911"/>
      <c r="PKG28" s="911"/>
      <c r="PKH28" s="911"/>
      <c r="PKI28" s="915"/>
      <c r="PKJ28" s="914"/>
      <c r="PKK28" s="914"/>
      <c r="PKL28" s="914"/>
      <c r="PKM28" s="914"/>
      <c r="PKN28" s="914"/>
      <c r="PKO28" s="914"/>
      <c r="PKP28" s="914"/>
      <c r="PKQ28" s="911"/>
      <c r="PKR28" s="911"/>
      <c r="PKS28" s="911"/>
      <c r="PKT28" s="915"/>
      <c r="PKU28" s="914"/>
      <c r="PKV28" s="914"/>
      <c r="PKW28" s="914"/>
      <c r="PKX28" s="914"/>
      <c r="PKY28" s="914"/>
      <c r="PKZ28" s="914"/>
      <c r="PLA28" s="914"/>
      <c r="PLB28" s="911"/>
      <c r="PLC28" s="911"/>
      <c r="PLD28" s="911"/>
      <c r="PLE28" s="915"/>
      <c r="PLF28" s="914"/>
      <c r="PLG28" s="914"/>
      <c r="PLH28" s="914"/>
      <c r="PLI28" s="914"/>
      <c r="PLJ28" s="914"/>
      <c r="PLK28" s="914"/>
      <c r="PLL28" s="914"/>
      <c r="PLM28" s="911"/>
      <c r="PLN28" s="911"/>
      <c r="PLO28" s="911"/>
      <c r="PLP28" s="915"/>
      <c r="PLQ28" s="914"/>
      <c r="PLR28" s="914"/>
      <c r="PLS28" s="914"/>
      <c r="PLT28" s="914"/>
      <c r="PLU28" s="914"/>
      <c r="PLV28" s="914"/>
      <c r="PLW28" s="914"/>
      <c r="PLX28" s="911"/>
      <c r="PLY28" s="911"/>
      <c r="PLZ28" s="911"/>
      <c r="PMA28" s="915"/>
      <c r="PMB28" s="914"/>
      <c r="PMC28" s="914"/>
      <c r="PMD28" s="914"/>
      <c r="PME28" s="914"/>
      <c r="PMF28" s="914"/>
      <c r="PMG28" s="914"/>
      <c r="PMH28" s="914"/>
      <c r="PMI28" s="911"/>
      <c r="PMJ28" s="911"/>
      <c r="PMK28" s="911"/>
      <c r="PML28" s="915"/>
      <c r="PMM28" s="914"/>
      <c r="PMN28" s="914"/>
      <c r="PMO28" s="914"/>
      <c r="PMP28" s="914"/>
      <c r="PMQ28" s="914"/>
      <c r="PMR28" s="914"/>
      <c r="PMS28" s="914"/>
      <c r="PMT28" s="911"/>
      <c r="PMU28" s="911"/>
      <c r="PMV28" s="911"/>
      <c r="PMW28" s="915"/>
      <c r="PMX28" s="914"/>
      <c r="PMY28" s="914"/>
      <c r="PMZ28" s="914"/>
      <c r="PNA28" s="914"/>
      <c r="PNB28" s="914"/>
      <c r="PNC28" s="914"/>
      <c r="PND28" s="914"/>
      <c r="PNE28" s="911"/>
      <c r="PNF28" s="911"/>
      <c r="PNG28" s="911"/>
      <c r="PNH28" s="915"/>
      <c r="PNI28" s="914"/>
      <c r="PNJ28" s="914"/>
      <c r="PNK28" s="914"/>
      <c r="PNL28" s="914"/>
      <c r="PNM28" s="914"/>
      <c r="PNN28" s="914"/>
      <c r="PNO28" s="914"/>
      <c r="PNP28" s="911"/>
      <c r="PNQ28" s="911"/>
      <c r="PNR28" s="911"/>
      <c r="PNS28" s="915"/>
      <c r="PNT28" s="914"/>
      <c r="PNU28" s="914"/>
      <c r="PNV28" s="914"/>
      <c r="PNW28" s="914"/>
      <c r="PNX28" s="914"/>
      <c r="PNY28" s="914"/>
      <c r="PNZ28" s="914"/>
      <c r="POA28" s="911"/>
      <c r="POB28" s="911"/>
      <c r="POC28" s="911"/>
      <c r="POD28" s="915"/>
      <c r="POE28" s="914"/>
      <c r="POF28" s="914"/>
      <c r="POG28" s="914"/>
      <c r="POH28" s="914"/>
      <c r="POI28" s="914"/>
      <c r="POJ28" s="914"/>
      <c r="POK28" s="914"/>
      <c r="POL28" s="911"/>
      <c r="POM28" s="911"/>
      <c r="PON28" s="911"/>
      <c r="POO28" s="915"/>
      <c r="POP28" s="914"/>
      <c r="POQ28" s="914"/>
      <c r="POR28" s="914"/>
      <c r="POS28" s="914"/>
      <c r="POT28" s="914"/>
      <c r="POU28" s="914"/>
      <c r="POV28" s="914"/>
      <c r="POW28" s="911"/>
      <c r="POX28" s="911"/>
      <c r="POY28" s="911"/>
      <c r="POZ28" s="915"/>
      <c r="PPA28" s="914"/>
      <c r="PPB28" s="914"/>
      <c r="PPC28" s="914"/>
      <c r="PPD28" s="914"/>
      <c r="PPE28" s="914"/>
      <c r="PPF28" s="914"/>
      <c r="PPG28" s="914"/>
      <c r="PPH28" s="911"/>
      <c r="PPI28" s="911"/>
      <c r="PPJ28" s="911"/>
      <c r="PPK28" s="915"/>
      <c r="PPL28" s="914"/>
      <c r="PPM28" s="914"/>
      <c r="PPN28" s="914"/>
      <c r="PPO28" s="914"/>
      <c r="PPP28" s="914"/>
      <c r="PPQ28" s="914"/>
      <c r="PPR28" s="914"/>
      <c r="PPS28" s="911"/>
      <c r="PPT28" s="911"/>
      <c r="PPU28" s="911"/>
      <c r="PPV28" s="915"/>
      <c r="PPW28" s="914"/>
      <c r="PPX28" s="914"/>
      <c r="PPY28" s="914"/>
      <c r="PPZ28" s="914"/>
      <c r="PQA28" s="914"/>
      <c r="PQB28" s="914"/>
      <c r="PQC28" s="914"/>
      <c r="PQD28" s="911"/>
      <c r="PQE28" s="911"/>
      <c r="PQF28" s="911"/>
      <c r="PQG28" s="915"/>
      <c r="PQH28" s="914"/>
      <c r="PQI28" s="914"/>
      <c r="PQJ28" s="914"/>
      <c r="PQK28" s="914"/>
      <c r="PQL28" s="914"/>
      <c r="PQM28" s="914"/>
      <c r="PQN28" s="914"/>
      <c r="PQO28" s="911"/>
      <c r="PQP28" s="911"/>
      <c r="PQQ28" s="911"/>
      <c r="PQR28" s="915"/>
      <c r="PQS28" s="914"/>
      <c r="PQT28" s="914"/>
      <c r="PQU28" s="914"/>
      <c r="PQV28" s="914"/>
      <c r="PQW28" s="914"/>
      <c r="PQX28" s="914"/>
      <c r="PQY28" s="914"/>
      <c r="PQZ28" s="911"/>
      <c r="PRA28" s="911"/>
      <c r="PRB28" s="911"/>
      <c r="PRC28" s="915"/>
      <c r="PRD28" s="914"/>
      <c r="PRE28" s="914"/>
      <c r="PRF28" s="914"/>
      <c r="PRG28" s="914"/>
      <c r="PRH28" s="914"/>
      <c r="PRI28" s="914"/>
      <c r="PRJ28" s="914"/>
      <c r="PRK28" s="911"/>
      <c r="PRL28" s="911"/>
      <c r="PRM28" s="911"/>
      <c r="PRN28" s="915"/>
      <c r="PRO28" s="914"/>
      <c r="PRP28" s="914"/>
      <c r="PRQ28" s="914"/>
      <c r="PRR28" s="914"/>
      <c r="PRS28" s="914"/>
      <c r="PRT28" s="914"/>
      <c r="PRU28" s="914"/>
      <c r="PRV28" s="911"/>
      <c r="PRW28" s="911"/>
      <c r="PRX28" s="911"/>
      <c r="PRY28" s="915"/>
      <c r="PRZ28" s="914"/>
      <c r="PSA28" s="914"/>
      <c r="PSB28" s="914"/>
      <c r="PSC28" s="914"/>
      <c r="PSD28" s="914"/>
      <c r="PSE28" s="914"/>
      <c r="PSF28" s="914"/>
      <c r="PSG28" s="911"/>
      <c r="PSH28" s="911"/>
      <c r="PSI28" s="911"/>
      <c r="PSJ28" s="915"/>
      <c r="PSK28" s="914"/>
      <c r="PSL28" s="914"/>
      <c r="PSM28" s="914"/>
      <c r="PSN28" s="914"/>
      <c r="PSO28" s="914"/>
      <c r="PSP28" s="914"/>
      <c r="PSQ28" s="914"/>
      <c r="PSR28" s="911"/>
      <c r="PSS28" s="911"/>
      <c r="PST28" s="911"/>
      <c r="PSU28" s="915"/>
      <c r="PSV28" s="914"/>
      <c r="PSW28" s="914"/>
      <c r="PSX28" s="914"/>
      <c r="PSY28" s="914"/>
      <c r="PSZ28" s="914"/>
      <c r="PTA28" s="914"/>
      <c r="PTB28" s="914"/>
      <c r="PTC28" s="911"/>
      <c r="PTD28" s="911"/>
      <c r="PTE28" s="911"/>
      <c r="PTF28" s="915"/>
      <c r="PTG28" s="914"/>
      <c r="PTH28" s="914"/>
      <c r="PTI28" s="914"/>
      <c r="PTJ28" s="914"/>
      <c r="PTK28" s="914"/>
      <c r="PTL28" s="914"/>
      <c r="PTM28" s="914"/>
      <c r="PTN28" s="911"/>
      <c r="PTO28" s="911"/>
      <c r="PTP28" s="911"/>
      <c r="PTQ28" s="915"/>
      <c r="PTR28" s="914"/>
      <c r="PTS28" s="914"/>
      <c r="PTT28" s="914"/>
      <c r="PTU28" s="914"/>
      <c r="PTV28" s="914"/>
      <c r="PTW28" s="914"/>
      <c r="PTX28" s="914"/>
      <c r="PTY28" s="911"/>
      <c r="PTZ28" s="911"/>
      <c r="PUA28" s="911"/>
      <c r="PUB28" s="915"/>
      <c r="PUC28" s="914"/>
      <c r="PUD28" s="914"/>
      <c r="PUE28" s="914"/>
      <c r="PUF28" s="914"/>
      <c r="PUG28" s="914"/>
      <c r="PUH28" s="914"/>
      <c r="PUI28" s="914"/>
      <c r="PUJ28" s="911"/>
      <c r="PUK28" s="911"/>
      <c r="PUL28" s="911"/>
      <c r="PUM28" s="915"/>
      <c r="PUN28" s="914"/>
      <c r="PUO28" s="914"/>
      <c r="PUP28" s="914"/>
      <c r="PUQ28" s="914"/>
      <c r="PUR28" s="914"/>
      <c r="PUS28" s="914"/>
      <c r="PUT28" s="914"/>
      <c r="PUU28" s="911"/>
      <c r="PUV28" s="911"/>
      <c r="PUW28" s="911"/>
      <c r="PUX28" s="915"/>
      <c r="PUY28" s="914"/>
      <c r="PUZ28" s="914"/>
      <c r="PVA28" s="914"/>
      <c r="PVB28" s="914"/>
      <c r="PVC28" s="914"/>
      <c r="PVD28" s="914"/>
      <c r="PVE28" s="914"/>
      <c r="PVF28" s="911"/>
      <c r="PVG28" s="911"/>
      <c r="PVH28" s="911"/>
      <c r="PVI28" s="915"/>
      <c r="PVJ28" s="914"/>
      <c r="PVK28" s="914"/>
      <c r="PVL28" s="914"/>
      <c r="PVM28" s="914"/>
      <c r="PVN28" s="914"/>
      <c r="PVO28" s="914"/>
      <c r="PVP28" s="914"/>
      <c r="PVQ28" s="911"/>
      <c r="PVR28" s="911"/>
      <c r="PVS28" s="911"/>
      <c r="PVT28" s="915"/>
      <c r="PVU28" s="914"/>
      <c r="PVV28" s="914"/>
      <c r="PVW28" s="914"/>
      <c r="PVX28" s="914"/>
      <c r="PVY28" s="914"/>
      <c r="PVZ28" s="914"/>
      <c r="PWA28" s="914"/>
      <c r="PWB28" s="911"/>
      <c r="PWC28" s="911"/>
      <c r="PWD28" s="911"/>
      <c r="PWE28" s="915"/>
      <c r="PWF28" s="914"/>
      <c r="PWG28" s="914"/>
      <c r="PWH28" s="914"/>
      <c r="PWI28" s="914"/>
      <c r="PWJ28" s="914"/>
      <c r="PWK28" s="914"/>
      <c r="PWL28" s="914"/>
      <c r="PWM28" s="911"/>
      <c r="PWN28" s="911"/>
      <c r="PWO28" s="911"/>
      <c r="PWP28" s="915"/>
      <c r="PWQ28" s="914"/>
      <c r="PWR28" s="914"/>
      <c r="PWS28" s="914"/>
      <c r="PWT28" s="914"/>
      <c r="PWU28" s="914"/>
      <c r="PWV28" s="914"/>
      <c r="PWW28" s="914"/>
      <c r="PWX28" s="911"/>
      <c r="PWY28" s="911"/>
      <c r="PWZ28" s="911"/>
      <c r="PXA28" s="915"/>
      <c r="PXB28" s="914"/>
      <c r="PXC28" s="914"/>
      <c r="PXD28" s="914"/>
      <c r="PXE28" s="914"/>
      <c r="PXF28" s="914"/>
      <c r="PXG28" s="914"/>
      <c r="PXH28" s="914"/>
      <c r="PXI28" s="911"/>
      <c r="PXJ28" s="911"/>
      <c r="PXK28" s="911"/>
      <c r="PXL28" s="915"/>
      <c r="PXM28" s="914"/>
      <c r="PXN28" s="914"/>
      <c r="PXO28" s="914"/>
      <c r="PXP28" s="914"/>
      <c r="PXQ28" s="914"/>
      <c r="PXR28" s="914"/>
      <c r="PXS28" s="914"/>
      <c r="PXT28" s="911"/>
      <c r="PXU28" s="911"/>
      <c r="PXV28" s="911"/>
      <c r="PXW28" s="915"/>
      <c r="PXX28" s="914"/>
      <c r="PXY28" s="914"/>
      <c r="PXZ28" s="914"/>
      <c r="PYA28" s="914"/>
      <c r="PYB28" s="914"/>
      <c r="PYC28" s="914"/>
      <c r="PYD28" s="914"/>
      <c r="PYE28" s="911"/>
      <c r="PYF28" s="911"/>
      <c r="PYG28" s="911"/>
      <c r="PYH28" s="915"/>
      <c r="PYI28" s="914"/>
      <c r="PYJ28" s="914"/>
      <c r="PYK28" s="914"/>
      <c r="PYL28" s="914"/>
      <c r="PYM28" s="914"/>
      <c r="PYN28" s="914"/>
      <c r="PYO28" s="914"/>
      <c r="PYP28" s="911"/>
      <c r="PYQ28" s="911"/>
      <c r="PYR28" s="911"/>
      <c r="PYS28" s="915"/>
      <c r="PYT28" s="914"/>
      <c r="PYU28" s="914"/>
      <c r="PYV28" s="914"/>
      <c r="PYW28" s="914"/>
      <c r="PYX28" s="914"/>
      <c r="PYY28" s="914"/>
      <c r="PYZ28" s="914"/>
      <c r="PZA28" s="911"/>
      <c r="PZB28" s="911"/>
      <c r="PZC28" s="911"/>
      <c r="PZD28" s="915"/>
      <c r="PZE28" s="914"/>
      <c r="PZF28" s="914"/>
      <c r="PZG28" s="914"/>
      <c r="PZH28" s="914"/>
      <c r="PZI28" s="914"/>
      <c r="PZJ28" s="914"/>
      <c r="PZK28" s="914"/>
      <c r="PZL28" s="911"/>
      <c r="PZM28" s="911"/>
      <c r="PZN28" s="911"/>
      <c r="PZO28" s="915"/>
      <c r="PZP28" s="914"/>
      <c r="PZQ28" s="914"/>
      <c r="PZR28" s="914"/>
      <c r="PZS28" s="914"/>
      <c r="PZT28" s="914"/>
      <c r="PZU28" s="914"/>
      <c r="PZV28" s="914"/>
      <c r="PZW28" s="911"/>
      <c r="PZX28" s="911"/>
      <c r="PZY28" s="911"/>
      <c r="PZZ28" s="915"/>
      <c r="QAA28" s="914"/>
      <c r="QAB28" s="914"/>
      <c r="QAC28" s="914"/>
      <c r="QAD28" s="914"/>
      <c r="QAE28" s="914"/>
      <c r="QAF28" s="914"/>
      <c r="QAG28" s="914"/>
      <c r="QAH28" s="911"/>
      <c r="QAI28" s="911"/>
      <c r="QAJ28" s="911"/>
      <c r="QAK28" s="915"/>
      <c r="QAL28" s="914"/>
      <c r="QAM28" s="914"/>
      <c r="QAN28" s="914"/>
      <c r="QAO28" s="914"/>
      <c r="QAP28" s="914"/>
      <c r="QAQ28" s="914"/>
      <c r="QAR28" s="914"/>
      <c r="QAS28" s="911"/>
      <c r="QAT28" s="911"/>
      <c r="QAU28" s="911"/>
      <c r="QAV28" s="915"/>
      <c r="QAW28" s="914"/>
      <c r="QAX28" s="914"/>
      <c r="QAY28" s="914"/>
      <c r="QAZ28" s="914"/>
      <c r="QBA28" s="914"/>
      <c r="QBB28" s="914"/>
      <c r="QBC28" s="914"/>
      <c r="QBD28" s="911"/>
      <c r="QBE28" s="911"/>
      <c r="QBF28" s="911"/>
      <c r="QBG28" s="915"/>
      <c r="QBH28" s="914"/>
      <c r="QBI28" s="914"/>
      <c r="QBJ28" s="914"/>
      <c r="QBK28" s="914"/>
      <c r="QBL28" s="914"/>
      <c r="QBM28" s="914"/>
      <c r="QBN28" s="914"/>
      <c r="QBO28" s="911"/>
      <c r="QBP28" s="911"/>
      <c r="QBQ28" s="911"/>
      <c r="QBR28" s="915"/>
      <c r="QBS28" s="914"/>
      <c r="QBT28" s="914"/>
      <c r="QBU28" s="914"/>
      <c r="QBV28" s="914"/>
      <c r="QBW28" s="914"/>
      <c r="QBX28" s="914"/>
      <c r="QBY28" s="914"/>
      <c r="QBZ28" s="911"/>
      <c r="QCA28" s="911"/>
      <c r="QCB28" s="911"/>
      <c r="QCC28" s="915"/>
      <c r="QCD28" s="914"/>
      <c r="QCE28" s="914"/>
      <c r="QCF28" s="914"/>
      <c r="QCG28" s="914"/>
      <c r="QCH28" s="914"/>
      <c r="QCI28" s="914"/>
      <c r="QCJ28" s="914"/>
      <c r="QCK28" s="911"/>
      <c r="QCL28" s="911"/>
      <c r="QCM28" s="911"/>
      <c r="QCN28" s="915"/>
      <c r="QCO28" s="914"/>
      <c r="QCP28" s="914"/>
      <c r="QCQ28" s="914"/>
      <c r="QCR28" s="914"/>
      <c r="QCS28" s="914"/>
      <c r="QCT28" s="914"/>
      <c r="QCU28" s="914"/>
      <c r="QCV28" s="911"/>
      <c r="QCW28" s="911"/>
      <c r="QCX28" s="911"/>
      <c r="QCY28" s="915"/>
      <c r="QCZ28" s="914"/>
      <c r="QDA28" s="914"/>
      <c r="QDB28" s="914"/>
      <c r="QDC28" s="914"/>
      <c r="QDD28" s="914"/>
      <c r="QDE28" s="914"/>
      <c r="QDF28" s="914"/>
      <c r="QDG28" s="911"/>
      <c r="QDH28" s="911"/>
      <c r="QDI28" s="911"/>
      <c r="QDJ28" s="915"/>
      <c r="QDK28" s="914"/>
      <c r="QDL28" s="914"/>
      <c r="QDM28" s="914"/>
      <c r="QDN28" s="914"/>
      <c r="QDO28" s="914"/>
      <c r="QDP28" s="914"/>
      <c r="QDQ28" s="914"/>
      <c r="QDR28" s="911"/>
      <c r="QDS28" s="911"/>
      <c r="QDT28" s="911"/>
      <c r="QDU28" s="915"/>
      <c r="QDV28" s="914"/>
      <c r="QDW28" s="914"/>
      <c r="QDX28" s="914"/>
      <c r="QDY28" s="914"/>
      <c r="QDZ28" s="914"/>
      <c r="QEA28" s="914"/>
      <c r="QEB28" s="914"/>
      <c r="QEC28" s="911"/>
      <c r="QED28" s="911"/>
      <c r="QEE28" s="911"/>
      <c r="QEF28" s="915"/>
      <c r="QEG28" s="914"/>
      <c r="QEH28" s="914"/>
      <c r="QEI28" s="914"/>
      <c r="QEJ28" s="914"/>
      <c r="QEK28" s="914"/>
      <c r="QEL28" s="914"/>
      <c r="QEM28" s="914"/>
      <c r="QEN28" s="911"/>
      <c r="QEO28" s="911"/>
      <c r="QEP28" s="911"/>
      <c r="QEQ28" s="915"/>
      <c r="QER28" s="914"/>
      <c r="QES28" s="914"/>
      <c r="QET28" s="914"/>
      <c r="QEU28" s="914"/>
      <c r="QEV28" s="914"/>
      <c r="QEW28" s="914"/>
      <c r="QEX28" s="914"/>
      <c r="QEY28" s="911"/>
      <c r="QEZ28" s="911"/>
      <c r="QFA28" s="911"/>
      <c r="QFB28" s="915"/>
      <c r="QFC28" s="914"/>
      <c r="QFD28" s="914"/>
      <c r="QFE28" s="914"/>
      <c r="QFF28" s="914"/>
      <c r="QFG28" s="914"/>
      <c r="QFH28" s="914"/>
      <c r="QFI28" s="914"/>
      <c r="QFJ28" s="911"/>
      <c r="QFK28" s="911"/>
      <c r="QFL28" s="911"/>
      <c r="QFM28" s="915"/>
      <c r="QFN28" s="914"/>
      <c r="QFO28" s="914"/>
      <c r="QFP28" s="914"/>
      <c r="QFQ28" s="914"/>
      <c r="QFR28" s="914"/>
      <c r="QFS28" s="914"/>
      <c r="QFT28" s="914"/>
      <c r="QFU28" s="911"/>
      <c r="QFV28" s="911"/>
      <c r="QFW28" s="911"/>
      <c r="QFX28" s="915"/>
      <c r="QFY28" s="914"/>
      <c r="QFZ28" s="914"/>
      <c r="QGA28" s="914"/>
      <c r="QGB28" s="914"/>
      <c r="QGC28" s="914"/>
      <c r="QGD28" s="914"/>
      <c r="QGE28" s="914"/>
      <c r="QGF28" s="911"/>
      <c r="QGG28" s="911"/>
      <c r="QGH28" s="911"/>
      <c r="QGI28" s="915"/>
      <c r="QGJ28" s="914"/>
      <c r="QGK28" s="914"/>
      <c r="QGL28" s="914"/>
      <c r="QGM28" s="914"/>
      <c r="QGN28" s="914"/>
      <c r="QGO28" s="914"/>
      <c r="QGP28" s="914"/>
      <c r="QGQ28" s="911"/>
      <c r="QGR28" s="911"/>
      <c r="QGS28" s="911"/>
      <c r="QGT28" s="915"/>
      <c r="QGU28" s="914"/>
      <c r="QGV28" s="914"/>
      <c r="QGW28" s="914"/>
      <c r="QGX28" s="914"/>
      <c r="QGY28" s="914"/>
      <c r="QGZ28" s="914"/>
      <c r="QHA28" s="914"/>
      <c r="QHB28" s="911"/>
      <c r="QHC28" s="911"/>
      <c r="QHD28" s="911"/>
      <c r="QHE28" s="915"/>
      <c r="QHF28" s="914"/>
      <c r="QHG28" s="914"/>
      <c r="QHH28" s="914"/>
      <c r="QHI28" s="914"/>
      <c r="QHJ28" s="914"/>
      <c r="QHK28" s="914"/>
      <c r="QHL28" s="914"/>
      <c r="QHM28" s="911"/>
      <c r="QHN28" s="911"/>
      <c r="QHO28" s="911"/>
      <c r="QHP28" s="915"/>
      <c r="QHQ28" s="914"/>
      <c r="QHR28" s="914"/>
      <c r="QHS28" s="914"/>
      <c r="QHT28" s="914"/>
      <c r="QHU28" s="914"/>
      <c r="QHV28" s="914"/>
      <c r="QHW28" s="914"/>
      <c r="QHX28" s="911"/>
      <c r="QHY28" s="911"/>
      <c r="QHZ28" s="911"/>
      <c r="QIA28" s="915"/>
      <c r="QIB28" s="914"/>
      <c r="QIC28" s="914"/>
      <c r="QID28" s="914"/>
      <c r="QIE28" s="914"/>
      <c r="QIF28" s="914"/>
      <c r="QIG28" s="914"/>
      <c r="QIH28" s="914"/>
      <c r="QII28" s="911"/>
      <c r="QIJ28" s="911"/>
      <c r="QIK28" s="911"/>
      <c r="QIL28" s="915"/>
      <c r="QIM28" s="914"/>
      <c r="QIN28" s="914"/>
      <c r="QIO28" s="914"/>
      <c r="QIP28" s="914"/>
      <c r="QIQ28" s="914"/>
      <c r="QIR28" s="914"/>
      <c r="QIS28" s="914"/>
      <c r="QIT28" s="911"/>
      <c r="QIU28" s="911"/>
      <c r="QIV28" s="911"/>
      <c r="QIW28" s="915"/>
      <c r="QIX28" s="914"/>
      <c r="QIY28" s="914"/>
      <c r="QIZ28" s="914"/>
      <c r="QJA28" s="914"/>
      <c r="QJB28" s="914"/>
      <c r="QJC28" s="914"/>
      <c r="QJD28" s="914"/>
      <c r="QJE28" s="911"/>
      <c r="QJF28" s="911"/>
      <c r="QJG28" s="911"/>
      <c r="QJH28" s="915"/>
      <c r="QJI28" s="914"/>
      <c r="QJJ28" s="914"/>
      <c r="QJK28" s="914"/>
      <c r="QJL28" s="914"/>
      <c r="QJM28" s="914"/>
      <c r="QJN28" s="914"/>
      <c r="QJO28" s="914"/>
      <c r="QJP28" s="911"/>
      <c r="QJQ28" s="911"/>
      <c r="QJR28" s="911"/>
      <c r="QJS28" s="915"/>
      <c r="QJT28" s="914"/>
      <c r="QJU28" s="914"/>
      <c r="QJV28" s="914"/>
      <c r="QJW28" s="914"/>
      <c r="QJX28" s="914"/>
      <c r="QJY28" s="914"/>
      <c r="QJZ28" s="914"/>
      <c r="QKA28" s="911"/>
      <c r="QKB28" s="911"/>
      <c r="QKC28" s="911"/>
      <c r="QKD28" s="915"/>
      <c r="QKE28" s="914"/>
      <c r="QKF28" s="914"/>
      <c r="QKG28" s="914"/>
      <c r="QKH28" s="914"/>
      <c r="QKI28" s="914"/>
      <c r="QKJ28" s="914"/>
      <c r="QKK28" s="914"/>
      <c r="QKL28" s="911"/>
      <c r="QKM28" s="911"/>
      <c r="QKN28" s="911"/>
      <c r="QKO28" s="915"/>
      <c r="QKP28" s="914"/>
      <c r="QKQ28" s="914"/>
      <c r="QKR28" s="914"/>
      <c r="QKS28" s="914"/>
      <c r="QKT28" s="914"/>
      <c r="QKU28" s="914"/>
      <c r="QKV28" s="914"/>
      <c r="QKW28" s="911"/>
      <c r="QKX28" s="911"/>
      <c r="QKY28" s="911"/>
      <c r="QKZ28" s="915"/>
      <c r="QLA28" s="914"/>
      <c r="QLB28" s="914"/>
      <c r="QLC28" s="914"/>
      <c r="QLD28" s="914"/>
      <c r="QLE28" s="914"/>
      <c r="QLF28" s="914"/>
      <c r="QLG28" s="914"/>
      <c r="QLH28" s="911"/>
      <c r="QLI28" s="911"/>
      <c r="QLJ28" s="911"/>
      <c r="QLK28" s="915"/>
      <c r="QLL28" s="914"/>
      <c r="QLM28" s="914"/>
      <c r="QLN28" s="914"/>
      <c r="QLO28" s="914"/>
      <c r="QLP28" s="914"/>
      <c r="QLQ28" s="914"/>
      <c r="QLR28" s="914"/>
      <c r="QLS28" s="911"/>
      <c r="QLT28" s="911"/>
      <c r="QLU28" s="911"/>
      <c r="QLV28" s="915"/>
      <c r="QLW28" s="914"/>
      <c r="QLX28" s="914"/>
      <c r="QLY28" s="914"/>
      <c r="QLZ28" s="914"/>
      <c r="QMA28" s="914"/>
      <c r="QMB28" s="914"/>
      <c r="QMC28" s="914"/>
      <c r="QMD28" s="911"/>
      <c r="QME28" s="911"/>
      <c r="QMF28" s="911"/>
      <c r="QMG28" s="915"/>
      <c r="QMH28" s="914"/>
      <c r="QMI28" s="914"/>
      <c r="QMJ28" s="914"/>
      <c r="QMK28" s="914"/>
      <c r="QML28" s="914"/>
      <c r="QMM28" s="914"/>
      <c r="QMN28" s="914"/>
      <c r="QMO28" s="911"/>
      <c r="QMP28" s="911"/>
      <c r="QMQ28" s="911"/>
      <c r="QMR28" s="915"/>
      <c r="QMS28" s="914"/>
      <c r="QMT28" s="914"/>
      <c r="QMU28" s="914"/>
      <c r="QMV28" s="914"/>
      <c r="QMW28" s="914"/>
      <c r="QMX28" s="914"/>
      <c r="QMY28" s="914"/>
      <c r="QMZ28" s="911"/>
      <c r="QNA28" s="911"/>
      <c r="QNB28" s="911"/>
      <c r="QNC28" s="915"/>
      <c r="QND28" s="914"/>
      <c r="QNE28" s="914"/>
      <c r="QNF28" s="914"/>
      <c r="QNG28" s="914"/>
      <c r="QNH28" s="914"/>
      <c r="QNI28" s="914"/>
      <c r="QNJ28" s="914"/>
      <c r="QNK28" s="911"/>
      <c r="QNL28" s="911"/>
      <c r="QNM28" s="911"/>
      <c r="QNN28" s="915"/>
      <c r="QNO28" s="914"/>
      <c r="QNP28" s="914"/>
      <c r="QNQ28" s="914"/>
      <c r="QNR28" s="914"/>
      <c r="QNS28" s="914"/>
      <c r="QNT28" s="914"/>
      <c r="QNU28" s="914"/>
      <c r="QNV28" s="911"/>
      <c r="QNW28" s="911"/>
      <c r="QNX28" s="911"/>
      <c r="QNY28" s="915"/>
      <c r="QNZ28" s="914"/>
      <c r="QOA28" s="914"/>
      <c r="QOB28" s="914"/>
      <c r="QOC28" s="914"/>
      <c r="QOD28" s="914"/>
      <c r="QOE28" s="914"/>
      <c r="QOF28" s="914"/>
      <c r="QOG28" s="911"/>
      <c r="QOH28" s="911"/>
      <c r="QOI28" s="911"/>
      <c r="QOJ28" s="915"/>
      <c r="QOK28" s="914"/>
      <c r="QOL28" s="914"/>
      <c r="QOM28" s="914"/>
      <c r="QON28" s="914"/>
      <c r="QOO28" s="914"/>
      <c r="QOP28" s="914"/>
      <c r="QOQ28" s="914"/>
      <c r="QOR28" s="911"/>
      <c r="QOS28" s="911"/>
      <c r="QOT28" s="911"/>
      <c r="QOU28" s="915"/>
      <c r="QOV28" s="914"/>
      <c r="QOW28" s="914"/>
      <c r="QOX28" s="914"/>
      <c r="QOY28" s="914"/>
      <c r="QOZ28" s="914"/>
      <c r="QPA28" s="914"/>
      <c r="QPB28" s="914"/>
      <c r="QPC28" s="911"/>
      <c r="QPD28" s="911"/>
      <c r="QPE28" s="911"/>
      <c r="QPF28" s="915"/>
      <c r="QPG28" s="914"/>
      <c r="QPH28" s="914"/>
      <c r="QPI28" s="914"/>
      <c r="QPJ28" s="914"/>
      <c r="QPK28" s="914"/>
      <c r="QPL28" s="914"/>
      <c r="QPM28" s="914"/>
      <c r="QPN28" s="911"/>
      <c r="QPO28" s="911"/>
      <c r="QPP28" s="911"/>
      <c r="QPQ28" s="915"/>
      <c r="QPR28" s="914"/>
      <c r="QPS28" s="914"/>
      <c r="QPT28" s="914"/>
      <c r="QPU28" s="914"/>
      <c r="QPV28" s="914"/>
      <c r="QPW28" s="914"/>
      <c r="QPX28" s="914"/>
      <c r="QPY28" s="911"/>
      <c r="QPZ28" s="911"/>
      <c r="QQA28" s="911"/>
      <c r="QQB28" s="915"/>
      <c r="QQC28" s="914"/>
      <c r="QQD28" s="914"/>
      <c r="QQE28" s="914"/>
      <c r="QQF28" s="914"/>
      <c r="QQG28" s="914"/>
      <c r="QQH28" s="914"/>
      <c r="QQI28" s="914"/>
      <c r="QQJ28" s="911"/>
      <c r="QQK28" s="911"/>
      <c r="QQL28" s="911"/>
      <c r="QQM28" s="915"/>
      <c r="QQN28" s="914"/>
      <c r="QQO28" s="914"/>
      <c r="QQP28" s="914"/>
      <c r="QQQ28" s="914"/>
      <c r="QQR28" s="914"/>
      <c r="QQS28" s="914"/>
      <c r="QQT28" s="914"/>
      <c r="QQU28" s="911"/>
      <c r="QQV28" s="911"/>
      <c r="QQW28" s="911"/>
      <c r="QQX28" s="915"/>
      <c r="QQY28" s="914"/>
      <c r="QQZ28" s="914"/>
      <c r="QRA28" s="914"/>
      <c r="QRB28" s="914"/>
      <c r="QRC28" s="914"/>
      <c r="QRD28" s="914"/>
      <c r="QRE28" s="914"/>
      <c r="QRF28" s="911"/>
      <c r="QRG28" s="911"/>
      <c r="QRH28" s="911"/>
      <c r="QRI28" s="915"/>
      <c r="QRJ28" s="914"/>
      <c r="QRK28" s="914"/>
      <c r="QRL28" s="914"/>
      <c r="QRM28" s="914"/>
      <c r="QRN28" s="914"/>
      <c r="QRO28" s="914"/>
      <c r="QRP28" s="914"/>
      <c r="QRQ28" s="911"/>
      <c r="QRR28" s="911"/>
      <c r="QRS28" s="911"/>
      <c r="QRT28" s="915"/>
      <c r="QRU28" s="914"/>
      <c r="QRV28" s="914"/>
      <c r="QRW28" s="914"/>
      <c r="QRX28" s="914"/>
      <c r="QRY28" s="914"/>
      <c r="QRZ28" s="914"/>
      <c r="QSA28" s="914"/>
      <c r="QSB28" s="911"/>
      <c r="QSC28" s="911"/>
      <c r="QSD28" s="911"/>
      <c r="QSE28" s="915"/>
      <c r="QSF28" s="914"/>
      <c r="QSG28" s="914"/>
      <c r="QSH28" s="914"/>
      <c r="QSI28" s="914"/>
      <c r="QSJ28" s="914"/>
      <c r="QSK28" s="914"/>
      <c r="QSL28" s="914"/>
      <c r="QSM28" s="911"/>
      <c r="QSN28" s="911"/>
      <c r="QSO28" s="911"/>
      <c r="QSP28" s="915"/>
      <c r="QSQ28" s="914"/>
      <c r="QSR28" s="914"/>
      <c r="QSS28" s="914"/>
      <c r="QST28" s="914"/>
      <c r="QSU28" s="914"/>
      <c r="QSV28" s="914"/>
      <c r="QSW28" s="914"/>
      <c r="QSX28" s="911"/>
      <c r="QSY28" s="911"/>
      <c r="QSZ28" s="911"/>
      <c r="QTA28" s="915"/>
      <c r="QTB28" s="914"/>
      <c r="QTC28" s="914"/>
      <c r="QTD28" s="914"/>
      <c r="QTE28" s="914"/>
      <c r="QTF28" s="914"/>
      <c r="QTG28" s="914"/>
      <c r="QTH28" s="914"/>
      <c r="QTI28" s="911"/>
      <c r="QTJ28" s="911"/>
      <c r="QTK28" s="911"/>
      <c r="QTL28" s="915"/>
      <c r="QTM28" s="914"/>
      <c r="QTN28" s="914"/>
      <c r="QTO28" s="914"/>
      <c r="QTP28" s="914"/>
      <c r="QTQ28" s="914"/>
      <c r="QTR28" s="914"/>
      <c r="QTS28" s="914"/>
      <c r="QTT28" s="911"/>
      <c r="QTU28" s="911"/>
      <c r="QTV28" s="911"/>
      <c r="QTW28" s="915"/>
      <c r="QTX28" s="914"/>
      <c r="QTY28" s="914"/>
      <c r="QTZ28" s="914"/>
      <c r="QUA28" s="914"/>
      <c r="QUB28" s="914"/>
      <c r="QUC28" s="914"/>
      <c r="QUD28" s="914"/>
      <c r="QUE28" s="911"/>
      <c r="QUF28" s="911"/>
      <c r="QUG28" s="911"/>
      <c r="QUH28" s="915"/>
      <c r="QUI28" s="914"/>
      <c r="QUJ28" s="914"/>
      <c r="QUK28" s="914"/>
      <c r="QUL28" s="914"/>
      <c r="QUM28" s="914"/>
      <c r="QUN28" s="914"/>
      <c r="QUO28" s="914"/>
      <c r="QUP28" s="911"/>
      <c r="QUQ28" s="911"/>
      <c r="QUR28" s="911"/>
      <c r="QUS28" s="915"/>
      <c r="QUT28" s="914"/>
      <c r="QUU28" s="914"/>
      <c r="QUV28" s="914"/>
      <c r="QUW28" s="914"/>
      <c r="QUX28" s="914"/>
      <c r="QUY28" s="914"/>
      <c r="QUZ28" s="914"/>
      <c r="QVA28" s="911"/>
      <c r="QVB28" s="911"/>
      <c r="QVC28" s="911"/>
      <c r="QVD28" s="915"/>
      <c r="QVE28" s="914"/>
      <c r="QVF28" s="914"/>
      <c r="QVG28" s="914"/>
      <c r="QVH28" s="914"/>
      <c r="QVI28" s="914"/>
      <c r="QVJ28" s="914"/>
      <c r="QVK28" s="914"/>
      <c r="QVL28" s="911"/>
      <c r="QVM28" s="911"/>
      <c r="QVN28" s="911"/>
      <c r="QVO28" s="915"/>
      <c r="QVP28" s="914"/>
      <c r="QVQ28" s="914"/>
      <c r="QVR28" s="914"/>
      <c r="QVS28" s="914"/>
      <c r="QVT28" s="914"/>
      <c r="QVU28" s="914"/>
      <c r="QVV28" s="914"/>
      <c r="QVW28" s="911"/>
      <c r="QVX28" s="911"/>
      <c r="QVY28" s="911"/>
      <c r="QVZ28" s="915"/>
      <c r="QWA28" s="914"/>
      <c r="QWB28" s="914"/>
      <c r="QWC28" s="914"/>
      <c r="QWD28" s="914"/>
      <c r="QWE28" s="914"/>
      <c r="QWF28" s="914"/>
      <c r="QWG28" s="914"/>
      <c r="QWH28" s="911"/>
      <c r="QWI28" s="911"/>
      <c r="QWJ28" s="911"/>
      <c r="QWK28" s="915"/>
      <c r="QWL28" s="914"/>
      <c r="QWM28" s="914"/>
      <c r="QWN28" s="914"/>
      <c r="QWO28" s="914"/>
      <c r="QWP28" s="914"/>
      <c r="QWQ28" s="914"/>
      <c r="QWR28" s="914"/>
      <c r="QWS28" s="911"/>
      <c r="QWT28" s="911"/>
      <c r="QWU28" s="911"/>
      <c r="QWV28" s="915"/>
      <c r="QWW28" s="914"/>
      <c r="QWX28" s="914"/>
      <c r="QWY28" s="914"/>
      <c r="QWZ28" s="914"/>
      <c r="QXA28" s="914"/>
      <c r="QXB28" s="914"/>
      <c r="QXC28" s="914"/>
      <c r="QXD28" s="911"/>
      <c r="QXE28" s="911"/>
      <c r="QXF28" s="911"/>
      <c r="QXG28" s="915"/>
      <c r="QXH28" s="914"/>
      <c r="QXI28" s="914"/>
      <c r="QXJ28" s="914"/>
      <c r="QXK28" s="914"/>
      <c r="QXL28" s="914"/>
      <c r="QXM28" s="914"/>
      <c r="QXN28" s="914"/>
      <c r="QXO28" s="911"/>
      <c r="QXP28" s="911"/>
      <c r="QXQ28" s="911"/>
      <c r="QXR28" s="915"/>
      <c r="QXS28" s="914"/>
      <c r="QXT28" s="914"/>
      <c r="QXU28" s="914"/>
      <c r="QXV28" s="914"/>
      <c r="QXW28" s="914"/>
      <c r="QXX28" s="914"/>
      <c r="QXY28" s="914"/>
      <c r="QXZ28" s="911"/>
      <c r="QYA28" s="911"/>
      <c r="QYB28" s="911"/>
      <c r="QYC28" s="915"/>
      <c r="QYD28" s="914"/>
      <c r="QYE28" s="914"/>
      <c r="QYF28" s="914"/>
      <c r="QYG28" s="914"/>
      <c r="QYH28" s="914"/>
      <c r="QYI28" s="914"/>
      <c r="QYJ28" s="914"/>
      <c r="QYK28" s="911"/>
      <c r="QYL28" s="911"/>
      <c r="QYM28" s="911"/>
      <c r="QYN28" s="915"/>
      <c r="QYO28" s="914"/>
      <c r="QYP28" s="914"/>
      <c r="QYQ28" s="914"/>
      <c r="QYR28" s="914"/>
      <c r="QYS28" s="914"/>
      <c r="QYT28" s="914"/>
      <c r="QYU28" s="914"/>
      <c r="QYV28" s="911"/>
      <c r="QYW28" s="911"/>
      <c r="QYX28" s="911"/>
      <c r="QYY28" s="915"/>
      <c r="QYZ28" s="914"/>
      <c r="QZA28" s="914"/>
      <c r="QZB28" s="914"/>
      <c r="QZC28" s="914"/>
      <c r="QZD28" s="914"/>
      <c r="QZE28" s="914"/>
      <c r="QZF28" s="914"/>
      <c r="QZG28" s="911"/>
      <c r="QZH28" s="911"/>
      <c r="QZI28" s="911"/>
      <c r="QZJ28" s="915"/>
      <c r="QZK28" s="914"/>
      <c r="QZL28" s="914"/>
      <c r="QZM28" s="914"/>
      <c r="QZN28" s="914"/>
      <c r="QZO28" s="914"/>
      <c r="QZP28" s="914"/>
      <c r="QZQ28" s="914"/>
      <c r="QZR28" s="911"/>
      <c r="QZS28" s="911"/>
      <c r="QZT28" s="911"/>
      <c r="QZU28" s="915"/>
      <c r="QZV28" s="914"/>
      <c r="QZW28" s="914"/>
      <c r="QZX28" s="914"/>
      <c r="QZY28" s="914"/>
      <c r="QZZ28" s="914"/>
      <c r="RAA28" s="914"/>
      <c r="RAB28" s="914"/>
      <c r="RAC28" s="911"/>
      <c r="RAD28" s="911"/>
      <c r="RAE28" s="911"/>
      <c r="RAF28" s="915"/>
      <c r="RAG28" s="914"/>
      <c r="RAH28" s="914"/>
      <c r="RAI28" s="914"/>
      <c r="RAJ28" s="914"/>
      <c r="RAK28" s="914"/>
      <c r="RAL28" s="914"/>
      <c r="RAM28" s="914"/>
      <c r="RAN28" s="911"/>
      <c r="RAO28" s="911"/>
      <c r="RAP28" s="911"/>
      <c r="RAQ28" s="915"/>
      <c r="RAR28" s="914"/>
      <c r="RAS28" s="914"/>
      <c r="RAT28" s="914"/>
      <c r="RAU28" s="914"/>
      <c r="RAV28" s="914"/>
      <c r="RAW28" s="914"/>
      <c r="RAX28" s="914"/>
      <c r="RAY28" s="911"/>
      <c r="RAZ28" s="911"/>
      <c r="RBA28" s="911"/>
      <c r="RBB28" s="915"/>
      <c r="RBC28" s="914"/>
      <c r="RBD28" s="914"/>
      <c r="RBE28" s="914"/>
      <c r="RBF28" s="914"/>
      <c r="RBG28" s="914"/>
      <c r="RBH28" s="914"/>
      <c r="RBI28" s="914"/>
      <c r="RBJ28" s="911"/>
      <c r="RBK28" s="911"/>
      <c r="RBL28" s="911"/>
      <c r="RBM28" s="915"/>
      <c r="RBN28" s="914"/>
      <c r="RBO28" s="914"/>
      <c r="RBP28" s="914"/>
      <c r="RBQ28" s="914"/>
      <c r="RBR28" s="914"/>
      <c r="RBS28" s="914"/>
      <c r="RBT28" s="914"/>
      <c r="RBU28" s="911"/>
      <c r="RBV28" s="911"/>
      <c r="RBW28" s="911"/>
      <c r="RBX28" s="915"/>
      <c r="RBY28" s="914"/>
      <c r="RBZ28" s="914"/>
      <c r="RCA28" s="914"/>
      <c r="RCB28" s="914"/>
      <c r="RCC28" s="914"/>
      <c r="RCD28" s="914"/>
      <c r="RCE28" s="914"/>
      <c r="RCF28" s="911"/>
      <c r="RCG28" s="911"/>
      <c r="RCH28" s="911"/>
      <c r="RCI28" s="915"/>
      <c r="RCJ28" s="914"/>
      <c r="RCK28" s="914"/>
      <c r="RCL28" s="914"/>
      <c r="RCM28" s="914"/>
      <c r="RCN28" s="914"/>
      <c r="RCO28" s="914"/>
      <c r="RCP28" s="914"/>
      <c r="RCQ28" s="911"/>
      <c r="RCR28" s="911"/>
      <c r="RCS28" s="911"/>
      <c r="RCT28" s="915"/>
      <c r="RCU28" s="914"/>
      <c r="RCV28" s="914"/>
      <c r="RCW28" s="914"/>
      <c r="RCX28" s="914"/>
      <c r="RCY28" s="914"/>
      <c r="RCZ28" s="914"/>
      <c r="RDA28" s="914"/>
      <c r="RDB28" s="911"/>
      <c r="RDC28" s="911"/>
      <c r="RDD28" s="911"/>
      <c r="RDE28" s="915"/>
      <c r="RDF28" s="914"/>
      <c r="RDG28" s="914"/>
      <c r="RDH28" s="914"/>
      <c r="RDI28" s="914"/>
      <c r="RDJ28" s="914"/>
      <c r="RDK28" s="914"/>
      <c r="RDL28" s="914"/>
      <c r="RDM28" s="911"/>
      <c r="RDN28" s="911"/>
      <c r="RDO28" s="911"/>
      <c r="RDP28" s="915"/>
      <c r="RDQ28" s="914"/>
      <c r="RDR28" s="914"/>
      <c r="RDS28" s="914"/>
      <c r="RDT28" s="914"/>
      <c r="RDU28" s="914"/>
      <c r="RDV28" s="914"/>
      <c r="RDW28" s="914"/>
      <c r="RDX28" s="911"/>
      <c r="RDY28" s="911"/>
      <c r="RDZ28" s="911"/>
      <c r="REA28" s="915"/>
      <c r="REB28" s="914"/>
      <c r="REC28" s="914"/>
      <c r="RED28" s="914"/>
      <c r="REE28" s="914"/>
      <c r="REF28" s="914"/>
      <c r="REG28" s="914"/>
      <c r="REH28" s="914"/>
      <c r="REI28" s="911"/>
      <c r="REJ28" s="911"/>
      <c r="REK28" s="911"/>
      <c r="REL28" s="915"/>
      <c r="REM28" s="914"/>
      <c r="REN28" s="914"/>
      <c r="REO28" s="914"/>
      <c r="REP28" s="914"/>
      <c r="REQ28" s="914"/>
      <c r="RER28" s="914"/>
      <c r="RES28" s="914"/>
      <c r="RET28" s="911"/>
      <c r="REU28" s="911"/>
      <c r="REV28" s="911"/>
      <c r="REW28" s="915"/>
      <c r="REX28" s="914"/>
      <c r="REY28" s="914"/>
      <c r="REZ28" s="914"/>
      <c r="RFA28" s="914"/>
      <c r="RFB28" s="914"/>
      <c r="RFC28" s="914"/>
      <c r="RFD28" s="914"/>
      <c r="RFE28" s="911"/>
      <c r="RFF28" s="911"/>
      <c r="RFG28" s="911"/>
      <c r="RFH28" s="915"/>
      <c r="RFI28" s="914"/>
      <c r="RFJ28" s="914"/>
      <c r="RFK28" s="914"/>
      <c r="RFL28" s="914"/>
      <c r="RFM28" s="914"/>
      <c r="RFN28" s="914"/>
      <c r="RFO28" s="914"/>
      <c r="RFP28" s="911"/>
      <c r="RFQ28" s="911"/>
      <c r="RFR28" s="911"/>
      <c r="RFS28" s="915"/>
      <c r="RFT28" s="914"/>
      <c r="RFU28" s="914"/>
      <c r="RFV28" s="914"/>
      <c r="RFW28" s="914"/>
      <c r="RFX28" s="914"/>
      <c r="RFY28" s="914"/>
      <c r="RFZ28" s="914"/>
      <c r="RGA28" s="911"/>
      <c r="RGB28" s="911"/>
      <c r="RGC28" s="911"/>
      <c r="RGD28" s="915"/>
      <c r="RGE28" s="914"/>
      <c r="RGF28" s="914"/>
      <c r="RGG28" s="914"/>
      <c r="RGH28" s="914"/>
      <c r="RGI28" s="914"/>
      <c r="RGJ28" s="914"/>
      <c r="RGK28" s="914"/>
      <c r="RGL28" s="911"/>
      <c r="RGM28" s="911"/>
      <c r="RGN28" s="911"/>
      <c r="RGO28" s="915"/>
      <c r="RGP28" s="914"/>
      <c r="RGQ28" s="914"/>
      <c r="RGR28" s="914"/>
      <c r="RGS28" s="914"/>
      <c r="RGT28" s="914"/>
      <c r="RGU28" s="914"/>
      <c r="RGV28" s="914"/>
      <c r="RGW28" s="911"/>
      <c r="RGX28" s="911"/>
      <c r="RGY28" s="911"/>
      <c r="RGZ28" s="915"/>
      <c r="RHA28" s="914"/>
      <c r="RHB28" s="914"/>
      <c r="RHC28" s="914"/>
      <c r="RHD28" s="914"/>
      <c r="RHE28" s="914"/>
      <c r="RHF28" s="914"/>
      <c r="RHG28" s="914"/>
      <c r="RHH28" s="911"/>
      <c r="RHI28" s="911"/>
      <c r="RHJ28" s="911"/>
      <c r="RHK28" s="915"/>
      <c r="RHL28" s="914"/>
      <c r="RHM28" s="914"/>
      <c r="RHN28" s="914"/>
      <c r="RHO28" s="914"/>
      <c r="RHP28" s="914"/>
      <c r="RHQ28" s="914"/>
      <c r="RHR28" s="914"/>
      <c r="RHS28" s="911"/>
      <c r="RHT28" s="911"/>
      <c r="RHU28" s="911"/>
      <c r="RHV28" s="915"/>
      <c r="RHW28" s="914"/>
      <c r="RHX28" s="914"/>
      <c r="RHY28" s="914"/>
      <c r="RHZ28" s="914"/>
      <c r="RIA28" s="914"/>
      <c r="RIB28" s="914"/>
      <c r="RIC28" s="914"/>
      <c r="RID28" s="911"/>
      <c r="RIE28" s="911"/>
      <c r="RIF28" s="911"/>
      <c r="RIG28" s="915"/>
      <c r="RIH28" s="914"/>
      <c r="RII28" s="914"/>
      <c r="RIJ28" s="914"/>
      <c r="RIK28" s="914"/>
      <c r="RIL28" s="914"/>
      <c r="RIM28" s="914"/>
      <c r="RIN28" s="914"/>
      <c r="RIO28" s="911"/>
      <c r="RIP28" s="911"/>
      <c r="RIQ28" s="911"/>
      <c r="RIR28" s="915"/>
      <c r="RIS28" s="914"/>
      <c r="RIT28" s="914"/>
      <c r="RIU28" s="914"/>
      <c r="RIV28" s="914"/>
      <c r="RIW28" s="914"/>
      <c r="RIX28" s="914"/>
      <c r="RIY28" s="914"/>
      <c r="RIZ28" s="911"/>
      <c r="RJA28" s="911"/>
      <c r="RJB28" s="911"/>
      <c r="RJC28" s="915"/>
      <c r="RJD28" s="914"/>
      <c r="RJE28" s="914"/>
      <c r="RJF28" s="914"/>
      <c r="RJG28" s="914"/>
      <c r="RJH28" s="914"/>
      <c r="RJI28" s="914"/>
      <c r="RJJ28" s="914"/>
      <c r="RJK28" s="911"/>
      <c r="RJL28" s="911"/>
      <c r="RJM28" s="911"/>
      <c r="RJN28" s="915"/>
      <c r="RJO28" s="914"/>
      <c r="RJP28" s="914"/>
      <c r="RJQ28" s="914"/>
      <c r="RJR28" s="914"/>
      <c r="RJS28" s="914"/>
      <c r="RJT28" s="914"/>
      <c r="RJU28" s="914"/>
      <c r="RJV28" s="911"/>
      <c r="RJW28" s="911"/>
      <c r="RJX28" s="911"/>
      <c r="RJY28" s="915"/>
      <c r="RJZ28" s="914"/>
      <c r="RKA28" s="914"/>
      <c r="RKB28" s="914"/>
      <c r="RKC28" s="914"/>
      <c r="RKD28" s="914"/>
      <c r="RKE28" s="914"/>
      <c r="RKF28" s="914"/>
      <c r="RKG28" s="911"/>
      <c r="RKH28" s="911"/>
      <c r="RKI28" s="911"/>
      <c r="RKJ28" s="915"/>
      <c r="RKK28" s="914"/>
      <c r="RKL28" s="914"/>
      <c r="RKM28" s="914"/>
      <c r="RKN28" s="914"/>
      <c r="RKO28" s="914"/>
      <c r="RKP28" s="914"/>
      <c r="RKQ28" s="914"/>
      <c r="RKR28" s="911"/>
      <c r="RKS28" s="911"/>
      <c r="RKT28" s="911"/>
      <c r="RKU28" s="915"/>
      <c r="RKV28" s="914"/>
      <c r="RKW28" s="914"/>
      <c r="RKX28" s="914"/>
      <c r="RKY28" s="914"/>
      <c r="RKZ28" s="914"/>
      <c r="RLA28" s="914"/>
      <c r="RLB28" s="914"/>
      <c r="RLC28" s="911"/>
      <c r="RLD28" s="911"/>
      <c r="RLE28" s="911"/>
      <c r="RLF28" s="915"/>
      <c r="RLG28" s="914"/>
      <c r="RLH28" s="914"/>
      <c r="RLI28" s="914"/>
      <c r="RLJ28" s="914"/>
      <c r="RLK28" s="914"/>
      <c r="RLL28" s="914"/>
      <c r="RLM28" s="914"/>
      <c r="RLN28" s="911"/>
      <c r="RLO28" s="911"/>
      <c r="RLP28" s="911"/>
      <c r="RLQ28" s="915"/>
      <c r="RLR28" s="914"/>
      <c r="RLS28" s="914"/>
      <c r="RLT28" s="914"/>
      <c r="RLU28" s="914"/>
      <c r="RLV28" s="914"/>
      <c r="RLW28" s="914"/>
      <c r="RLX28" s="914"/>
      <c r="RLY28" s="911"/>
      <c r="RLZ28" s="911"/>
      <c r="RMA28" s="911"/>
      <c r="RMB28" s="915"/>
      <c r="RMC28" s="914"/>
      <c r="RMD28" s="914"/>
      <c r="RME28" s="914"/>
      <c r="RMF28" s="914"/>
      <c r="RMG28" s="914"/>
      <c r="RMH28" s="914"/>
      <c r="RMI28" s="914"/>
      <c r="RMJ28" s="911"/>
      <c r="RMK28" s="911"/>
      <c r="RML28" s="911"/>
      <c r="RMM28" s="915"/>
      <c r="RMN28" s="914"/>
      <c r="RMO28" s="914"/>
      <c r="RMP28" s="914"/>
      <c r="RMQ28" s="914"/>
      <c r="RMR28" s="914"/>
      <c r="RMS28" s="914"/>
      <c r="RMT28" s="914"/>
      <c r="RMU28" s="911"/>
      <c r="RMV28" s="911"/>
      <c r="RMW28" s="911"/>
      <c r="RMX28" s="915"/>
      <c r="RMY28" s="914"/>
      <c r="RMZ28" s="914"/>
      <c r="RNA28" s="914"/>
      <c r="RNB28" s="914"/>
      <c r="RNC28" s="914"/>
      <c r="RND28" s="914"/>
      <c r="RNE28" s="914"/>
      <c r="RNF28" s="911"/>
      <c r="RNG28" s="911"/>
      <c r="RNH28" s="911"/>
      <c r="RNI28" s="915"/>
      <c r="RNJ28" s="914"/>
      <c r="RNK28" s="914"/>
      <c r="RNL28" s="914"/>
      <c r="RNM28" s="914"/>
      <c r="RNN28" s="914"/>
      <c r="RNO28" s="914"/>
      <c r="RNP28" s="914"/>
      <c r="RNQ28" s="911"/>
      <c r="RNR28" s="911"/>
      <c r="RNS28" s="911"/>
      <c r="RNT28" s="915"/>
      <c r="RNU28" s="914"/>
      <c r="RNV28" s="914"/>
      <c r="RNW28" s="914"/>
      <c r="RNX28" s="914"/>
      <c r="RNY28" s="914"/>
      <c r="RNZ28" s="914"/>
      <c r="ROA28" s="914"/>
      <c r="ROB28" s="911"/>
      <c r="ROC28" s="911"/>
      <c r="ROD28" s="911"/>
      <c r="ROE28" s="915"/>
      <c r="ROF28" s="914"/>
      <c r="ROG28" s="914"/>
      <c r="ROH28" s="914"/>
      <c r="ROI28" s="914"/>
      <c r="ROJ28" s="914"/>
      <c r="ROK28" s="914"/>
      <c r="ROL28" s="914"/>
      <c r="ROM28" s="911"/>
      <c r="RON28" s="911"/>
      <c r="ROO28" s="911"/>
      <c r="ROP28" s="915"/>
      <c r="ROQ28" s="914"/>
      <c r="ROR28" s="914"/>
      <c r="ROS28" s="914"/>
      <c r="ROT28" s="914"/>
      <c r="ROU28" s="914"/>
      <c r="ROV28" s="914"/>
      <c r="ROW28" s="914"/>
      <c r="ROX28" s="911"/>
      <c r="ROY28" s="911"/>
      <c r="ROZ28" s="911"/>
      <c r="RPA28" s="915"/>
      <c r="RPB28" s="914"/>
      <c r="RPC28" s="914"/>
      <c r="RPD28" s="914"/>
      <c r="RPE28" s="914"/>
      <c r="RPF28" s="914"/>
      <c r="RPG28" s="914"/>
      <c r="RPH28" s="914"/>
      <c r="RPI28" s="911"/>
      <c r="RPJ28" s="911"/>
      <c r="RPK28" s="911"/>
      <c r="RPL28" s="915"/>
      <c r="RPM28" s="914"/>
      <c r="RPN28" s="914"/>
      <c r="RPO28" s="914"/>
      <c r="RPP28" s="914"/>
      <c r="RPQ28" s="914"/>
      <c r="RPR28" s="914"/>
      <c r="RPS28" s="914"/>
      <c r="RPT28" s="911"/>
      <c r="RPU28" s="911"/>
      <c r="RPV28" s="911"/>
      <c r="RPW28" s="915"/>
      <c r="RPX28" s="914"/>
      <c r="RPY28" s="914"/>
      <c r="RPZ28" s="914"/>
      <c r="RQA28" s="914"/>
      <c r="RQB28" s="914"/>
      <c r="RQC28" s="914"/>
      <c r="RQD28" s="914"/>
      <c r="RQE28" s="911"/>
      <c r="RQF28" s="911"/>
      <c r="RQG28" s="911"/>
      <c r="RQH28" s="915"/>
      <c r="RQI28" s="914"/>
      <c r="RQJ28" s="914"/>
      <c r="RQK28" s="914"/>
      <c r="RQL28" s="914"/>
      <c r="RQM28" s="914"/>
      <c r="RQN28" s="914"/>
      <c r="RQO28" s="914"/>
      <c r="RQP28" s="911"/>
      <c r="RQQ28" s="911"/>
      <c r="RQR28" s="911"/>
      <c r="RQS28" s="915"/>
      <c r="RQT28" s="914"/>
      <c r="RQU28" s="914"/>
      <c r="RQV28" s="914"/>
      <c r="RQW28" s="914"/>
      <c r="RQX28" s="914"/>
      <c r="RQY28" s="914"/>
      <c r="RQZ28" s="914"/>
      <c r="RRA28" s="911"/>
      <c r="RRB28" s="911"/>
      <c r="RRC28" s="911"/>
      <c r="RRD28" s="915"/>
      <c r="RRE28" s="914"/>
      <c r="RRF28" s="914"/>
      <c r="RRG28" s="914"/>
      <c r="RRH28" s="914"/>
      <c r="RRI28" s="914"/>
      <c r="RRJ28" s="914"/>
      <c r="RRK28" s="914"/>
      <c r="RRL28" s="911"/>
      <c r="RRM28" s="911"/>
      <c r="RRN28" s="911"/>
      <c r="RRO28" s="915"/>
      <c r="RRP28" s="914"/>
      <c r="RRQ28" s="914"/>
      <c r="RRR28" s="914"/>
      <c r="RRS28" s="914"/>
      <c r="RRT28" s="914"/>
      <c r="RRU28" s="914"/>
      <c r="RRV28" s="914"/>
      <c r="RRW28" s="911"/>
      <c r="RRX28" s="911"/>
      <c r="RRY28" s="911"/>
      <c r="RRZ28" s="915"/>
      <c r="RSA28" s="914"/>
      <c r="RSB28" s="914"/>
      <c r="RSC28" s="914"/>
      <c r="RSD28" s="914"/>
      <c r="RSE28" s="914"/>
      <c r="RSF28" s="914"/>
      <c r="RSG28" s="914"/>
      <c r="RSH28" s="911"/>
      <c r="RSI28" s="911"/>
      <c r="RSJ28" s="911"/>
      <c r="RSK28" s="915"/>
      <c r="RSL28" s="914"/>
      <c r="RSM28" s="914"/>
      <c r="RSN28" s="914"/>
      <c r="RSO28" s="914"/>
      <c r="RSP28" s="914"/>
      <c r="RSQ28" s="914"/>
      <c r="RSR28" s="914"/>
      <c r="RSS28" s="911"/>
      <c r="RST28" s="911"/>
      <c r="RSU28" s="911"/>
      <c r="RSV28" s="915"/>
      <c r="RSW28" s="914"/>
      <c r="RSX28" s="914"/>
      <c r="RSY28" s="914"/>
      <c r="RSZ28" s="914"/>
      <c r="RTA28" s="914"/>
      <c r="RTB28" s="914"/>
      <c r="RTC28" s="914"/>
      <c r="RTD28" s="911"/>
      <c r="RTE28" s="911"/>
      <c r="RTF28" s="911"/>
      <c r="RTG28" s="915"/>
      <c r="RTH28" s="914"/>
      <c r="RTI28" s="914"/>
      <c r="RTJ28" s="914"/>
      <c r="RTK28" s="914"/>
      <c r="RTL28" s="914"/>
      <c r="RTM28" s="914"/>
      <c r="RTN28" s="914"/>
      <c r="RTO28" s="911"/>
      <c r="RTP28" s="911"/>
      <c r="RTQ28" s="911"/>
      <c r="RTR28" s="915"/>
      <c r="RTS28" s="914"/>
      <c r="RTT28" s="914"/>
      <c r="RTU28" s="914"/>
      <c r="RTV28" s="914"/>
      <c r="RTW28" s="914"/>
      <c r="RTX28" s="914"/>
      <c r="RTY28" s="914"/>
      <c r="RTZ28" s="911"/>
      <c r="RUA28" s="911"/>
      <c r="RUB28" s="911"/>
      <c r="RUC28" s="915"/>
      <c r="RUD28" s="914"/>
      <c r="RUE28" s="914"/>
      <c r="RUF28" s="914"/>
      <c r="RUG28" s="914"/>
      <c r="RUH28" s="914"/>
      <c r="RUI28" s="914"/>
      <c r="RUJ28" s="914"/>
      <c r="RUK28" s="911"/>
      <c r="RUL28" s="911"/>
      <c r="RUM28" s="911"/>
      <c r="RUN28" s="915"/>
      <c r="RUO28" s="914"/>
      <c r="RUP28" s="914"/>
      <c r="RUQ28" s="914"/>
      <c r="RUR28" s="914"/>
      <c r="RUS28" s="914"/>
      <c r="RUT28" s="914"/>
      <c r="RUU28" s="914"/>
      <c r="RUV28" s="911"/>
      <c r="RUW28" s="911"/>
      <c r="RUX28" s="911"/>
      <c r="RUY28" s="915"/>
      <c r="RUZ28" s="914"/>
      <c r="RVA28" s="914"/>
      <c r="RVB28" s="914"/>
      <c r="RVC28" s="914"/>
      <c r="RVD28" s="914"/>
      <c r="RVE28" s="914"/>
      <c r="RVF28" s="914"/>
      <c r="RVG28" s="911"/>
      <c r="RVH28" s="911"/>
      <c r="RVI28" s="911"/>
      <c r="RVJ28" s="915"/>
      <c r="RVK28" s="914"/>
      <c r="RVL28" s="914"/>
      <c r="RVM28" s="914"/>
      <c r="RVN28" s="914"/>
      <c r="RVO28" s="914"/>
      <c r="RVP28" s="914"/>
      <c r="RVQ28" s="914"/>
      <c r="RVR28" s="911"/>
      <c r="RVS28" s="911"/>
      <c r="RVT28" s="911"/>
      <c r="RVU28" s="915"/>
      <c r="RVV28" s="914"/>
      <c r="RVW28" s="914"/>
      <c r="RVX28" s="914"/>
      <c r="RVY28" s="914"/>
      <c r="RVZ28" s="914"/>
      <c r="RWA28" s="914"/>
      <c r="RWB28" s="914"/>
      <c r="RWC28" s="911"/>
      <c r="RWD28" s="911"/>
      <c r="RWE28" s="911"/>
      <c r="RWF28" s="915"/>
      <c r="RWG28" s="914"/>
      <c r="RWH28" s="914"/>
      <c r="RWI28" s="914"/>
      <c r="RWJ28" s="914"/>
      <c r="RWK28" s="914"/>
      <c r="RWL28" s="914"/>
      <c r="RWM28" s="914"/>
      <c r="RWN28" s="911"/>
      <c r="RWO28" s="911"/>
      <c r="RWP28" s="911"/>
      <c r="RWQ28" s="915"/>
      <c r="RWR28" s="914"/>
      <c r="RWS28" s="914"/>
      <c r="RWT28" s="914"/>
      <c r="RWU28" s="914"/>
      <c r="RWV28" s="914"/>
      <c r="RWW28" s="914"/>
      <c r="RWX28" s="914"/>
      <c r="RWY28" s="911"/>
      <c r="RWZ28" s="911"/>
      <c r="RXA28" s="911"/>
      <c r="RXB28" s="915"/>
      <c r="RXC28" s="914"/>
      <c r="RXD28" s="914"/>
      <c r="RXE28" s="914"/>
      <c r="RXF28" s="914"/>
      <c r="RXG28" s="914"/>
      <c r="RXH28" s="914"/>
      <c r="RXI28" s="914"/>
      <c r="RXJ28" s="911"/>
      <c r="RXK28" s="911"/>
      <c r="RXL28" s="911"/>
      <c r="RXM28" s="915"/>
      <c r="RXN28" s="914"/>
      <c r="RXO28" s="914"/>
      <c r="RXP28" s="914"/>
      <c r="RXQ28" s="914"/>
      <c r="RXR28" s="914"/>
      <c r="RXS28" s="914"/>
      <c r="RXT28" s="914"/>
      <c r="RXU28" s="911"/>
      <c r="RXV28" s="911"/>
      <c r="RXW28" s="911"/>
      <c r="RXX28" s="915"/>
      <c r="RXY28" s="914"/>
      <c r="RXZ28" s="914"/>
      <c r="RYA28" s="914"/>
      <c r="RYB28" s="914"/>
      <c r="RYC28" s="914"/>
      <c r="RYD28" s="914"/>
      <c r="RYE28" s="914"/>
      <c r="RYF28" s="911"/>
      <c r="RYG28" s="911"/>
      <c r="RYH28" s="911"/>
      <c r="RYI28" s="915"/>
      <c r="RYJ28" s="914"/>
      <c r="RYK28" s="914"/>
      <c r="RYL28" s="914"/>
      <c r="RYM28" s="914"/>
      <c r="RYN28" s="914"/>
      <c r="RYO28" s="914"/>
      <c r="RYP28" s="914"/>
      <c r="RYQ28" s="911"/>
      <c r="RYR28" s="911"/>
      <c r="RYS28" s="911"/>
      <c r="RYT28" s="915"/>
      <c r="RYU28" s="914"/>
      <c r="RYV28" s="914"/>
      <c r="RYW28" s="914"/>
      <c r="RYX28" s="914"/>
      <c r="RYY28" s="914"/>
      <c r="RYZ28" s="914"/>
      <c r="RZA28" s="914"/>
      <c r="RZB28" s="911"/>
      <c r="RZC28" s="911"/>
      <c r="RZD28" s="911"/>
      <c r="RZE28" s="915"/>
      <c r="RZF28" s="914"/>
      <c r="RZG28" s="914"/>
      <c r="RZH28" s="914"/>
      <c r="RZI28" s="914"/>
      <c r="RZJ28" s="914"/>
      <c r="RZK28" s="914"/>
      <c r="RZL28" s="914"/>
      <c r="RZM28" s="911"/>
      <c r="RZN28" s="911"/>
      <c r="RZO28" s="911"/>
      <c r="RZP28" s="915"/>
      <c r="RZQ28" s="914"/>
      <c r="RZR28" s="914"/>
      <c r="RZS28" s="914"/>
      <c r="RZT28" s="914"/>
      <c r="RZU28" s="914"/>
      <c r="RZV28" s="914"/>
      <c r="RZW28" s="914"/>
      <c r="RZX28" s="911"/>
      <c r="RZY28" s="911"/>
      <c r="RZZ28" s="911"/>
      <c r="SAA28" s="915"/>
      <c r="SAB28" s="914"/>
      <c r="SAC28" s="914"/>
      <c r="SAD28" s="914"/>
      <c r="SAE28" s="914"/>
      <c r="SAF28" s="914"/>
      <c r="SAG28" s="914"/>
      <c r="SAH28" s="914"/>
      <c r="SAI28" s="911"/>
      <c r="SAJ28" s="911"/>
      <c r="SAK28" s="911"/>
      <c r="SAL28" s="915"/>
      <c r="SAM28" s="914"/>
      <c r="SAN28" s="914"/>
      <c r="SAO28" s="914"/>
      <c r="SAP28" s="914"/>
      <c r="SAQ28" s="914"/>
      <c r="SAR28" s="914"/>
      <c r="SAS28" s="914"/>
      <c r="SAT28" s="911"/>
      <c r="SAU28" s="911"/>
      <c r="SAV28" s="911"/>
      <c r="SAW28" s="915"/>
      <c r="SAX28" s="914"/>
      <c r="SAY28" s="914"/>
      <c r="SAZ28" s="914"/>
      <c r="SBA28" s="914"/>
      <c r="SBB28" s="914"/>
      <c r="SBC28" s="914"/>
      <c r="SBD28" s="914"/>
      <c r="SBE28" s="911"/>
      <c r="SBF28" s="911"/>
      <c r="SBG28" s="911"/>
      <c r="SBH28" s="915"/>
      <c r="SBI28" s="914"/>
      <c r="SBJ28" s="914"/>
      <c r="SBK28" s="914"/>
      <c r="SBL28" s="914"/>
      <c r="SBM28" s="914"/>
      <c r="SBN28" s="914"/>
      <c r="SBO28" s="914"/>
      <c r="SBP28" s="911"/>
      <c r="SBQ28" s="911"/>
      <c r="SBR28" s="911"/>
      <c r="SBS28" s="915"/>
      <c r="SBT28" s="914"/>
      <c r="SBU28" s="914"/>
      <c r="SBV28" s="914"/>
      <c r="SBW28" s="914"/>
      <c r="SBX28" s="914"/>
      <c r="SBY28" s="914"/>
      <c r="SBZ28" s="914"/>
      <c r="SCA28" s="911"/>
      <c r="SCB28" s="911"/>
      <c r="SCC28" s="911"/>
      <c r="SCD28" s="915"/>
      <c r="SCE28" s="914"/>
      <c r="SCF28" s="914"/>
      <c r="SCG28" s="914"/>
      <c r="SCH28" s="914"/>
      <c r="SCI28" s="914"/>
      <c r="SCJ28" s="914"/>
      <c r="SCK28" s="914"/>
      <c r="SCL28" s="911"/>
      <c r="SCM28" s="911"/>
      <c r="SCN28" s="911"/>
      <c r="SCO28" s="915"/>
      <c r="SCP28" s="914"/>
      <c r="SCQ28" s="914"/>
      <c r="SCR28" s="914"/>
      <c r="SCS28" s="914"/>
      <c r="SCT28" s="914"/>
      <c r="SCU28" s="914"/>
      <c r="SCV28" s="914"/>
      <c r="SCW28" s="911"/>
      <c r="SCX28" s="911"/>
      <c r="SCY28" s="911"/>
      <c r="SCZ28" s="915"/>
      <c r="SDA28" s="914"/>
      <c r="SDB28" s="914"/>
      <c r="SDC28" s="914"/>
      <c r="SDD28" s="914"/>
      <c r="SDE28" s="914"/>
      <c r="SDF28" s="914"/>
      <c r="SDG28" s="914"/>
      <c r="SDH28" s="911"/>
      <c r="SDI28" s="911"/>
      <c r="SDJ28" s="911"/>
      <c r="SDK28" s="915"/>
      <c r="SDL28" s="914"/>
      <c r="SDM28" s="914"/>
      <c r="SDN28" s="914"/>
      <c r="SDO28" s="914"/>
      <c r="SDP28" s="914"/>
      <c r="SDQ28" s="914"/>
      <c r="SDR28" s="914"/>
      <c r="SDS28" s="911"/>
      <c r="SDT28" s="911"/>
      <c r="SDU28" s="911"/>
      <c r="SDV28" s="915"/>
      <c r="SDW28" s="914"/>
      <c r="SDX28" s="914"/>
      <c r="SDY28" s="914"/>
      <c r="SDZ28" s="914"/>
      <c r="SEA28" s="914"/>
      <c r="SEB28" s="914"/>
      <c r="SEC28" s="914"/>
      <c r="SED28" s="911"/>
      <c r="SEE28" s="911"/>
      <c r="SEF28" s="911"/>
      <c r="SEG28" s="915"/>
      <c r="SEH28" s="914"/>
      <c r="SEI28" s="914"/>
      <c r="SEJ28" s="914"/>
      <c r="SEK28" s="914"/>
      <c r="SEL28" s="914"/>
      <c r="SEM28" s="914"/>
      <c r="SEN28" s="914"/>
      <c r="SEO28" s="911"/>
      <c r="SEP28" s="911"/>
      <c r="SEQ28" s="911"/>
      <c r="SER28" s="915"/>
      <c r="SES28" s="914"/>
      <c r="SET28" s="914"/>
      <c r="SEU28" s="914"/>
      <c r="SEV28" s="914"/>
      <c r="SEW28" s="914"/>
      <c r="SEX28" s="914"/>
      <c r="SEY28" s="914"/>
      <c r="SEZ28" s="911"/>
      <c r="SFA28" s="911"/>
      <c r="SFB28" s="911"/>
      <c r="SFC28" s="915"/>
      <c r="SFD28" s="914"/>
      <c r="SFE28" s="914"/>
      <c r="SFF28" s="914"/>
      <c r="SFG28" s="914"/>
      <c r="SFH28" s="914"/>
      <c r="SFI28" s="914"/>
      <c r="SFJ28" s="914"/>
      <c r="SFK28" s="911"/>
      <c r="SFL28" s="911"/>
      <c r="SFM28" s="911"/>
      <c r="SFN28" s="915"/>
      <c r="SFO28" s="914"/>
      <c r="SFP28" s="914"/>
      <c r="SFQ28" s="914"/>
      <c r="SFR28" s="914"/>
      <c r="SFS28" s="914"/>
      <c r="SFT28" s="914"/>
      <c r="SFU28" s="914"/>
      <c r="SFV28" s="911"/>
      <c r="SFW28" s="911"/>
      <c r="SFX28" s="911"/>
      <c r="SFY28" s="915"/>
      <c r="SFZ28" s="914"/>
      <c r="SGA28" s="914"/>
      <c r="SGB28" s="914"/>
      <c r="SGC28" s="914"/>
      <c r="SGD28" s="914"/>
      <c r="SGE28" s="914"/>
      <c r="SGF28" s="914"/>
      <c r="SGG28" s="911"/>
      <c r="SGH28" s="911"/>
      <c r="SGI28" s="911"/>
      <c r="SGJ28" s="915"/>
      <c r="SGK28" s="914"/>
      <c r="SGL28" s="914"/>
      <c r="SGM28" s="914"/>
      <c r="SGN28" s="914"/>
      <c r="SGO28" s="914"/>
      <c r="SGP28" s="914"/>
      <c r="SGQ28" s="914"/>
      <c r="SGR28" s="911"/>
      <c r="SGS28" s="911"/>
      <c r="SGT28" s="911"/>
      <c r="SGU28" s="915"/>
      <c r="SGV28" s="914"/>
      <c r="SGW28" s="914"/>
      <c r="SGX28" s="914"/>
      <c r="SGY28" s="914"/>
      <c r="SGZ28" s="914"/>
      <c r="SHA28" s="914"/>
      <c r="SHB28" s="914"/>
      <c r="SHC28" s="911"/>
      <c r="SHD28" s="911"/>
      <c r="SHE28" s="911"/>
      <c r="SHF28" s="915"/>
      <c r="SHG28" s="914"/>
      <c r="SHH28" s="914"/>
      <c r="SHI28" s="914"/>
      <c r="SHJ28" s="914"/>
      <c r="SHK28" s="914"/>
      <c r="SHL28" s="914"/>
      <c r="SHM28" s="914"/>
      <c r="SHN28" s="911"/>
      <c r="SHO28" s="911"/>
      <c r="SHP28" s="911"/>
      <c r="SHQ28" s="915"/>
      <c r="SHR28" s="914"/>
      <c r="SHS28" s="914"/>
      <c r="SHT28" s="914"/>
      <c r="SHU28" s="914"/>
      <c r="SHV28" s="914"/>
      <c r="SHW28" s="914"/>
      <c r="SHX28" s="914"/>
      <c r="SHY28" s="911"/>
      <c r="SHZ28" s="911"/>
      <c r="SIA28" s="911"/>
      <c r="SIB28" s="915"/>
      <c r="SIC28" s="914"/>
      <c r="SID28" s="914"/>
      <c r="SIE28" s="914"/>
      <c r="SIF28" s="914"/>
      <c r="SIG28" s="914"/>
      <c r="SIH28" s="914"/>
      <c r="SII28" s="914"/>
      <c r="SIJ28" s="911"/>
      <c r="SIK28" s="911"/>
      <c r="SIL28" s="911"/>
      <c r="SIM28" s="915"/>
      <c r="SIN28" s="914"/>
      <c r="SIO28" s="914"/>
      <c r="SIP28" s="914"/>
      <c r="SIQ28" s="914"/>
      <c r="SIR28" s="914"/>
      <c r="SIS28" s="914"/>
      <c r="SIT28" s="914"/>
      <c r="SIU28" s="911"/>
      <c r="SIV28" s="911"/>
      <c r="SIW28" s="911"/>
      <c r="SIX28" s="915"/>
      <c r="SIY28" s="914"/>
      <c r="SIZ28" s="914"/>
      <c r="SJA28" s="914"/>
      <c r="SJB28" s="914"/>
      <c r="SJC28" s="914"/>
      <c r="SJD28" s="914"/>
      <c r="SJE28" s="914"/>
      <c r="SJF28" s="911"/>
      <c r="SJG28" s="911"/>
      <c r="SJH28" s="911"/>
      <c r="SJI28" s="915"/>
      <c r="SJJ28" s="914"/>
      <c r="SJK28" s="914"/>
      <c r="SJL28" s="914"/>
      <c r="SJM28" s="914"/>
      <c r="SJN28" s="914"/>
      <c r="SJO28" s="914"/>
      <c r="SJP28" s="914"/>
      <c r="SJQ28" s="911"/>
      <c r="SJR28" s="911"/>
      <c r="SJS28" s="911"/>
      <c r="SJT28" s="915"/>
      <c r="SJU28" s="914"/>
      <c r="SJV28" s="914"/>
      <c r="SJW28" s="914"/>
      <c r="SJX28" s="914"/>
      <c r="SJY28" s="914"/>
      <c r="SJZ28" s="914"/>
      <c r="SKA28" s="914"/>
      <c r="SKB28" s="911"/>
      <c r="SKC28" s="911"/>
      <c r="SKD28" s="911"/>
      <c r="SKE28" s="915"/>
      <c r="SKF28" s="914"/>
      <c r="SKG28" s="914"/>
      <c r="SKH28" s="914"/>
      <c r="SKI28" s="914"/>
      <c r="SKJ28" s="914"/>
      <c r="SKK28" s="914"/>
      <c r="SKL28" s="914"/>
      <c r="SKM28" s="911"/>
      <c r="SKN28" s="911"/>
      <c r="SKO28" s="911"/>
      <c r="SKP28" s="915"/>
      <c r="SKQ28" s="914"/>
      <c r="SKR28" s="914"/>
      <c r="SKS28" s="914"/>
      <c r="SKT28" s="914"/>
      <c r="SKU28" s="914"/>
      <c r="SKV28" s="914"/>
      <c r="SKW28" s="914"/>
      <c r="SKX28" s="911"/>
      <c r="SKY28" s="911"/>
      <c r="SKZ28" s="911"/>
      <c r="SLA28" s="915"/>
      <c r="SLB28" s="914"/>
      <c r="SLC28" s="914"/>
      <c r="SLD28" s="914"/>
      <c r="SLE28" s="914"/>
      <c r="SLF28" s="914"/>
      <c r="SLG28" s="914"/>
      <c r="SLH28" s="914"/>
      <c r="SLI28" s="911"/>
      <c r="SLJ28" s="911"/>
      <c r="SLK28" s="911"/>
      <c r="SLL28" s="915"/>
      <c r="SLM28" s="914"/>
      <c r="SLN28" s="914"/>
      <c r="SLO28" s="914"/>
      <c r="SLP28" s="914"/>
      <c r="SLQ28" s="914"/>
      <c r="SLR28" s="914"/>
      <c r="SLS28" s="914"/>
      <c r="SLT28" s="911"/>
      <c r="SLU28" s="911"/>
      <c r="SLV28" s="911"/>
      <c r="SLW28" s="915"/>
      <c r="SLX28" s="914"/>
      <c r="SLY28" s="914"/>
      <c r="SLZ28" s="914"/>
      <c r="SMA28" s="914"/>
      <c r="SMB28" s="914"/>
      <c r="SMC28" s="914"/>
      <c r="SMD28" s="914"/>
      <c r="SME28" s="911"/>
      <c r="SMF28" s="911"/>
      <c r="SMG28" s="911"/>
      <c r="SMH28" s="915"/>
      <c r="SMI28" s="914"/>
      <c r="SMJ28" s="914"/>
      <c r="SMK28" s="914"/>
      <c r="SML28" s="914"/>
      <c r="SMM28" s="914"/>
      <c r="SMN28" s="914"/>
      <c r="SMO28" s="914"/>
      <c r="SMP28" s="911"/>
      <c r="SMQ28" s="911"/>
      <c r="SMR28" s="911"/>
      <c r="SMS28" s="915"/>
      <c r="SMT28" s="914"/>
      <c r="SMU28" s="914"/>
      <c r="SMV28" s="914"/>
      <c r="SMW28" s="914"/>
      <c r="SMX28" s="914"/>
      <c r="SMY28" s="914"/>
      <c r="SMZ28" s="914"/>
      <c r="SNA28" s="911"/>
      <c r="SNB28" s="911"/>
      <c r="SNC28" s="911"/>
      <c r="SND28" s="915"/>
      <c r="SNE28" s="914"/>
      <c r="SNF28" s="914"/>
      <c r="SNG28" s="914"/>
      <c r="SNH28" s="914"/>
      <c r="SNI28" s="914"/>
      <c r="SNJ28" s="914"/>
      <c r="SNK28" s="914"/>
      <c r="SNL28" s="911"/>
      <c r="SNM28" s="911"/>
      <c r="SNN28" s="911"/>
      <c r="SNO28" s="915"/>
      <c r="SNP28" s="914"/>
      <c r="SNQ28" s="914"/>
      <c r="SNR28" s="914"/>
      <c r="SNS28" s="914"/>
      <c r="SNT28" s="914"/>
      <c r="SNU28" s="914"/>
      <c r="SNV28" s="914"/>
      <c r="SNW28" s="911"/>
      <c r="SNX28" s="911"/>
      <c r="SNY28" s="911"/>
      <c r="SNZ28" s="915"/>
      <c r="SOA28" s="914"/>
      <c r="SOB28" s="914"/>
      <c r="SOC28" s="914"/>
      <c r="SOD28" s="914"/>
      <c r="SOE28" s="914"/>
      <c r="SOF28" s="914"/>
      <c r="SOG28" s="914"/>
      <c r="SOH28" s="911"/>
      <c r="SOI28" s="911"/>
      <c r="SOJ28" s="911"/>
      <c r="SOK28" s="915"/>
      <c r="SOL28" s="914"/>
      <c r="SOM28" s="914"/>
      <c r="SON28" s="914"/>
      <c r="SOO28" s="914"/>
      <c r="SOP28" s="914"/>
      <c r="SOQ28" s="914"/>
      <c r="SOR28" s="914"/>
      <c r="SOS28" s="911"/>
      <c r="SOT28" s="911"/>
      <c r="SOU28" s="911"/>
      <c r="SOV28" s="915"/>
      <c r="SOW28" s="914"/>
      <c r="SOX28" s="914"/>
      <c r="SOY28" s="914"/>
      <c r="SOZ28" s="914"/>
      <c r="SPA28" s="914"/>
      <c r="SPB28" s="914"/>
      <c r="SPC28" s="914"/>
      <c r="SPD28" s="911"/>
      <c r="SPE28" s="911"/>
      <c r="SPF28" s="911"/>
      <c r="SPG28" s="915"/>
      <c r="SPH28" s="914"/>
      <c r="SPI28" s="914"/>
      <c r="SPJ28" s="914"/>
      <c r="SPK28" s="914"/>
      <c r="SPL28" s="914"/>
      <c r="SPM28" s="914"/>
      <c r="SPN28" s="914"/>
      <c r="SPO28" s="911"/>
      <c r="SPP28" s="911"/>
      <c r="SPQ28" s="911"/>
      <c r="SPR28" s="915"/>
      <c r="SPS28" s="914"/>
      <c r="SPT28" s="914"/>
      <c r="SPU28" s="914"/>
      <c r="SPV28" s="914"/>
      <c r="SPW28" s="914"/>
      <c r="SPX28" s="914"/>
      <c r="SPY28" s="914"/>
      <c r="SPZ28" s="911"/>
      <c r="SQA28" s="911"/>
      <c r="SQB28" s="911"/>
      <c r="SQC28" s="915"/>
      <c r="SQD28" s="914"/>
      <c r="SQE28" s="914"/>
      <c r="SQF28" s="914"/>
      <c r="SQG28" s="914"/>
      <c r="SQH28" s="914"/>
      <c r="SQI28" s="914"/>
      <c r="SQJ28" s="914"/>
      <c r="SQK28" s="911"/>
      <c r="SQL28" s="911"/>
      <c r="SQM28" s="911"/>
      <c r="SQN28" s="915"/>
      <c r="SQO28" s="914"/>
      <c r="SQP28" s="914"/>
      <c r="SQQ28" s="914"/>
      <c r="SQR28" s="914"/>
      <c r="SQS28" s="914"/>
      <c r="SQT28" s="914"/>
      <c r="SQU28" s="914"/>
      <c r="SQV28" s="911"/>
      <c r="SQW28" s="911"/>
      <c r="SQX28" s="911"/>
      <c r="SQY28" s="915"/>
      <c r="SQZ28" s="914"/>
      <c r="SRA28" s="914"/>
      <c r="SRB28" s="914"/>
      <c r="SRC28" s="914"/>
      <c r="SRD28" s="914"/>
      <c r="SRE28" s="914"/>
      <c r="SRF28" s="914"/>
      <c r="SRG28" s="911"/>
      <c r="SRH28" s="911"/>
      <c r="SRI28" s="911"/>
      <c r="SRJ28" s="915"/>
      <c r="SRK28" s="914"/>
      <c r="SRL28" s="914"/>
      <c r="SRM28" s="914"/>
      <c r="SRN28" s="914"/>
      <c r="SRO28" s="914"/>
      <c r="SRP28" s="914"/>
      <c r="SRQ28" s="914"/>
      <c r="SRR28" s="911"/>
      <c r="SRS28" s="911"/>
      <c r="SRT28" s="911"/>
      <c r="SRU28" s="915"/>
      <c r="SRV28" s="914"/>
      <c r="SRW28" s="914"/>
      <c r="SRX28" s="914"/>
      <c r="SRY28" s="914"/>
      <c r="SRZ28" s="914"/>
      <c r="SSA28" s="914"/>
      <c r="SSB28" s="914"/>
      <c r="SSC28" s="911"/>
      <c r="SSD28" s="911"/>
      <c r="SSE28" s="911"/>
      <c r="SSF28" s="915"/>
      <c r="SSG28" s="914"/>
      <c r="SSH28" s="914"/>
      <c r="SSI28" s="914"/>
      <c r="SSJ28" s="914"/>
      <c r="SSK28" s="914"/>
      <c r="SSL28" s="914"/>
      <c r="SSM28" s="914"/>
      <c r="SSN28" s="911"/>
      <c r="SSO28" s="911"/>
      <c r="SSP28" s="911"/>
      <c r="SSQ28" s="915"/>
      <c r="SSR28" s="914"/>
      <c r="SSS28" s="914"/>
      <c r="SST28" s="914"/>
      <c r="SSU28" s="914"/>
      <c r="SSV28" s="914"/>
      <c r="SSW28" s="914"/>
      <c r="SSX28" s="914"/>
      <c r="SSY28" s="911"/>
      <c r="SSZ28" s="911"/>
      <c r="STA28" s="911"/>
      <c r="STB28" s="915"/>
      <c r="STC28" s="914"/>
      <c r="STD28" s="914"/>
      <c r="STE28" s="914"/>
      <c r="STF28" s="914"/>
      <c r="STG28" s="914"/>
      <c r="STH28" s="914"/>
      <c r="STI28" s="914"/>
      <c r="STJ28" s="911"/>
      <c r="STK28" s="911"/>
      <c r="STL28" s="911"/>
      <c r="STM28" s="915"/>
      <c r="STN28" s="914"/>
      <c r="STO28" s="914"/>
      <c r="STP28" s="914"/>
      <c r="STQ28" s="914"/>
      <c r="STR28" s="914"/>
      <c r="STS28" s="914"/>
      <c r="STT28" s="914"/>
      <c r="STU28" s="911"/>
      <c r="STV28" s="911"/>
      <c r="STW28" s="911"/>
      <c r="STX28" s="915"/>
      <c r="STY28" s="914"/>
      <c r="STZ28" s="914"/>
      <c r="SUA28" s="914"/>
      <c r="SUB28" s="914"/>
      <c r="SUC28" s="914"/>
      <c r="SUD28" s="914"/>
      <c r="SUE28" s="914"/>
      <c r="SUF28" s="911"/>
      <c r="SUG28" s="911"/>
      <c r="SUH28" s="911"/>
      <c r="SUI28" s="915"/>
      <c r="SUJ28" s="914"/>
      <c r="SUK28" s="914"/>
      <c r="SUL28" s="914"/>
      <c r="SUM28" s="914"/>
      <c r="SUN28" s="914"/>
      <c r="SUO28" s="914"/>
      <c r="SUP28" s="914"/>
      <c r="SUQ28" s="911"/>
      <c r="SUR28" s="911"/>
      <c r="SUS28" s="911"/>
      <c r="SUT28" s="915"/>
      <c r="SUU28" s="914"/>
      <c r="SUV28" s="914"/>
      <c r="SUW28" s="914"/>
      <c r="SUX28" s="914"/>
      <c r="SUY28" s="914"/>
      <c r="SUZ28" s="914"/>
      <c r="SVA28" s="914"/>
      <c r="SVB28" s="911"/>
      <c r="SVC28" s="911"/>
      <c r="SVD28" s="911"/>
      <c r="SVE28" s="915"/>
      <c r="SVF28" s="914"/>
      <c r="SVG28" s="914"/>
      <c r="SVH28" s="914"/>
      <c r="SVI28" s="914"/>
      <c r="SVJ28" s="914"/>
      <c r="SVK28" s="914"/>
      <c r="SVL28" s="914"/>
      <c r="SVM28" s="911"/>
      <c r="SVN28" s="911"/>
      <c r="SVO28" s="911"/>
      <c r="SVP28" s="915"/>
      <c r="SVQ28" s="914"/>
      <c r="SVR28" s="914"/>
      <c r="SVS28" s="914"/>
      <c r="SVT28" s="914"/>
      <c r="SVU28" s="914"/>
      <c r="SVV28" s="914"/>
      <c r="SVW28" s="914"/>
      <c r="SVX28" s="911"/>
      <c r="SVY28" s="911"/>
      <c r="SVZ28" s="911"/>
      <c r="SWA28" s="915"/>
      <c r="SWB28" s="914"/>
      <c r="SWC28" s="914"/>
      <c r="SWD28" s="914"/>
      <c r="SWE28" s="914"/>
      <c r="SWF28" s="914"/>
      <c r="SWG28" s="914"/>
      <c r="SWH28" s="914"/>
      <c r="SWI28" s="911"/>
      <c r="SWJ28" s="911"/>
      <c r="SWK28" s="911"/>
      <c r="SWL28" s="915"/>
      <c r="SWM28" s="914"/>
      <c r="SWN28" s="914"/>
      <c r="SWO28" s="914"/>
      <c r="SWP28" s="914"/>
      <c r="SWQ28" s="914"/>
      <c r="SWR28" s="914"/>
      <c r="SWS28" s="914"/>
      <c r="SWT28" s="911"/>
      <c r="SWU28" s="911"/>
      <c r="SWV28" s="911"/>
      <c r="SWW28" s="915"/>
      <c r="SWX28" s="914"/>
      <c r="SWY28" s="914"/>
      <c r="SWZ28" s="914"/>
      <c r="SXA28" s="914"/>
      <c r="SXB28" s="914"/>
      <c r="SXC28" s="914"/>
      <c r="SXD28" s="914"/>
      <c r="SXE28" s="911"/>
      <c r="SXF28" s="911"/>
      <c r="SXG28" s="911"/>
      <c r="SXH28" s="915"/>
      <c r="SXI28" s="914"/>
      <c r="SXJ28" s="914"/>
      <c r="SXK28" s="914"/>
      <c r="SXL28" s="914"/>
      <c r="SXM28" s="914"/>
      <c r="SXN28" s="914"/>
      <c r="SXO28" s="914"/>
      <c r="SXP28" s="911"/>
      <c r="SXQ28" s="911"/>
      <c r="SXR28" s="911"/>
      <c r="SXS28" s="915"/>
      <c r="SXT28" s="914"/>
      <c r="SXU28" s="914"/>
      <c r="SXV28" s="914"/>
      <c r="SXW28" s="914"/>
      <c r="SXX28" s="914"/>
      <c r="SXY28" s="914"/>
      <c r="SXZ28" s="914"/>
      <c r="SYA28" s="911"/>
      <c r="SYB28" s="911"/>
      <c r="SYC28" s="911"/>
      <c r="SYD28" s="915"/>
      <c r="SYE28" s="914"/>
      <c r="SYF28" s="914"/>
      <c r="SYG28" s="914"/>
      <c r="SYH28" s="914"/>
      <c r="SYI28" s="914"/>
      <c r="SYJ28" s="914"/>
      <c r="SYK28" s="914"/>
      <c r="SYL28" s="911"/>
      <c r="SYM28" s="911"/>
      <c r="SYN28" s="911"/>
      <c r="SYO28" s="915"/>
      <c r="SYP28" s="914"/>
      <c r="SYQ28" s="914"/>
      <c r="SYR28" s="914"/>
      <c r="SYS28" s="914"/>
      <c r="SYT28" s="914"/>
      <c r="SYU28" s="914"/>
      <c r="SYV28" s="914"/>
      <c r="SYW28" s="911"/>
      <c r="SYX28" s="911"/>
      <c r="SYY28" s="911"/>
      <c r="SYZ28" s="915"/>
      <c r="SZA28" s="914"/>
      <c r="SZB28" s="914"/>
      <c r="SZC28" s="914"/>
      <c r="SZD28" s="914"/>
      <c r="SZE28" s="914"/>
      <c r="SZF28" s="914"/>
      <c r="SZG28" s="914"/>
      <c r="SZH28" s="911"/>
      <c r="SZI28" s="911"/>
      <c r="SZJ28" s="911"/>
      <c r="SZK28" s="915"/>
      <c r="SZL28" s="914"/>
      <c r="SZM28" s="914"/>
      <c r="SZN28" s="914"/>
      <c r="SZO28" s="914"/>
      <c r="SZP28" s="914"/>
      <c r="SZQ28" s="914"/>
      <c r="SZR28" s="914"/>
      <c r="SZS28" s="911"/>
      <c r="SZT28" s="911"/>
      <c r="SZU28" s="911"/>
      <c r="SZV28" s="915"/>
      <c r="SZW28" s="914"/>
      <c r="SZX28" s="914"/>
      <c r="SZY28" s="914"/>
      <c r="SZZ28" s="914"/>
      <c r="TAA28" s="914"/>
      <c r="TAB28" s="914"/>
      <c r="TAC28" s="914"/>
      <c r="TAD28" s="911"/>
      <c r="TAE28" s="911"/>
      <c r="TAF28" s="911"/>
      <c r="TAG28" s="915"/>
      <c r="TAH28" s="914"/>
      <c r="TAI28" s="914"/>
      <c r="TAJ28" s="914"/>
      <c r="TAK28" s="914"/>
      <c r="TAL28" s="914"/>
      <c r="TAM28" s="914"/>
      <c r="TAN28" s="914"/>
      <c r="TAO28" s="911"/>
      <c r="TAP28" s="911"/>
      <c r="TAQ28" s="911"/>
      <c r="TAR28" s="915"/>
      <c r="TAS28" s="914"/>
      <c r="TAT28" s="914"/>
      <c r="TAU28" s="914"/>
      <c r="TAV28" s="914"/>
      <c r="TAW28" s="914"/>
      <c r="TAX28" s="914"/>
      <c r="TAY28" s="914"/>
      <c r="TAZ28" s="911"/>
      <c r="TBA28" s="911"/>
      <c r="TBB28" s="911"/>
      <c r="TBC28" s="915"/>
      <c r="TBD28" s="914"/>
      <c r="TBE28" s="914"/>
      <c r="TBF28" s="914"/>
      <c r="TBG28" s="914"/>
      <c r="TBH28" s="914"/>
      <c r="TBI28" s="914"/>
      <c r="TBJ28" s="914"/>
      <c r="TBK28" s="911"/>
      <c r="TBL28" s="911"/>
      <c r="TBM28" s="911"/>
      <c r="TBN28" s="915"/>
      <c r="TBO28" s="914"/>
      <c r="TBP28" s="914"/>
      <c r="TBQ28" s="914"/>
      <c r="TBR28" s="914"/>
      <c r="TBS28" s="914"/>
      <c r="TBT28" s="914"/>
      <c r="TBU28" s="914"/>
      <c r="TBV28" s="911"/>
      <c r="TBW28" s="911"/>
      <c r="TBX28" s="911"/>
      <c r="TBY28" s="915"/>
      <c r="TBZ28" s="914"/>
      <c r="TCA28" s="914"/>
      <c r="TCB28" s="914"/>
      <c r="TCC28" s="914"/>
      <c r="TCD28" s="914"/>
      <c r="TCE28" s="914"/>
      <c r="TCF28" s="914"/>
      <c r="TCG28" s="911"/>
      <c r="TCH28" s="911"/>
      <c r="TCI28" s="911"/>
      <c r="TCJ28" s="915"/>
      <c r="TCK28" s="914"/>
      <c r="TCL28" s="914"/>
      <c r="TCM28" s="914"/>
      <c r="TCN28" s="914"/>
      <c r="TCO28" s="914"/>
      <c r="TCP28" s="914"/>
      <c r="TCQ28" s="914"/>
      <c r="TCR28" s="911"/>
      <c r="TCS28" s="911"/>
      <c r="TCT28" s="911"/>
      <c r="TCU28" s="915"/>
      <c r="TCV28" s="914"/>
      <c r="TCW28" s="914"/>
      <c r="TCX28" s="914"/>
      <c r="TCY28" s="914"/>
      <c r="TCZ28" s="914"/>
      <c r="TDA28" s="914"/>
      <c r="TDB28" s="914"/>
      <c r="TDC28" s="911"/>
      <c r="TDD28" s="911"/>
      <c r="TDE28" s="911"/>
      <c r="TDF28" s="915"/>
      <c r="TDG28" s="914"/>
      <c r="TDH28" s="914"/>
      <c r="TDI28" s="914"/>
      <c r="TDJ28" s="914"/>
      <c r="TDK28" s="914"/>
      <c r="TDL28" s="914"/>
      <c r="TDM28" s="914"/>
      <c r="TDN28" s="911"/>
      <c r="TDO28" s="911"/>
      <c r="TDP28" s="911"/>
      <c r="TDQ28" s="915"/>
      <c r="TDR28" s="914"/>
      <c r="TDS28" s="914"/>
      <c r="TDT28" s="914"/>
      <c r="TDU28" s="914"/>
      <c r="TDV28" s="914"/>
      <c r="TDW28" s="914"/>
      <c r="TDX28" s="914"/>
      <c r="TDY28" s="911"/>
      <c r="TDZ28" s="911"/>
      <c r="TEA28" s="911"/>
      <c r="TEB28" s="915"/>
      <c r="TEC28" s="914"/>
      <c r="TED28" s="914"/>
      <c r="TEE28" s="914"/>
      <c r="TEF28" s="914"/>
      <c r="TEG28" s="914"/>
      <c r="TEH28" s="914"/>
      <c r="TEI28" s="914"/>
      <c r="TEJ28" s="911"/>
      <c r="TEK28" s="911"/>
      <c r="TEL28" s="911"/>
      <c r="TEM28" s="915"/>
      <c r="TEN28" s="914"/>
      <c r="TEO28" s="914"/>
      <c r="TEP28" s="914"/>
      <c r="TEQ28" s="914"/>
      <c r="TER28" s="914"/>
      <c r="TES28" s="914"/>
      <c r="TET28" s="914"/>
      <c r="TEU28" s="911"/>
      <c r="TEV28" s="911"/>
      <c r="TEW28" s="911"/>
      <c r="TEX28" s="915"/>
      <c r="TEY28" s="914"/>
      <c r="TEZ28" s="914"/>
      <c r="TFA28" s="914"/>
      <c r="TFB28" s="914"/>
      <c r="TFC28" s="914"/>
      <c r="TFD28" s="914"/>
      <c r="TFE28" s="914"/>
      <c r="TFF28" s="911"/>
      <c r="TFG28" s="911"/>
      <c r="TFH28" s="911"/>
      <c r="TFI28" s="915"/>
      <c r="TFJ28" s="914"/>
      <c r="TFK28" s="914"/>
      <c r="TFL28" s="914"/>
      <c r="TFM28" s="914"/>
      <c r="TFN28" s="914"/>
      <c r="TFO28" s="914"/>
      <c r="TFP28" s="914"/>
      <c r="TFQ28" s="911"/>
      <c r="TFR28" s="911"/>
      <c r="TFS28" s="911"/>
      <c r="TFT28" s="915"/>
      <c r="TFU28" s="914"/>
      <c r="TFV28" s="914"/>
      <c r="TFW28" s="914"/>
      <c r="TFX28" s="914"/>
      <c r="TFY28" s="914"/>
      <c r="TFZ28" s="914"/>
      <c r="TGA28" s="914"/>
      <c r="TGB28" s="911"/>
      <c r="TGC28" s="911"/>
      <c r="TGD28" s="911"/>
      <c r="TGE28" s="915"/>
      <c r="TGF28" s="914"/>
      <c r="TGG28" s="914"/>
      <c r="TGH28" s="914"/>
      <c r="TGI28" s="914"/>
      <c r="TGJ28" s="914"/>
      <c r="TGK28" s="914"/>
      <c r="TGL28" s="914"/>
      <c r="TGM28" s="911"/>
      <c r="TGN28" s="911"/>
      <c r="TGO28" s="911"/>
      <c r="TGP28" s="915"/>
      <c r="TGQ28" s="914"/>
      <c r="TGR28" s="914"/>
      <c r="TGS28" s="914"/>
      <c r="TGT28" s="914"/>
      <c r="TGU28" s="914"/>
      <c r="TGV28" s="914"/>
      <c r="TGW28" s="914"/>
      <c r="TGX28" s="911"/>
      <c r="TGY28" s="911"/>
      <c r="TGZ28" s="911"/>
      <c r="THA28" s="915"/>
      <c r="THB28" s="914"/>
      <c r="THC28" s="914"/>
      <c r="THD28" s="914"/>
      <c r="THE28" s="914"/>
      <c r="THF28" s="914"/>
      <c r="THG28" s="914"/>
      <c r="THH28" s="914"/>
      <c r="THI28" s="911"/>
      <c r="THJ28" s="911"/>
      <c r="THK28" s="911"/>
      <c r="THL28" s="915"/>
      <c r="THM28" s="914"/>
      <c r="THN28" s="914"/>
      <c r="THO28" s="914"/>
      <c r="THP28" s="914"/>
      <c r="THQ28" s="914"/>
      <c r="THR28" s="914"/>
      <c r="THS28" s="914"/>
      <c r="THT28" s="911"/>
      <c r="THU28" s="911"/>
      <c r="THV28" s="911"/>
      <c r="THW28" s="915"/>
      <c r="THX28" s="914"/>
      <c r="THY28" s="914"/>
      <c r="THZ28" s="914"/>
      <c r="TIA28" s="914"/>
      <c r="TIB28" s="914"/>
      <c r="TIC28" s="914"/>
      <c r="TID28" s="914"/>
      <c r="TIE28" s="911"/>
      <c r="TIF28" s="911"/>
      <c r="TIG28" s="911"/>
      <c r="TIH28" s="915"/>
      <c r="TII28" s="914"/>
      <c r="TIJ28" s="914"/>
      <c r="TIK28" s="914"/>
      <c r="TIL28" s="914"/>
      <c r="TIM28" s="914"/>
      <c r="TIN28" s="914"/>
      <c r="TIO28" s="914"/>
      <c r="TIP28" s="911"/>
      <c r="TIQ28" s="911"/>
      <c r="TIR28" s="911"/>
      <c r="TIS28" s="915"/>
      <c r="TIT28" s="914"/>
      <c r="TIU28" s="914"/>
      <c r="TIV28" s="914"/>
      <c r="TIW28" s="914"/>
      <c r="TIX28" s="914"/>
      <c r="TIY28" s="914"/>
      <c r="TIZ28" s="914"/>
      <c r="TJA28" s="911"/>
      <c r="TJB28" s="911"/>
      <c r="TJC28" s="911"/>
      <c r="TJD28" s="915"/>
      <c r="TJE28" s="914"/>
      <c r="TJF28" s="914"/>
      <c r="TJG28" s="914"/>
      <c r="TJH28" s="914"/>
      <c r="TJI28" s="914"/>
      <c r="TJJ28" s="914"/>
      <c r="TJK28" s="914"/>
      <c r="TJL28" s="911"/>
      <c r="TJM28" s="911"/>
      <c r="TJN28" s="911"/>
      <c r="TJO28" s="915"/>
      <c r="TJP28" s="914"/>
      <c r="TJQ28" s="914"/>
      <c r="TJR28" s="914"/>
      <c r="TJS28" s="914"/>
      <c r="TJT28" s="914"/>
      <c r="TJU28" s="914"/>
      <c r="TJV28" s="914"/>
      <c r="TJW28" s="911"/>
      <c r="TJX28" s="911"/>
      <c r="TJY28" s="911"/>
      <c r="TJZ28" s="915"/>
      <c r="TKA28" s="914"/>
      <c r="TKB28" s="914"/>
      <c r="TKC28" s="914"/>
      <c r="TKD28" s="914"/>
      <c r="TKE28" s="914"/>
      <c r="TKF28" s="914"/>
      <c r="TKG28" s="914"/>
      <c r="TKH28" s="911"/>
      <c r="TKI28" s="911"/>
      <c r="TKJ28" s="911"/>
      <c r="TKK28" s="915"/>
      <c r="TKL28" s="914"/>
      <c r="TKM28" s="914"/>
      <c r="TKN28" s="914"/>
      <c r="TKO28" s="914"/>
      <c r="TKP28" s="914"/>
      <c r="TKQ28" s="914"/>
      <c r="TKR28" s="914"/>
      <c r="TKS28" s="911"/>
      <c r="TKT28" s="911"/>
      <c r="TKU28" s="911"/>
      <c r="TKV28" s="915"/>
      <c r="TKW28" s="914"/>
      <c r="TKX28" s="914"/>
      <c r="TKY28" s="914"/>
      <c r="TKZ28" s="914"/>
      <c r="TLA28" s="914"/>
      <c r="TLB28" s="914"/>
      <c r="TLC28" s="914"/>
      <c r="TLD28" s="911"/>
      <c r="TLE28" s="911"/>
      <c r="TLF28" s="911"/>
      <c r="TLG28" s="915"/>
      <c r="TLH28" s="914"/>
      <c r="TLI28" s="914"/>
      <c r="TLJ28" s="914"/>
      <c r="TLK28" s="914"/>
      <c r="TLL28" s="914"/>
      <c r="TLM28" s="914"/>
      <c r="TLN28" s="914"/>
      <c r="TLO28" s="911"/>
      <c r="TLP28" s="911"/>
      <c r="TLQ28" s="911"/>
      <c r="TLR28" s="915"/>
      <c r="TLS28" s="914"/>
      <c r="TLT28" s="914"/>
      <c r="TLU28" s="914"/>
      <c r="TLV28" s="914"/>
      <c r="TLW28" s="914"/>
      <c r="TLX28" s="914"/>
      <c r="TLY28" s="914"/>
      <c r="TLZ28" s="911"/>
      <c r="TMA28" s="911"/>
      <c r="TMB28" s="911"/>
      <c r="TMC28" s="915"/>
      <c r="TMD28" s="914"/>
      <c r="TME28" s="914"/>
      <c r="TMF28" s="914"/>
      <c r="TMG28" s="914"/>
      <c r="TMH28" s="914"/>
      <c r="TMI28" s="914"/>
      <c r="TMJ28" s="914"/>
      <c r="TMK28" s="911"/>
      <c r="TML28" s="911"/>
      <c r="TMM28" s="911"/>
      <c r="TMN28" s="915"/>
      <c r="TMO28" s="914"/>
      <c r="TMP28" s="914"/>
      <c r="TMQ28" s="914"/>
      <c r="TMR28" s="914"/>
      <c r="TMS28" s="914"/>
      <c r="TMT28" s="914"/>
      <c r="TMU28" s="914"/>
      <c r="TMV28" s="911"/>
      <c r="TMW28" s="911"/>
      <c r="TMX28" s="911"/>
      <c r="TMY28" s="915"/>
      <c r="TMZ28" s="914"/>
      <c r="TNA28" s="914"/>
      <c r="TNB28" s="914"/>
      <c r="TNC28" s="914"/>
      <c r="TND28" s="914"/>
      <c r="TNE28" s="914"/>
      <c r="TNF28" s="914"/>
      <c r="TNG28" s="911"/>
      <c r="TNH28" s="911"/>
      <c r="TNI28" s="911"/>
      <c r="TNJ28" s="915"/>
      <c r="TNK28" s="914"/>
      <c r="TNL28" s="914"/>
      <c r="TNM28" s="914"/>
      <c r="TNN28" s="914"/>
      <c r="TNO28" s="914"/>
      <c r="TNP28" s="914"/>
      <c r="TNQ28" s="914"/>
      <c r="TNR28" s="911"/>
      <c r="TNS28" s="911"/>
      <c r="TNT28" s="911"/>
      <c r="TNU28" s="915"/>
      <c r="TNV28" s="914"/>
      <c r="TNW28" s="914"/>
      <c r="TNX28" s="914"/>
      <c r="TNY28" s="914"/>
      <c r="TNZ28" s="914"/>
      <c r="TOA28" s="914"/>
      <c r="TOB28" s="914"/>
      <c r="TOC28" s="911"/>
      <c r="TOD28" s="911"/>
      <c r="TOE28" s="911"/>
      <c r="TOF28" s="915"/>
      <c r="TOG28" s="914"/>
      <c r="TOH28" s="914"/>
      <c r="TOI28" s="914"/>
      <c r="TOJ28" s="914"/>
      <c r="TOK28" s="914"/>
      <c r="TOL28" s="914"/>
      <c r="TOM28" s="914"/>
      <c r="TON28" s="911"/>
      <c r="TOO28" s="911"/>
      <c r="TOP28" s="911"/>
      <c r="TOQ28" s="915"/>
      <c r="TOR28" s="914"/>
      <c r="TOS28" s="914"/>
      <c r="TOT28" s="914"/>
      <c r="TOU28" s="914"/>
      <c r="TOV28" s="914"/>
      <c r="TOW28" s="914"/>
      <c r="TOX28" s="914"/>
      <c r="TOY28" s="911"/>
      <c r="TOZ28" s="911"/>
      <c r="TPA28" s="911"/>
      <c r="TPB28" s="915"/>
      <c r="TPC28" s="914"/>
      <c r="TPD28" s="914"/>
      <c r="TPE28" s="914"/>
      <c r="TPF28" s="914"/>
      <c r="TPG28" s="914"/>
      <c r="TPH28" s="914"/>
      <c r="TPI28" s="914"/>
      <c r="TPJ28" s="911"/>
      <c r="TPK28" s="911"/>
      <c r="TPL28" s="911"/>
      <c r="TPM28" s="915"/>
      <c r="TPN28" s="914"/>
      <c r="TPO28" s="914"/>
      <c r="TPP28" s="914"/>
      <c r="TPQ28" s="914"/>
      <c r="TPR28" s="914"/>
      <c r="TPS28" s="914"/>
      <c r="TPT28" s="914"/>
      <c r="TPU28" s="911"/>
      <c r="TPV28" s="911"/>
      <c r="TPW28" s="911"/>
      <c r="TPX28" s="915"/>
      <c r="TPY28" s="914"/>
      <c r="TPZ28" s="914"/>
      <c r="TQA28" s="914"/>
      <c r="TQB28" s="914"/>
      <c r="TQC28" s="914"/>
      <c r="TQD28" s="914"/>
      <c r="TQE28" s="914"/>
      <c r="TQF28" s="911"/>
      <c r="TQG28" s="911"/>
      <c r="TQH28" s="911"/>
      <c r="TQI28" s="915"/>
      <c r="TQJ28" s="914"/>
      <c r="TQK28" s="914"/>
      <c r="TQL28" s="914"/>
      <c r="TQM28" s="914"/>
      <c r="TQN28" s="914"/>
      <c r="TQO28" s="914"/>
      <c r="TQP28" s="914"/>
      <c r="TQQ28" s="911"/>
      <c r="TQR28" s="911"/>
      <c r="TQS28" s="911"/>
      <c r="TQT28" s="915"/>
      <c r="TQU28" s="914"/>
      <c r="TQV28" s="914"/>
      <c r="TQW28" s="914"/>
      <c r="TQX28" s="914"/>
      <c r="TQY28" s="914"/>
      <c r="TQZ28" s="914"/>
      <c r="TRA28" s="914"/>
      <c r="TRB28" s="911"/>
      <c r="TRC28" s="911"/>
      <c r="TRD28" s="911"/>
      <c r="TRE28" s="915"/>
      <c r="TRF28" s="914"/>
      <c r="TRG28" s="914"/>
      <c r="TRH28" s="914"/>
      <c r="TRI28" s="914"/>
      <c r="TRJ28" s="914"/>
      <c r="TRK28" s="914"/>
      <c r="TRL28" s="914"/>
      <c r="TRM28" s="911"/>
      <c r="TRN28" s="911"/>
      <c r="TRO28" s="911"/>
      <c r="TRP28" s="915"/>
      <c r="TRQ28" s="914"/>
      <c r="TRR28" s="914"/>
      <c r="TRS28" s="914"/>
      <c r="TRT28" s="914"/>
      <c r="TRU28" s="914"/>
      <c r="TRV28" s="914"/>
      <c r="TRW28" s="914"/>
      <c r="TRX28" s="911"/>
      <c r="TRY28" s="911"/>
      <c r="TRZ28" s="911"/>
      <c r="TSA28" s="915"/>
      <c r="TSB28" s="914"/>
      <c r="TSC28" s="914"/>
      <c r="TSD28" s="914"/>
      <c r="TSE28" s="914"/>
      <c r="TSF28" s="914"/>
      <c r="TSG28" s="914"/>
      <c r="TSH28" s="914"/>
      <c r="TSI28" s="911"/>
      <c r="TSJ28" s="911"/>
      <c r="TSK28" s="911"/>
      <c r="TSL28" s="915"/>
      <c r="TSM28" s="914"/>
      <c r="TSN28" s="914"/>
      <c r="TSO28" s="914"/>
      <c r="TSP28" s="914"/>
      <c r="TSQ28" s="914"/>
      <c r="TSR28" s="914"/>
      <c r="TSS28" s="914"/>
      <c r="TST28" s="911"/>
      <c r="TSU28" s="911"/>
      <c r="TSV28" s="911"/>
      <c r="TSW28" s="915"/>
      <c r="TSX28" s="914"/>
      <c r="TSY28" s="914"/>
      <c r="TSZ28" s="914"/>
      <c r="TTA28" s="914"/>
      <c r="TTB28" s="914"/>
      <c r="TTC28" s="914"/>
      <c r="TTD28" s="914"/>
      <c r="TTE28" s="911"/>
      <c r="TTF28" s="911"/>
      <c r="TTG28" s="911"/>
      <c r="TTH28" s="915"/>
      <c r="TTI28" s="914"/>
      <c r="TTJ28" s="914"/>
      <c r="TTK28" s="914"/>
      <c r="TTL28" s="914"/>
      <c r="TTM28" s="914"/>
      <c r="TTN28" s="914"/>
      <c r="TTO28" s="914"/>
      <c r="TTP28" s="911"/>
      <c r="TTQ28" s="911"/>
      <c r="TTR28" s="911"/>
      <c r="TTS28" s="915"/>
      <c r="TTT28" s="914"/>
      <c r="TTU28" s="914"/>
      <c r="TTV28" s="914"/>
      <c r="TTW28" s="914"/>
      <c r="TTX28" s="914"/>
      <c r="TTY28" s="914"/>
      <c r="TTZ28" s="914"/>
      <c r="TUA28" s="911"/>
      <c r="TUB28" s="911"/>
      <c r="TUC28" s="911"/>
      <c r="TUD28" s="915"/>
      <c r="TUE28" s="914"/>
      <c r="TUF28" s="914"/>
      <c r="TUG28" s="914"/>
      <c r="TUH28" s="914"/>
      <c r="TUI28" s="914"/>
      <c r="TUJ28" s="914"/>
      <c r="TUK28" s="914"/>
      <c r="TUL28" s="911"/>
      <c r="TUM28" s="911"/>
      <c r="TUN28" s="911"/>
      <c r="TUO28" s="915"/>
      <c r="TUP28" s="914"/>
      <c r="TUQ28" s="914"/>
      <c r="TUR28" s="914"/>
      <c r="TUS28" s="914"/>
      <c r="TUT28" s="914"/>
      <c r="TUU28" s="914"/>
      <c r="TUV28" s="914"/>
      <c r="TUW28" s="911"/>
      <c r="TUX28" s="911"/>
      <c r="TUY28" s="911"/>
      <c r="TUZ28" s="915"/>
      <c r="TVA28" s="914"/>
      <c r="TVB28" s="914"/>
      <c r="TVC28" s="914"/>
      <c r="TVD28" s="914"/>
      <c r="TVE28" s="914"/>
      <c r="TVF28" s="914"/>
      <c r="TVG28" s="914"/>
      <c r="TVH28" s="911"/>
      <c r="TVI28" s="911"/>
      <c r="TVJ28" s="911"/>
      <c r="TVK28" s="915"/>
      <c r="TVL28" s="914"/>
      <c r="TVM28" s="914"/>
      <c r="TVN28" s="914"/>
      <c r="TVO28" s="914"/>
      <c r="TVP28" s="914"/>
      <c r="TVQ28" s="914"/>
      <c r="TVR28" s="914"/>
      <c r="TVS28" s="911"/>
      <c r="TVT28" s="911"/>
      <c r="TVU28" s="911"/>
      <c r="TVV28" s="915"/>
      <c r="TVW28" s="914"/>
      <c r="TVX28" s="914"/>
      <c r="TVY28" s="914"/>
      <c r="TVZ28" s="914"/>
      <c r="TWA28" s="914"/>
      <c r="TWB28" s="914"/>
      <c r="TWC28" s="914"/>
      <c r="TWD28" s="911"/>
      <c r="TWE28" s="911"/>
      <c r="TWF28" s="911"/>
      <c r="TWG28" s="915"/>
      <c r="TWH28" s="914"/>
      <c r="TWI28" s="914"/>
      <c r="TWJ28" s="914"/>
      <c r="TWK28" s="914"/>
      <c r="TWL28" s="914"/>
      <c r="TWM28" s="914"/>
      <c r="TWN28" s="914"/>
      <c r="TWO28" s="911"/>
      <c r="TWP28" s="911"/>
      <c r="TWQ28" s="911"/>
      <c r="TWR28" s="915"/>
      <c r="TWS28" s="914"/>
      <c r="TWT28" s="914"/>
      <c r="TWU28" s="914"/>
      <c r="TWV28" s="914"/>
      <c r="TWW28" s="914"/>
      <c r="TWX28" s="914"/>
      <c r="TWY28" s="914"/>
      <c r="TWZ28" s="911"/>
      <c r="TXA28" s="911"/>
      <c r="TXB28" s="911"/>
      <c r="TXC28" s="915"/>
      <c r="TXD28" s="914"/>
      <c r="TXE28" s="914"/>
      <c r="TXF28" s="914"/>
      <c r="TXG28" s="914"/>
      <c r="TXH28" s="914"/>
      <c r="TXI28" s="914"/>
      <c r="TXJ28" s="914"/>
      <c r="TXK28" s="911"/>
      <c r="TXL28" s="911"/>
      <c r="TXM28" s="911"/>
      <c r="TXN28" s="915"/>
      <c r="TXO28" s="914"/>
      <c r="TXP28" s="914"/>
      <c r="TXQ28" s="914"/>
      <c r="TXR28" s="914"/>
      <c r="TXS28" s="914"/>
      <c r="TXT28" s="914"/>
      <c r="TXU28" s="914"/>
      <c r="TXV28" s="911"/>
      <c r="TXW28" s="911"/>
      <c r="TXX28" s="911"/>
      <c r="TXY28" s="915"/>
      <c r="TXZ28" s="914"/>
      <c r="TYA28" s="914"/>
      <c r="TYB28" s="914"/>
      <c r="TYC28" s="914"/>
      <c r="TYD28" s="914"/>
      <c r="TYE28" s="914"/>
      <c r="TYF28" s="914"/>
      <c r="TYG28" s="911"/>
      <c r="TYH28" s="911"/>
      <c r="TYI28" s="911"/>
      <c r="TYJ28" s="915"/>
      <c r="TYK28" s="914"/>
      <c r="TYL28" s="914"/>
      <c r="TYM28" s="914"/>
      <c r="TYN28" s="914"/>
      <c r="TYO28" s="914"/>
      <c r="TYP28" s="914"/>
      <c r="TYQ28" s="914"/>
      <c r="TYR28" s="911"/>
      <c r="TYS28" s="911"/>
      <c r="TYT28" s="911"/>
      <c r="TYU28" s="915"/>
      <c r="TYV28" s="914"/>
      <c r="TYW28" s="914"/>
      <c r="TYX28" s="914"/>
      <c r="TYY28" s="914"/>
      <c r="TYZ28" s="914"/>
      <c r="TZA28" s="914"/>
      <c r="TZB28" s="914"/>
      <c r="TZC28" s="911"/>
      <c r="TZD28" s="911"/>
      <c r="TZE28" s="911"/>
      <c r="TZF28" s="915"/>
      <c r="TZG28" s="914"/>
      <c r="TZH28" s="914"/>
      <c r="TZI28" s="914"/>
      <c r="TZJ28" s="914"/>
      <c r="TZK28" s="914"/>
      <c r="TZL28" s="914"/>
      <c r="TZM28" s="914"/>
      <c r="TZN28" s="911"/>
      <c r="TZO28" s="911"/>
      <c r="TZP28" s="911"/>
      <c r="TZQ28" s="915"/>
      <c r="TZR28" s="914"/>
      <c r="TZS28" s="914"/>
      <c r="TZT28" s="914"/>
      <c r="TZU28" s="914"/>
      <c r="TZV28" s="914"/>
      <c r="TZW28" s="914"/>
      <c r="TZX28" s="914"/>
      <c r="TZY28" s="911"/>
      <c r="TZZ28" s="911"/>
      <c r="UAA28" s="911"/>
      <c r="UAB28" s="915"/>
      <c r="UAC28" s="914"/>
      <c r="UAD28" s="914"/>
      <c r="UAE28" s="914"/>
      <c r="UAF28" s="914"/>
      <c r="UAG28" s="914"/>
      <c r="UAH28" s="914"/>
      <c r="UAI28" s="914"/>
      <c r="UAJ28" s="911"/>
      <c r="UAK28" s="911"/>
      <c r="UAL28" s="911"/>
      <c r="UAM28" s="915"/>
      <c r="UAN28" s="914"/>
      <c r="UAO28" s="914"/>
      <c r="UAP28" s="914"/>
      <c r="UAQ28" s="914"/>
      <c r="UAR28" s="914"/>
      <c r="UAS28" s="914"/>
      <c r="UAT28" s="914"/>
      <c r="UAU28" s="911"/>
      <c r="UAV28" s="911"/>
      <c r="UAW28" s="911"/>
      <c r="UAX28" s="915"/>
      <c r="UAY28" s="914"/>
      <c r="UAZ28" s="914"/>
      <c r="UBA28" s="914"/>
      <c r="UBB28" s="914"/>
      <c r="UBC28" s="914"/>
      <c r="UBD28" s="914"/>
      <c r="UBE28" s="914"/>
      <c r="UBF28" s="911"/>
      <c r="UBG28" s="911"/>
      <c r="UBH28" s="911"/>
      <c r="UBI28" s="915"/>
      <c r="UBJ28" s="914"/>
      <c r="UBK28" s="914"/>
      <c r="UBL28" s="914"/>
      <c r="UBM28" s="914"/>
      <c r="UBN28" s="914"/>
      <c r="UBO28" s="914"/>
      <c r="UBP28" s="914"/>
      <c r="UBQ28" s="911"/>
      <c r="UBR28" s="911"/>
      <c r="UBS28" s="911"/>
      <c r="UBT28" s="915"/>
      <c r="UBU28" s="914"/>
      <c r="UBV28" s="914"/>
      <c r="UBW28" s="914"/>
      <c r="UBX28" s="914"/>
      <c r="UBY28" s="914"/>
      <c r="UBZ28" s="914"/>
      <c r="UCA28" s="914"/>
      <c r="UCB28" s="911"/>
      <c r="UCC28" s="911"/>
      <c r="UCD28" s="911"/>
      <c r="UCE28" s="915"/>
      <c r="UCF28" s="914"/>
      <c r="UCG28" s="914"/>
      <c r="UCH28" s="914"/>
      <c r="UCI28" s="914"/>
      <c r="UCJ28" s="914"/>
      <c r="UCK28" s="914"/>
      <c r="UCL28" s="914"/>
      <c r="UCM28" s="911"/>
      <c r="UCN28" s="911"/>
      <c r="UCO28" s="911"/>
      <c r="UCP28" s="915"/>
      <c r="UCQ28" s="914"/>
      <c r="UCR28" s="914"/>
      <c r="UCS28" s="914"/>
      <c r="UCT28" s="914"/>
      <c r="UCU28" s="914"/>
      <c r="UCV28" s="914"/>
      <c r="UCW28" s="914"/>
      <c r="UCX28" s="911"/>
      <c r="UCY28" s="911"/>
      <c r="UCZ28" s="911"/>
      <c r="UDA28" s="915"/>
      <c r="UDB28" s="914"/>
      <c r="UDC28" s="914"/>
      <c r="UDD28" s="914"/>
      <c r="UDE28" s="914"/>
      <c r="UDF28" s="914"/>
      <c r="UDG28" s="914"/>
      <c r="UDH28" s="914"/>
      <c r="UDI28" s="911"/>
      <c r="UDJ28" s="911"/>
      <c r="UDK28" s="911"/>
      <c r="UDL28" s="915"/>
      <c r="UDM28" s="914"/>
      <c r="UDN28" s="914"/>
      <c r="UDO28" s="914"/>
      <c r="UDP28" s="914"/>
      <c r="UDQ28" s="914"/>
      <c r="UDR28" s="914"/>
      <c r="UDS28" s="914"/>
      <c r="UDT28" s="911"/>
      <c r="UDU28" s="911"/>
      <c r="UDV28" s="911"/>
      <c r="UDW28" s="915"/>
      <c r="UDX28" s="914"/>
      <c r="UDY28" s="914"/>
      <c r="UDZ28" s="914"/>
      <c r="UEA28" s="914"/>
      <c r="UEB28" s="914"/>
      <c r="UEC28" s="914"/>
      <c r="UED28" s="914"/>
      <c r="UEE28" s="911"/>
      <c r="UEF28" s="911"/>
      <c r="UEG28" s="911"/>
      <c r="UEH28" s="915"/>
      <c r="UEI28" s="914"/>
      <c r="UEJ28" s="914"/>
      <c r="UEK28" s="914"/>
      <c r="UEL28" s="914"/>
      <c r="UEM28" s="914"/>
      <c r="UEN28" s="914"/>
      <c r="UEO28" s="914"/>
      <c r="UEP28" s="911"/>
      <c r="UEQ28" s="911"/>
      <c r="UER28" s="911"/>
      <c r="UES28" s="915"/>
      <c r="UET28" s="914"/>
      <c r="UEU28" s="914"/>
      <c r="UEV28" s="914"/>
      <c r="UEW28" s="914"/>
      <c r="UEX28" s="914"/>
      <c r="UEY28" s="914"/>
      <c r="UEZ28" s="914"/>
      <c r="UFA28" s="911"/>
      <c r="UFB28" s="911"/>
      <c r="UFC28" s="911"/>
      <c r="UFD28" s="915"/>
      <c r="UFE28" s="914"/>
      <c r="UFF28" s="914"/>
      <c r="UFG28" s="914"/>
      <c r="UFH28" s="914"/>
      <c r="UFI28" s="914"/>
      <c r="UFJ28" s="914"/>
      <c r="UFK28" s="914"/>
      <c r="UFL28" s="911"/>
      <c r="UFM28" s="911"/>
      <c r="UFN28" s="911"/>
      <c r="UFO28" s="915"/>
      <c r="UFP28" s="914"/>
      <c r="UFQ28" s="914"/>
      <c r="UFR28" s="914"/>
      <c r="UFS28" s="914"/>
      <c r="UFT28" s="914"/>
      <c r="UFU28" s="914"/>
      <c r="UFV28" s="914"/>
      <c r="UFW28" s="911"/>
      <c r="UFX28" s="911"/>
      <c r="UFY28" s="911"/>
      <c r="UFZ28" s="915"/>
      <c r="UGA28" s="914"/>
      <c r="UGB28" s="914"/>
      <c r="UGC28" s="914"/>
      <c r="UGD28" s="914"/>
      <c r="UGE28" s="914"/>
      <c r="UGF28" s="914"/>
      <c r="UGG28" s="914"/>
      <c r="UGH28" s="911"/>
      <c r="UGI28" s="911"/>
      <c r="UGJ28" s="911"/>
      <c r="UGK28" s="915"/>
      <c r="UGL28" s="914"/>
      <c r="UGM28" s="914"/>
      <c r="UGN28" s="914"/>
      <c r="UGO28" s="914"/>
      <c r="UGP28" s="914"/>
      <c r="UGQ28" s="914"/>
      <c r="UGR28" s="914"/>
      <c r="UGS28" s="911"/>
      <c r="UGT28" s="911"/>
      <c r="UGU28" s="911"/>
      <c r="UGV28" s="915"/>
      <c r="UGW28" s="914"/>
      <c r="UGX28" s="914"/>
      <c r="UGY28" s="914"/>
      <c r="UGZ28" s="914"/>
      <c r="UHA28" s="914"/>
      <c r="UHB28" s="914"/>
      <c r="UHC28" s="914"/>
      <c r="UHD28" s="911"/>
      <c r="UHE28" s="911"/>
      <c r="UHF28" s="911"/>
      <c r="UHG28" s="915"/>
      <c r="UHH28" s="914"/>
      <c r="UHI28" s="914"/>
      <c r="UHJ28" s="914"/>
      <c r="UHK28" s="914"/>
      <c r="UHL28" s="914"/>
      <c r="UHM28" s="914"/>
      <c r="UHN28" s="914"/>
      <c r="UHO28" s="911"/>
      <c r="UHP28" s="911"/>
      <c r="UHQ28" s="911"/>
      <c r="UHR28" s="915"/>
      <c r="UHS28" s="914"/>
      <c r="UHT28" s="914"/>
      <c r="UHU28" s="914"/>
      <c r="UHV28" s="914"/>
      <c r="UHW28" s="914"/>
      <c r="UHX28" s="914"/>
      <c r="UHY28" s="914"/>
      <c r="UHZ28" s="911"/>
      <c r="UIA28" s="911"/>
      <c r="UIB28" s="911"/>
      <c r="UIC28" s="915"/>
      <c r="UID28" s="914"/>
      <c r="UIE28" s="914"/>
      <c r="UIF28" s="914"/>
      <c r="UIG28" s="914"/>
      <c r="UIH28" s="914"/>
      <c r="UII28" s="914"/>
      <c r="UIJ28" s="914"/>
      <c r="UIK28" s="911"/>
      <c r="UIL28" s="911"/>
      <c r="UIM28" s="911"/>
      <c r="UIN28" s="915"/>
      <c r="UIO28" s="914"/>
      <c r="UIP28" s="914"/>
      <c r="UIQ28" s="914"/>
      <c r="UIR28" s="914"/>
      <c r="UIS28" s="914"/>
      <c r="UIT28" s="914"/>
      <c r="UIU28" s="914"/>
      <c r="UIV28" s="911"/>
      <c r="UIW28" s="911"/>
      <c r="UIX28" s="911"/>
      <c r="UIY28" s="915"/>
      <c r="UIZ28" s="914"/>
      <c r="UJA28" s="914"/>
      <c r="UJB28" s="914"/>
      <c r="UJC28" s="914"/>
      <c r="UJD28" s="914"/>
      <c r="UJE28" s="914"/>
      <c r="UJF28" s="914"/>
      <c r="UJG28" s="911"/>
      <c r="UJH28" s="911"/>
      <c r="UJI28" s="911"/>
      <c r="UJJ28" s="915"/>
      <c r="UJK28" s="914"/>
      <c r="UJL28" s="914"/>
      <c r="UJM28" s="914"/>
      <c r="UJN28" s="914"/>
      <c r="UJO28" s="914"/>
      <c r="UJP28" s="914"/>
      <c r="UJQ28" s="914"/>
      <c r="UJR28" s="911"/>
      <c r="UJS28" s="911"/>
      <c r="UJT28" s="911"/>
      <c r="UJU28" s="915"/>
      <c r="UJV28" s="914"/>
      <c r="UJW28" s="914"/>
      <c r="UJX28" s="914"/>
      <c r="UJY28" s="914"/>
      <c r="UJZ28" s="914"/>
      <c r="UKA28" s="914"/>
      <c r="UKB28" s="914"/>
      <c r="UKC28" s="911"/>
      <c r="UKD28" s="911"/>
      <c r="UKE28" s="911"/>
      <c r="UKF28" s="915"/>
      <c r="UKG28" s="914"/>
      <c r="UKH28" s="914"/>
      <c r="UKI28" s="914"/>
      <c r="UKJ28" s="914"/>
      <c r="UKK28" s="914"/>
      <c r="UKL28" s="914"/>
      <c r="UKM28" s="914"/>
      <c r="UKN28" s="911"/>
      <c r="UKO28" s="911"/>
      <c r="UKP28" s="911"/>
      <c r="UKQ28" s="915"/>
      <c r="UKR28" s="914"/>
      <c r="UKS28" s="914"/>
      <c r="UKT28" s="914"/>
      <c r="UKU28" s="914"/>
      <c r="UKV28" s="914"/>
      <c r="UKW28" s="914"/>
      <c r="UKX28" s="914"/>
      <c r="UKY28" s="911"/>
      <c r="UKZ28" s="911"/>
      <c r="ULA28" s="911"/>
      <c r="ULB28" s="915"/>
      <c r="ULC28" s="914"/>
      <c r="ULD28" s="914"/>
      <c r="ULE28" s="914"/>
      <c r="ULF28" s="914"/>
      <c r="ULG28" s="914"/>
      <c r="ULH28" s="914"/>
      <c r="ULI28" s="914"/>
      <c r="ULJ28" s="911"/>
      <c r="ULK28" s="911"/>
      <c r="ULL28" s="911"/>
      <c r="ULM28" s="915"/>
      <c r="ULN28" s="914"/>
      <c r="ULO28" s="914"/>
      <c r="ULP28" s="914"/>
      <c r="ULQ28" s="914"/>
      <c r="ULR28" s="914"/>
      <c r="ULS28" s="914"/>
      <c r="ULT28" s="914"/>
      <c r="ULU28" s="911"/>
      <c r="ULV28" s="911"/>
      <c r="ULW28" s="911"/>
      <c r="ULX28" s="915"/>
      <c r="ULY28" s="914"/>
      <c r="ULZ28" s="914"/>
      <c r="UMA28" s="914"/>
      <c r="UMB28" s="914"/>
      <c r="UMC28" s="914"/>
      <c r="UMD28" s="914"/>
      <c r="UME28" s="914"/>
      <c r="UMF28" s="911"/>
      <c r="UMG28" s="911"/>
      <c r="UMH28" s="911"/>
      <c r="UMI28" s="915"/>
      <c r="UMJ28" s="914"/>
      <c r="UMK28" s="914"/>
      <c r="UML28" s="914"/>
      <c r="UMM28" s="914"/>
      <c r="UMN28" s="914"/>
      <c r="UMO28" s="914"/>
      <c r="UMP28" s="914"/>
      <c r="UMQ28" s="911"/>
      <c r="UMR28" s="911"/>
      <c r="UMS28" s="911"/>
      <c r="UMT28" s="915"/>
      <c r="UMU28" s="914"/>
      <c r="UMV28" s="914"/>
      <c r="UMW28" s="914"/>
      <c r="UMX28" s="914"/>
      <c r="UMY28" s="914"/>
      <c r="UMZ28" s="914"/>
      <c r="UNA28" s="914"/>
      <c r="UNB28" s="911"/>
      <c r="UNC28" s="911"/>
      <c r="UND28" s="911"/>
      <c r="UNE28" s="915"/>
      <c r="UNF28" s="914"/>
      <c r="UNG28" s="914"/>
      <c r="UNH28" s="914"/>
      <c r="UNI28" s="914"/>
      <c r="UNJ28" s="914"/>
      <c r="UNK28" s="914"/>
      <c r="UNL28" s="914"/>
      <c r="UNM28" s="911"/>
      <c r="UNN28" s="911"/>
      <c r="UNO28" s="911"/>
      <c r="UNP28" s="915"/>
      <c r="UNQ28" s="914"/>
      <c r="UNR28" s="914"/>
      <c r="UNS28" s="914"/>
      <c r="UNT28" s="914"/>
      <c r="UNU28" s="914"/>
      <c r="UNV28" s="914"/>
      <c r="UNW28" s="914"/>
      <c r="UNX28" s="911"/>
      <c r="UNY28" s="911"/>
      <c r="UNZ28" s="911"/>
      <c r="UOA28" s="915"/>
      <c r="UOB28" s="914"/>
      <c r="UOC28" s="914"/>
      <c r="UOD28" s="914"/>
      <c r="UOE28" s="914"/>
      <c r="UOF28" s="914"/>
      <c r="UOG28" s="914"/>
      <c r="UOH28" s="914"/>
      <c r="UOI28" s="911"/>
      <c r="UOJ28" s="911"/>
      <c r="UOK28" s="911"/>
      <c r="UOL28" s="915"/>
      <c r="UOM28" s="914"/>
      <c r="UON28" s="914"/>
      <c r="UOO28" s="914"/>
      <c r="UOP28" s="914"/>
      <c r="UOQ28" s="914"/>
      <c r="UOR28" s="914"/>
      <c r="UOS28" s="914"/>
      <c r="UOT28" s="911"/>
      <c r="UOU28" s="911"/>
      <c r="UOV28" s="911"/>
      <c r="UOW28" s="915"/>
      <c r="UOX28" s="914"/>
      <c r="UOY28" s="914"/>
      <c r="UOZ28" s="914"/>
      <c r="UPA28" s="914"/>
      <c r="UPB28" s="914"/>
      <c r="UPC28" s="914"/>
      <c r="UPD28" s="914"/>
      <c r="UPE28" s="911"/>
      <c r="UPF28" s="911"/>
      <c r="UPG28" s="911"/>
      <c r="UPH28" s="915"/>
      <c r="UPI28" s="914"/>
      <c r="UPJ28" s="914"/>
      <c r="UPK28" s="914"/>
      <c r="UPL28" s="914"/>
      <c r="UPM28" s="914"/>
      <c r="UPN28" s="914"/>
      <c r="UPO28" s="914"/>
      <c r="UPP28" s="911"/>
      <c r="UPQ28" s="911"/>
      <c r="UPR28" s="911"/>
      <c r="UPS28" s="915"/>
      <c r="UPT28" s="914"/>
      <c r="UPU28" s="914"/>
      <c r="UPV28" s="914"/>
      <c r="UPW28" s="914"/>
      <c r="UPX28" s="914"/>
      <c r="UPY28" s="914"/>
      <c r="UPZ28" s="914"/>
      <c r="UQA28" s="911"/>
      <c r="UQB28" s="911"/>
      <c r="UQC28" s="911"/>
      <c r="UQD28" s="915"/>
      <c r="UQE28" s="914"/>
      <c r="UQF28" s="914"/>
      <c r="UQG28" s="914"/>
      <c r="UQH28" s="914"/>
      <c r="UQI28" s="914"/>
      <c r="UQJ28" s="914"/>
      <c r="UQK28" s="914"/>
      <c r="UQL28" s="911"/>
      <c r="UQM28" s="911"/>
      <c r="UQN28" s="911"/>
      <c r="UQO28" s="915"/>
      <c r="UQP28" s="914"/>
      <c r="UQQ28" s="914"/>
      <c r="UQR28" s="914"/>
      <c r="UQS28" s="914"/>
      <c r="UQT28" s="914"/>
      <c r="UQU28" s="914"/>
      <c r="UQV28" s="914"/>
      <c r="UQW28" s="911"/>
      <c r="UQX28" s="911"/>
      <c r="UQY28" s="911"/>
      <c r="UQZ28" s="915"/>
      <c r="URA28" s="914"/>
      <c r="URB28" s="914"/>
      <c r="URC28" s="914"/>
      <c r="URD28" s="914"/>
      <c r="URE28" s="914"/>
      <c r="URF28" s="914"/>
      <c r="URG28" s="914"/>
      <c r="URH28" s="911"/>
      <c r="URI28" s="911"/>
      <c r="URJ28" s="911"/>
      <c r="URK28" s="915"/>
      <c r="URL28" s="914"/>
      <c r="URM28" s="914"/>
      <c r="URN28" s="914"/>
      <c r="URO28" s="914"/>
      <c r="URP28" s="914"/>
      <c r="URQ28" s="914"/>
      <c r="URR28" s="914"/>
      <c r="URS28" s="911"/>
      <c r="URT28" s="911"/>
      <c r="URU28" s="911"/>
      <c r="URV28" s="915"/>
      <c r="URW28" s="914"/>
      <c r="URX28" s="914"/>
      <c r="URY28" s="914"/>
      <c r="URZ28" s="914"/>
      <c r="USA28" s="914"/>
      <c r="USB28" s="914"/>
      <c r="USC28" s="914"/>
      <c r="USD28" s="911"/>
      <c r="USE28" s="911"/>
      <c r="USF28" s="911"/>
      <c r="USG28" s="915"/>
      <c r="USH28" s="914"/>
      <c r="USI28" s="914"/>
      <c r="USJ28" s="914"/>
      <c r="USK28" s="914"/>
      <c r="USL28" s="914"/>
      <c r="USM28" s="914"/>
      <c r="USN28" s="914"/>
      <c r="USO28" s="911"/>
      <c r="USP28" s="911"/>
      <c r="USQ28" s="911"/>
      <c r="USR28" s="915"/>
      <c r="USS28" s="914"/>
      <c r="UST28" s="914"/>
      <c r="USU28" s="914"/>
      <c r="USV28" s="914"/>
      <c r="USW28" s="914"/>
      <c r="USX28" s="914"/>
      <c r="USY28" s="914"/>
      <c r="USZ28" s="911"/>
      <c r="UTA28" s="911"/>
      <c r="UTB28" s="911"/>
      <c r="UTC28" s="915"/>
      <c r="UTD28" s="914"/>
      <c r="UTE28" s="914"/>
      <c r="UTF28" s="914"/>
      <c r="UTG28" s="914"/>
      <c r="UTH28" s="914"/>
      <c r="UTI28" s="914"/>
      <c r="UTJ28" s="914"/>
      <c r="UTK28" s="911"/>
      <c r="UTL28" s="911"/>
      <c r="UTM28" s="911"/>
      <c r="UTN28" s="915"/>
      <c r="UTO28" s="914"/>
      <c r="UTP28" s="914"/>
      <c r="UTQ28" s="914"/>
      <c r="UTR28" s="914"/>
      <c r="UTS28" s="914"/>
      <c r="UTT28" s="914"/>
      <c r="UTU28" s="914"/>
      <c r="UTV28" s="911"/>
      <c r="UTW28" s="911"/>
      <c r="UTX28" s="911"/>
      <c r="UTY28" s="915"/>
      <c r="UTZ28" s="914"/>
      <c r="UUA28" s="914"/>
      <c r="UUB28" s="914"/>
      <c r="UUC28" s="914"/>
      <c r="UUD28" s="914"/>
      <c r="UUE28" s="914"/>
      <c r="UUF28" s="914"/>
      <c r="UUG28" s="911"/>
      <c r="UUH28" s="911"/>
      <c r="UUI28" s="911"/>
      <c r="UUJ28" s="915"/>
      <c r="UUK28" s="914"/>
      <c r="UUL28" s="914"/>
      <c r="UUM28" s="914"/>
      <c r="UUN28" s="914"/>
      <c r="UUO28" s="914"/>
      <c r="UUP28" s="914"/>
      <c r="UUQ28" s="914"/>
      <c r="UUR28" s="911"/>
      <c r="UUS28" s="911"/>
      <c r="UUT28" s="911"/>
      <c r="UUU28" s="915"/>
      <c r="UUV28" s="914"/>
      <c r="UUW28" s="914"/>
      <c r="UUX28" s="914"/>
      <c r="UUY28" s="914"/>
      <c r="UUZ28" s="914"/>
      <c r="UVA28" s="914"/>
      <c r="UVB28" s="914"/>
      <c r="UVC28" s="911"/>
      <c r="UVD28" s="911"/>
      <c r="UVE28" s="911"/>
      <c r="UVF28" s="915"/>
      <c r="UVG28" s="914"/>
      <c r="UVH28" s="914"/>
      <c r="UVI28" s="914"/>
      <c r="UVJ28" s="914"/>
      <c r="UVK28" s="914"/>
      <c r="UVL28" s="914"/>
      <c r="UVM28" s="914"/>
      <c r="UVN28" s="911"/>
      <c r="UVO28" s="911"/>
      <c r="UVP28" s="911"/>
      <c r="UVQ28" s="915"/>
      <c r="UVR28" s="914"/>
      <c r="UVS28" s="914"/>
      <c r="UVT28" s="914"/>
      <c r="UVU28" s="914"/>
      <c r="UVV28" s="914"/>
      <c r="UVW28" s="914"/>
      <c r="UVX28" s="914"/>
      <c r="UVY28" s="911"/>
      <c r="UVZ28" s="911"/>
      <c r="UWA28" s="911"/>
      <c r="UWB28" s="915"/>
      <c r="UWC28" s="914"/>
      <c r="UWD28" s="914"/>
      <c r="UWE28" s="914"/>
      <c r="UWF28" s="914"/>
      <c r="UWG28" s="914"/>
      <c r="UWH28" s="914"/>
      <c r="UWI28" s="914"/>
      <c r="UWJ28" s="911"/>
      <c r="UWK28" s="911"/>
      <c r="UWL28" s="911"/>
      <c r="UWM28" s="915"/>
      <c r="UWN28" s="914"/>
      <c r="UWO28" s="914"/>
      <c r="UWP28" s="914"/>
      <c r="UWQ28" s="914"/>
      <c r="UWR28" s="914"/>
      <c r="UWS28" s="914"/>
      <c r="UWT28" s="914"/>
      <c r="UWU28" s="911"/>
      <c r="UWV28" s="911"/>
      <c r="UWW28" s="911"/>
      <c r="UWX28" s="915"/>
      <c r="UWY28" s="914"/>
      <c r="UWZ28" s="914"/>
      <c r="UXA28" s="914"/>
      <c r="UXB28" s="914"/>
      <c r="UXC28" s="914"/>
      <c r="UXD28" s="914"/>
      <c r="UXE28" s="914"/>
      <c r="UXF28" s="911"/>
      <c r="UXG28" s="911"/>
      <c r="UXH28" s="911"/>
      <c r="UXI28" s="915"/>
      <c r="UXJ28" s="914"/>
      <c r="UXK28" s="914"/>
      <c r="UXL28" s="914"/>
      <c r="UXM28" s="914"/>
      <c r="UXN28" s="914"/>
      <c r="UXO28" s="914"/>
      <c r="UXP28" s="914"/>
      <c r="UXQ28" s="911"/>
      <c r="UXR28" s="911"/>
      <c r="UXS28" s="911"/>
      <c r="UXT28" s="915"/>
      <c r="UXU28" s="914"/>
      <c r="UXV28" s="914"/>
      <c r="UXW28" s="914"/>
      <c r="UXX28" s="914"/>
      <c r="UXY28" s="914"/>
      <c r="UXZ28" s="914"/>
      <c r="UYA28" s="914"/>
      <c r="UYB28" s="911"/>
      <c r="UYC28" s="911"/>
      <c r="UYD28" s="911"/>
      <c r="UYE28" s="915"/>
      <c r="UYF28" s="914"/>
      <c r="UYG28" s="914"/>
      <c r="UYH28" s="914"/>
      <c r="UYI28" s="914"/>
      <c r="UYJ28" s="914"/>
      <c r="UYK28" s="914"/>
      <c r="UYL28" s="914"/>
      <c r="UYM28" s="911"/>
      <c r="UYN28" s="911"/>
      <c r="UYO28" s="911"/>
      <c r="UYP28" s="915"/>
      <c r="UYQ28" s="914"/>
      <c r="UYR28" s="914"/>
      <c r="UYS28" s="914"/>
      <c r="UYT28" s="914"/>
      <c r="UYU28" s="914"/>
      <c r="UYV28" s="914"/>
      <c r="UYW28" s="914"/>
      <c r="UYX28" s="911"/>
      <c r="UYY28" s="911"/>
      <c r="UYZ28" s="911"/>
      <c r="UZA28" s="915"/>
      <c r="UZB28" s="914"/>
      <c r="UZC28" s="914"/>
      <c r="UZD28" s="914"/>
      <c r="UZE28" s="914"/>
      <c r="UZF28" s="914"/>
      <c r="UZG28" s="914"/>
      <c r="UZH28" s="914"/>
      <c r="UZI28" s="911"/>
      <c r="UZJ28" s="911"/>
      <c r="UZK28" s="911"/>
      <c r="UZL28" s="915"/>
      <c r="UZM28" s="914"/>
      <c r="UZN28" s="914"/>
      <c r="UZO28" s="914"/>
      <c r="UZP28" s="914"/>
      <c r="UZQ28" s="914"/>
      <c r="UZR28" s="914"/>
      <c r="UZS28" s="914"/>
      <c r="UZT28" s="911"/>
      <c r="UZU28" s="911"/>
      <c r="UZV28" s="911"/>
      <c r="UZW28" s="915"/>
      <c r="UZX28" s="914"/>
      <c r="UZY28" s="914"/>
      <c r="UZZ28" s="914"/>
      <c r="VAA28" s="914"/>
      <c r="VAB28" s="914"/>
      <c r="VAC28" s="914"/>
      <c r="VAD28" s="914"/>
      <c r="VAE28" s="911"/>
      <c r="VAF28" s="911"/>
      <c r="VAG28" s="911"/>
      <c r="VAH28" s="915"/>
      <c r="VAI28" s="914"/>
      <c r="VAJ28" s="914"/>
      <c r="VAK28" s="914"/>
      <c r="VAL28" s="914"/>
      <c r="VAM28" s="914"/>
      <c r="VAN28" s="914"/>
      <c r="VAO28" s="914"/>
      <c r="VAP28" s="911"/>
      <c r="VAQ28" s="911"/>
      <c r="VAR28" s="911"/>
      <c r="VAS28" s="915"/>
      <c r="VAT28" s="914"/>
      <c r="VAU28" s="914"/>
      <c r="VAV28" s="914"/>
      <c r="VAW28" s="914"/>
      <c r="VAX28" s="914"/>
      <c r="VAY28" s="914"/>
      <c r="VAZ28" s="914"/>
      <c r="VBA28" s="911"/>
      <c r="VBB28" s="911"/>
      <c r="VBC28" s="911"/>
      <c r="VBD28" s="915"/>
      <c r="VBE28" s="914"/>
      <c r="VBF28" s="914"/>
      <c r="VBG28" s="914"/>
      <c r="VBH28" s="914"/>
      <c r="VBI28" s="914"/>
      <c r="VBJ28" s="914"/>
      <c r="VBK28" s="914"/>
      <c r="VBL28" s="911"/>
      <c r="VBM28" s="911"/>
      <c r="VBN28" s="911"/>
      <c r="VBO28" s="915"/>
      <c r="VBP28" s="914"/>
      <c r="VBQ28" s="914"/>
      <c r="VBR28" s="914"/>
      <c r="VBS28" s="914"/>
      <c r="VBT28" s="914"/>
      <c r="VBU28" s="914"/>
      <c r="VBV28" s="914"/>
      <c r="VBW28" s="911"/>
      <c r="VBX28" s="911"/>
      <c r="VBY28" s="911"/>
      <c r="VBZ28" s="915"/>
      <c r="VCA28" s="914"/>
      <c r="VCB28" s="914"/>
      <c r="VCC28" s="914"/>
      <c r="VCD28" s="914"/>
      <c r="VCE28" s="914"/>
      <c r="VCF28" s="914"/>
      <c r="VCG28" s="914"/>
      <c r="VCH28" s="911"/>
      <c r="VCI28" s="911"/>
      <c r="VCJ28" s="911"/>
      <c r="VCK28" s="915"/>
      <c r="VCL28" s="914"/>
      <c r="VCM28" s="914"/>
      <c r="VCN28" s="914"/>
      <c r="VCO28" s="914"/>
      <c r="VCP28" s="914"/>
      <c r="VCQ28" s="914"/>
      <c r="VCR28" s="914"/>
      <c r="VCS28" s="911"/>
      <c r="VCT28" s="911"/>
      <c r="VCU28" s="911"/>
      <c r="VCV28" s="915"/>
      <c r="VCW28" s="914"/>
      <c r="VCX28" s="914"/>
      <c r="VCY28" s="914"/>
      <c r="VCZ28" s="914"/>
      <c r="VDA28" s="914"/>
      <c r="VDB28" s="914"/>
      <c r="VDC28" s="914"/>
      <c r="VDD28" s="911"/>
      <c r="VDE28" s="911"/>
      <c r="VDF28" s="911"/>
      <c r="VDG28" s="915"/>
      <c r="VDH28" s="914"/>
      <c r="VDI28" s="914"/>
      <c r="VDJ28" s="914"/>
      <c r="VDK28" s="914"/>
      <c r="VDL28" s="914"/>
      <c r="VDM28" s="914"/>
      <c r="VDN28" s="914"/>
      <c r="VDO28" s="911"/>
      <c r="VDP28" s="911"/>
      <c r="VDQ28" s="911"/>
      <c r="VDR28" s="915"/>
      <c r="VDS28" s="914"/>
      <c r="VDT28" s="914"/>
      <c r="VDU28" s="914"/>
      <c r="VDV28" s="914"/>
      <c r="VDW28" s="914"/>
      <c r="VDX28" s="914"/>
      <c r="VDY28" s="914"/>
      <c r="VDZ28" s="911"/>
      <c r="VEA28" s="911"/>
      <c r="VEB28" s="911"/>
      <c r="VEC28" s="915"/>
      <c r="VED28" s="914"/>
      <c r="VEE28" s="914"/>
      <c r="VEF28" s="914"/>
      <c r="VEG28" s="914"/>
      <c r="VEH28" s="914"/>
      <c r="VEI28" s="914"/>
      <c r="VEJ28" s="914"/>
      <c r="VEK28" s="911"/>
      <c r="VEL28" s="911"/>
      <c r="VEM28" s="911"/>
      <c r="VEN28" s="915"/>
      <c r="VEO28" s="914"/>
      <c r="VEP28" s="914"/>
      <c r="VEQ28" s="914"/>
      <c r="VER28" s="914"/>
      <c r="VES28" s="914"/>
      <c r="VET28" s="914"/>
      <c r="VEU28" s="914"/>
      <c r="VEV28" s="911"/>
      <c r="VEW28" s="911"/>
      <c r="VEX28" s="911"/>
      <c r="VEY28" s="915"/>
      <c r="VEZ28" s="914"/>
      <c r="VFA28" s="914"/>
      <c r="VFB28" s="914"/>
      <c r="VFC28" s="914"/>
      <c r="VFD28" s="914"/>
      <c r="VFE28" s="914"/>
      <c r="VFF28" s="914"/>
      <c r="VFG28" s="911"/>
      <c r="VFH28" s="911"/>
      <c r="VFI28" s="911"/>
      <c r="VFJ28" s="915"/>
      <c r="VFK28" s="914"/>
      <c r="VFL28" s="914"/>
      <c r="VFM28" s="914"/>
      <c r="VFN28" s="914"/>
      <c r="VFO28" s="914"/>
      <c r="VFP28" s="914"/>
      <c r="VFQ28" s="914"/>
      <c r="VFR28" s="911"/>
      <c r="VFS28" s="911"/>
      <c r="VFT28" s="911"/>
      <c r="VFU28" s="915"/>
      <c r="VFV28" s="914"/>
      <c r="VFW28" s="914"/>
      <c r="VFX28" s="914"/>
      <c r="VFY28" s="914"/>
      <c r="VFZ28" s="914"/>
      <c r="VGA28" s="914"/>
      <c r="VGB28" s="914"/>
      <c r="VGC28" s="911"/>
      <c r="VGD28" s="911"/>
      <c r="VGE28" s="911"/>
      <c r="VGF28" s="915"/>
      <c r="VGG28" s="914"/>
      <c r="VGH28" s="914"/>
      <c r="VGI28" s="914"/>
      <c r="VGJ28" s="914"/>
      <c r="VGK28" s="914"/>
      <c r="VGL28" s="914"/>
      <c r="VGM28" s="914"/>
      <c r="VGN28" s="911"/>
      <c r="VGO28" s="911"/>
      <c r="VGP28" s="911"/>
      <c r="VGQ28" s="915"/>
      <c r="VGR28" s="914"/>
      <c r="VGS28" s="914"/>
      <c r="VGT28" s="914"/>
      <c r="VGU28" s="914"/>
      <c r="VGV28" s="914"/>
      <c r="VGW28" s="914"/>
      <c r="VGX28" s="914"/>
      <c r="VGY28" s="911"/>
      <c r="VGZ28" s="911"/>
      <c r="VHA28" s="911"/>
      <c r="VHB28" s="915"/>
      <c r="VHC28" s="914"/>
      <c r="VHD28" s="914"/>
      <c r="VHE28" s="914"/>
      <c r="VHF28" s="914"/>
      <c r="VHG28" s="914"/>
      <c r="VHH28" s="914"/>
      <c r="VHI28" s="914"/>
      <c r="VHJ28" s="911"/>
      <c r="VHK28" s="911"/>
      <c r="VHL28" s="911"/>
      <c r="VHM28" s="915"/>
      <c r="VHN28" s="914"/>
      <c r="VHO28" s="914"/>
      <c r="VHP28" s="914"/>
      <c r="VHQ28" s="914"/>
      <c r="VHR28" s="914"/>
      <c r="VHS28" s="914"/>
      <c r="VHT28" s="914"/>
      <c r="VHU28" s="911"/>
      <c r="VHV28" s="911"/>
      <c r="VHW28" s="911"/>
      <c r="VHX28" s="915"/>
      <c r="VHY28" s="914"/>
      <c r="VHZ28" s="914"/>
      <c r="VIA28" s="914"/>
      <c r="VIB28" s="914"/>
      <c r="VIC28" s="914"/>
      <c r="VID28" s="914"/>
      <c r="VIE28" s="914"/>
      <c r="VIF28" s="911"/>
      <c r="VIG28" s="911"/>
      <c r="VIH28" s="911"/>
      <c r="VII28" s="915"/>
      <c r="VIJ28" s="914"/>
      <c r="VIK28" s="914"/>
      <c r="VIL28" s="914"/>
      <c r="VIM28" s="914"/>
      <c r="VIN28" s="914"/>
      <c r="VIO28" s="914"/>
      <c r="VIP28" s="914"/>
      <c r="VIQ28" s="911"/>
      <c r="VIR28" s="911"/>
      <c r="VIS28" s="911"/>
      <c r="VIT28" s="915"/>
      <c r="VIU28" s="914"/>
      <c r="VIV28" s="914"/>
      <c r="VIW28" s="914"/>
      <c r="VIX28" s="914"/>
      <c r="VIY28" s="914"/>
      <c r="VIZ28" s="914"/>
      <c r="VJA28" s="914"/>
      <c r="VJB28" s="911"/>
      <c r="VJC28" s="911"/>
      <c r="VJD28" s="911"/>
      <c r="VJE28" s="915"/>
      <c r="VJF28" s="914"/>
      <c r="VJG28" s="914"/>
      <c r="VJH28" s="914"/>
      <c r="VJI28" s="914"/>
      <c r="VJJ28" s="914"/>
      <c r="VJK28" s="914"/>
      <c r="VJL28" s="914"/>
      <c r="VJM28" s="911"/>
      <c r="VJN28" s="911"/>
      <c r="VJO28" s="911"/>
      <c r="VJP28" s="915"/>
      <c r="VJQ28" s="914"/>
      <c r="VJR28" s="914"/>
      <c r="VJS28" s="914"/>
      <c r="VJT28" s="914"/>
      <c r="VJU28" s="914"/>
      <c r="VJV28" s="914"/>
      <c r="VJW28" s="914"/>
      <c r="VJX28" s="911"/>
      <c r="VJY28" s="911"/>
      <c r="VJZ28" s="911"/>
      <c r="VKA28" s="915"/>
      <c r="VKB28" s="914"/>
      <c r="VKC28" s="914"/>
      <c r="VKD28" s="914"/>
      <c r="VKE28" s="914"/>
      <c r="VKF28" s="914"/>
      <c r="VKG28" s="914"/>
      <c r="VKH28" s="914"/>
      <c r="VKI28" s="911"/>
      <c r="VKJ28" s="911"/>
      <c r="VKK28" s="911"/>
      <c r="VKL28" s="915"/>
      <c r="VKM28" s="914"/>
      <c r="VKN28" s="914"/>
      <c r="VKO28" s="914"/>
      <c r="VKP28" s="914"/>
      <c r="VKQ28" s="914"/>
      <c r="VKR28" s="914"/>
      <c r="VKS28" s="914"/>
      <c r="VKT28" s="911"/>
      <c r="VKU28" s="911"/>
      <c r="VKV28" s="911"/>
      <c r="VKW28" s="915"/>
      <c r="VKX28" s="914"/>
      <c r="VKY28" s="914"/>
      <c r="VKZ28" s="914"/>
      <c r="VLA28" s="914"/>
      <c r="VLB28" s="914"/>
      <c r="VLC28" s="914"/>
      <c r="VLD28" s="914"/>
      <c r="VLE28" s="911"/>
      <c r="VLF28" s="911"/>
      <c r="VLG28" s="911"/>
      <c r="VLH28" s="915"/>
      <c r="VLI28" s="914"/>
      <c r="VLJ28" s="914"/>
      <c r="VLK28" s="914"/>
      <c r="VLL28" s="914"/>
      <c r="VLM28" s="914"/>
      <c r="VLN28" s="914"/>
      <c r="VLO28" s="914"/>
      <c r="VLP28" s="911"/>
      <c r="VLQ28" s="911"/>
      <c r="VLR28" s="911"/>
      <c r="VLS28" s="915"/>
      <c r="VLT28" s="914"/>
      <c r="VLU28" s="914"/>
      <c r="VLV28" s="914"/>
      <c r="VLW28" s="914"/>
      <c r="VLX28" s="914"/>
      <c r="VLY28" s="914"/>
      <c r="VLZ28" s="914"/>
      <c r="VMA28" s="911"/>
      <c r="VMB28" s="911"/>
      <c r="VMC28" s="911"/>
      <c r="VMD28" s="915"/>
      <c r="VME28" s="914"/>
      <c r="VMF28" s="914"/>
      <c r="VMG28" s="914"/>
      <c r="VMH28" s="914"/>
      <c r="VMI28" s="914"/>
      <c r="VMJ28" s="914"/>
      <c r="VMK28" s="914"/>
      <c r="VML28" s="911"/>
      <c r="VMM28" s="911"/>
      <c r="VMN28" s="911"/>
      <c r="VMO28" s="915"/>
      <c r="VMP28" s="914"/>
      <c r="VMQ28" s="914"/>
      <c r="VMR28" s="914"/>
      <c r="VMS28" s="914"/>
      <c r="VMT28" s="914"/>
      <c r="VMU28" s="914"/>
      <c r="VMV28" s="914"/>
      <c r="VMW28" s="911"/>
      <c r="VMX28" s="911"/>
      <c r="VMY28" s="911"/>
      <c r="VMZ28" s="915"/>
      <c r="VNA28" s="914"/>
      <c r="VNB28" s="914"/>
      <c r="VNC28" s="914"/>
      <c r="VND28" s="914"/>
      <c r="VNE28" s="914"/>
      <c r="VNF28" s="914"/>
      <c r="VNG28" s="914"/>
      <c r="VNH28" s="911"/>
      <c r="VNI28" s="911"/>
      <c r="VNJ28" s="911"/>
      <c r="VNK28" s="915"/>
      <c r="VNL28" s="914"/>
      <c r="VNM28" s="914"/>
      <c r="VNN28" s="914"/>
      <c r="VNO28" s="914"/>
      <c r="VNP28" s="914"/>
      <c r="VNQ28" s="914"/>
      <c r="VNR28" s="914"/>
      <c r="VNS28" s="911"/>
      <c r="VNT28" s="911"/>
      <c r="VNU28" s="911"/>
      <c r="VNV28" s="915"/>
      <c r="VNW28" s="914"/>
      <c r="VNX28" s="914"/>
      <c r="VNY28" s="914"/>
      <c r="VNZ28" s="914"/>
      <c r="VOA28" s="914"/>
      <c r="VOB28" s="914"/>
      <c r="VOC28" s="914"/>
      <c r="VOD28" s="911"/>
      <c r="VOE28" s="911"/>
      <c r="VOF28" s="911"/>
      <c r="VOG28" s="915"/>
      <c r="VOH28" s="914"/>
      <c r="VOI28" s="914"/>
      <c r="VOJ28" s="914"/>
      <c r="VOK28" s="914"/>
      <c r="VOL28" s="914"/>
      <c r="VOM28" s="914"/>
      <c r="VON28" s="914"/>
      <c r="VOO28" s="911"/>
      <c r="VOP28" s="911"/>
      <c r="VOQ28" s="911"/>
      <c r="VOR28" s="915"/>
      <c r="VOS28" s="914"/>
      <c r="VOT28" s="914"/>
      <c r="VOU28" s="914"/>
      <c r="VOV28" s="914"/>
      <c r="VOW28" s="914"/>
      <c r="VOX28" s="914"/>
      <c r="VOY28" s="914"/>
      <c r="VOZ28" s="911"/>
      <c r="VPA28" s="911"/>
      <c r="VPB28" s="911"/>
      <c r="VPC28" s="915"/>
      <c r="VPD28" s="914"/>
      <c r="VPE28" s="914"/>
      <c r="VPF28" s="914"/>
      <c r="VPG28" s="914"/>
      <c r="VPH28" s="914"/>
      <c r="VPI28" s="914"/>
      <c r="VPJ28" s="914"/>
      <c r="VPK28" s="911"/>
      <c r="VPL28" s="911"/>
      <c r="VPM28" s="911"/>
      <c r="VPN28" s="915"/>
      <c r="VPO28" s="914"/>
      <c r="VPP28" s="914"/>
      <c r="VPQ28" s="914"/>
      <c r="VPR28" s="914"/>
      <c r="VPS28" s="914"/>
      <c r="VPT28" s="914"/>
      <c r="VPU28" s="914"/>
      <c r="VPV28" s="911"/>
      <c r="VPW28" s="911"/>
      <c r="VPX28" s="911"/>
      <c r="VPY28" s="915"/>
      <c r="VPZ28" s="914"/>
      <c r="VQA28" s="914"/>
      <c r="VQB28" s="914"/>
      <c r="VQC28" s="914"/>
      <c r="VQD28" s="914"/>
      <c r="VQE28" s="914"/>
      <c r="VQF28" s="914"/>
      <c r="VQG28" s="911"/>
      <c r="VQH28" s="911"/>
      <c r="VQI28" s="911"/>
      <c r="VQJ28" s="915"/>
      <c r="VQK28" s="914"/>
      <c r="VQL28" s="914"/>
      <c r="VQM28" s="914"/>
      <c r="VQN28" s="914"/>
      <c r="VQO28" s="914"/>
      <c r="VQP28" s="914"/>
      <c r="VQQ28" s="914"/>
      <c r="VQR28" s="911"/>
      <c r="VQS28" s="911"/>
      <c r="VQT28" s="911"/>
      <c r="VQU28" s="915"/>
      <c r="VQV28" s="914"/>
      <c r="VQW28" s="914"/>
      <c r="VQX28" s="914"/>
      <c r="VQY28" s="914"/>
      <c r="VQZ28" s="914"/>
      <c r="VRA28" s="914"/>
      <c r="VRB28" s="914"/>
      <c r="VRC28" s="911"/>
      <c r="VRD28" s="911"/>
      <c r="VRE28" s="911"/>
      <c r="VRF28" s="915"/>
      <c r="VRG28" s="914"/>
      <c r="VRH28" s="914"/>
      <c r="VRI28" s="914"/>
      <c r="VRJ28" s="914"/>
      <c r="VRK28" s="914"/>
      <c r="VRL28" s="914"/>
      <c r="VRM28" s="914"/>
      <c r="VRN28" s="911"/>
      <c r="VRO28" s="911"/>
      <c r="VRP28" s="911"/>
      <c r="VRQ28" s="915"/>
      <c r="VRR28" s="914"/>
      <c r="VRS28" s="914"/>
      <c r="VRT28" s="914"/>
      <c r="VRU28" s="914"/>
      <c r="VRV28" s="914"/>
      <c r="VRW28" s="914"/>
      <c r="VRX28" s="914"/>
      <c r="VRY28" s="911"/>
      <c r="VRZ28" s="911"/>
      <c r="VSA28" s="911"/>
      <c r="VSB28" s="915"/>
      <c r="VSC28" s="914"/>
      <c r="VSD28" s="914"/>
      <c r="VSE28" s="914"/>
      <c r="VSF28" s="914"/>
      <c r="VSG28" s="914"/>
      <c r="VSH28" s="914"/>
      <c r="VSI28" s="914"/>
      <c r="VSJ28" s="911"/>
      <c r="VSK28" s="911"/>
      <c r="VSL28" s="911"/>
      <c r="VSM28" s="915"/>
      <c r="VSN28" s="914"/>
      <c r="VSO28" s="914"/>
      <c r="VSP28" s="914"/>
      <c r="VSQ28" s="914"/>
      <c r="VSR28" s="914"/>
      <c r="VSS28" s="914"/>
      <c r="VST28" s="914"/>
      <c r="VSU28" s="911"/>
      <c r="VSV28" s="911"/>
      <c r="VSW28" s="911"/>
      <c r="VSX28" s="915"/>
      <c r="VSY28" s="914"/>
      <c r="VSZ28" s="914"/>
      <c r="VTA28" s="914"/>
      <c r="VTB28" s="914"/>
      <c r="VTC28" s="914"/>
      <c r="VTD28" s="914"/>
      <c r="VTE28" s="914"/>
      <c r="VTF28" s="911"/>
      <c r="VTG28" s="911"/>
      <c r="VTH28" s="911"/>
      <c r="VTI28" s="915"/>
      <c r="VTJ28" s="914"/>
      <c r="VTK28" s="914"/>
      <c r="VTL28" s="914"/>
      <c r="VTM28" s="914"/>
      <c r="VTN28" s="914"/>
      <c r="VTO28" s="914"/>
      <c r="VTP28" s="914"/>
      <c r="VTQ28" s="911"/>
      <c r="VTR28" s="911"/>
      <c r="VTS28" s="911"/>
      <c r="VTT28" s="915"/>
      <c r="VTU28" s="914"/>
      <c r="VTV28" s="914"/>
      <c r="VTW28" s="914"/>
      <c r="VTX28" s="914"/>
      <c r="VTY28" s="914"/>
      <c r="VTZ28" s="914"/>
      <c r="VUA28" s="914"/>
      <c r="VUB28" s="911"/>
      <c r="VUC28" s="911"/>
      <c r="VUD28" s="911"/>
      <c r="VUE28" s="915"/>
      <c r="VUF28" s="914"/>
      <c r="VUG28" s="914"/>
      <c r="VUH28" s="914"/>
      <c r="VUI28" s="914"/>
      <c r="VUJ28" s="914"/>
      <c r="VUK28" s="914"/>
      <c r="VUL28" s="914"/>
      <c r="VUM28" s="911"/>
      <c r="VUN28" s="911"/>
      <c r="VUO28" s="911"/>
      <c r="VUP28" s="915"/>
      <c r="VUQ28" s="914"/>
      <c r="VUR28" s="914"/>
      <c r="VUS28" s="914"/>
      <c r="VUT28" s="914"/>
      <c r="VUU28" s="914"/>
      <c r="VUV28" s="914"/>
      <c r="VUW28" s="914"/>
      <c r="VUX28" s="911"/>
      <c r="VUY28" s="911"/>
      <c r="VUZ28" s="911"/>
      <c r="VVA28" s="915"/>
      <c r="VVB28" s="914"/>
      <c r="VVC28" s="914"/>
      <c r="VVD28" s="914"/>
      <c r="VVE28" s="914"/>
      <c r="VVF28" s="914"/>
      <c r="VVG28" s="914"/>
      <c r="VVH28" s="914"/>
      <c r="VVI28" s="911"/>
      <c r="VVJ28" s="911"/>
      <c r="VVK28" s="911"/>
      <c r="VVL28" s="915"/>
      <c r="VVM28" s="914"/>
      <c r="VVN28" s="914"/>
      <c r="VVO28" s="914"/>
      <c r="VVP28" s="914"/>
      <c r="VVQ28" s="914"/>
      <c r="VVR28" s="914"/>
      <c r="VVS28" s="914"/>
      <c r="VVT28" s="911"/>
      <c r="VVU28" s="911"/>
      <c r="VVV28" s="911"/>
      <c r="VVW28" s="915"/>
      <c r="VVX28" s="914"/>
      <c r="VVY28" s="914"/>
      <c r="VVZ28" s="914"/>
      <c r="VWA28" s="914"/>
      <c r="VWB28" s="914"/>
      <c r="VWC28" s="914"/>
      <c r="VWD28" s="914"/>
      <c r="VWE28" s="911"/>
      <c r="VWF28" s="911"/>
      <c r="VWG28" s="911"/>
      <c r="VWH28" s="915"/>
      <c r="VWI28" s="914"/>
      <c r="VWJ28" s="914"/>
      <c r="VWK28" s="914"/>
      <c r="VWL28" s="914"/>
      <c r="VWM28" s="914"/>
      <c r="VWN28" s="914"/>
      <c r="VWO28" s="914"/>
      <c r="VWP28" s="911"/>
      <c r="VWQ28" s="911"/>
      <c r="VWR28" s="911"/>
      <c r="VWS28" s="915"/>
      <c r="VWT28" s="914"/>
      <c r="VWU28" s="914"/>
      <c r="VWV28" s="914"/>
      <c r="VWW28" s="914"/>
      <c r="VWX28" s="914"/>
      <c r="VWY28" s="914"/>
      <c r="VWZ28" s="914"/>
      <c r="VXA28" s="911"/>
      <c r="VXB28" s="911"/>
      <c r="VXC28" s="911"/>
      <c r="VXD28" s="915"/>
      <c r="VXE28" s="914"/>
      <c r="VXF28" s="914"/>
      <c r="VXG28" s="914"/>
      <c r="VXH28" s="914"/>
      <c r="VXI28" s="914"/>
      <c r="VXJ28" s="914"/>
      <c r="VXK28" s="914"/>
      <c r="VXL28" s="911"/>
      <c r="VXM28" s="911"/>
      <c r="VXN28" s="911"/>
      <c r="VXO28" s="915"/>
      <c r="VXP28" s="914"/>
      <c r="VXQ28" s="914"/>
      <c r="VXR28" s="914"/>
      <c r="VXS28" s="914"/>
      <c r="VXT28" s="914"/>
      <c r="VXU28" s="914"/>
      <c r="VXV28" s="914"/>
      <c r="VXW28" s="911"/>
      <c r="VXX28" s="911"/>
      <c r="VXY28" s="911"/>
      <c r="VXZ28" s="915"/>
      <c r="VYA28" s="914"/>
      <c r="VYB28" s="914"/>
      <c r="VYC28" s="914"/>
      <c r="VYD28" s="914"/>
      <c r="VYE28" s="914"/>
      <c r="VYF28" s="914"/>
      <c r="VYG28" s="914"/>
      <c r="VYH28" s="911"/>
      <c r="VYI28" s="911"/>
      <c r="VYJ28" s="911"/>
      <c r="VYK28" s="915"/>
      <c r="VYL28" s="914"/>
      <c r="VYM28" s="914"/>
      <c r="VYN28" s="914"/>
      <c r="VYO28" s="914"/>
      <c r="VYP28" s="914"/>
      <c r="VYQ28" s="914"/>
      <c r="VYR28" s="914"/>
      <c r="VYS28" s="911"/>
      <c r="VYT28" s="911"/>
      <c r="VYU28" s="911"/>
      <c r="VYV28" s="915"/>
      <c r="VYW28" s="914"/>
      <c r="VYX28" s="914"/>
      <c r="VYY28" s="914"/>
      <c r="VYZ28" s="914"/>
      <c r="VZA28" s="914"/>
      <c r="VZB28" s="914"/>
      <c r="VZC28" s="914"/>
      <c r="VZD28" s="911"/>
      <c r="VZE28" s="911"/>
      <c r="VZF28" s="911"/>
      <c r="VZG28" s="915"/>
      <c r="VZH28" s="914"/>
      <c r="VZI28" s="914"/>
      <c r="VZJ28" s="914"/>
      <c r="VZK28" s="914"/>
      <c r="VZL28" s="914"/>
      <c r="VZM28" s="914"/>
      <c r="VZN28" s="914"/>
      <c r="VZO28" s="911"/>
      <c r="VZP28" s="911"/>
      <c r="VZQ28" s="911"/>
      <c r="VZR28" s="915"/>
      <c r="VZS28" s="914"/>
      <c r="VZT28" s="914"/>
      <c r="VZU28" s="914"/>
      <c r="VZV28" s="914"/>
      <c r="VZW28" s="914"/>
      <c r="VZX28" s="914"/>
      <c r="VZY28" s="914"/>
      <c r="VZZ28" s="911"/>
      <c r="WAA28" s="911"/>
      <c r="WAB28" s="911"/>
      <c r="WAC28" s="915"/>
      <c r="WAD28" s="914"/>
      <c r="WAE28" s="914"/>
      <c r="WAF28" s="914"/>
      <c r="WAG28" s="914"/>
      <c r="WAH28" s="914"/>
      <c r="WAI28" s="914"/>
      <c r="WAJ28" s="914"/>
      <c r="WAK28" s="911"/>
      <c r="WAL28" s="911"/>
      <c r="WAM28" s="911"/>
      <c r="WAN28" s="915"/>
      <c r="WAO28" s="914"/>
      <c r="WAP28" s="914"/>
      <c r="WAQ28" s="914"/>
      <c r="WAR28" s="914"/>
      <c r="WAS28" s="914"/>
      <c r="WAT28" s="914"/>
      <c r="WAU28" s="914"/>
      <c r="WAV28" s="911"/>
      <c r="WAW28" s="911"/>
      <c r="WAX28" s="911"/>
      <c r="WAY28" s="915"/>
      <c r="WAZ28" s="914"/>
      <c r="WBA28" s="914"/>
      <c r="WBB28" s="914"/>
      <c r="WBC28" s="914"/>
      <c r="WBD28" s="914"/>
      <c r="WBE28" s="914"/>
      <c r="WBF28" s="914"/>
      <c r="WBG28" s="911"/>
      <c r="WBH28" s="911"/>
      <c r="WBI28" s="911"/>
      <c r="WBJ28" s="915"/>
      <c r="WBK28" s="914"/>
      <c r="WBL28" s="914"/>
      <c r="WBM28" s="914"/>
      <c r="WBN28" s="914"/>
      <c r="WBO28" s="914"/>
      <c r="WBP28" s="914"/>
      <c r="WBQ28" s="914"/>
      <c r="WBR28" s="911"/>
      <c r="WBS28" s="911"/>
      <c r="WBT28" s="911"/>
      <c r="WBU28" s="915"/>
      <c r="WBV28" s="914"/>
      <c r="WBW28" s="914"/>
      <c r="WBX28" s="914"/>
      <c r="WBY28" s="914"/>
      <c r="WBZ28" s="914"/>
      <c r="WCA28" s="914"/>
      <c r="WCB28" s="914"/>
      <c r="WCC28" s="911"/>
      <c r="WCD28" s="911"/>
      <c r="WCE28" s="911"/>
      <c r="WCF28" s="915"/>
      <c r="WCG28" s="914"/>
      <c r="WCH28" s="914"/>
      <c r="WCI28" s="914"/>
      <c r="WCJ28" s="914"/>
      <c r="WCK28" s="914"/>
      <c r="WCL28" s="914"/>
      <c r="WCM28" s="914"/>
      <c r="WCN28" s="911"/>
      <c r="WCO28" s="911"/>
      <c r="WCP28" s="911"/>
      <c r="WCQ28" s="915"/>
      <c r="WCR28" s="914"/>
      <c r="WCS28" s="914"/>
      <c r="WCT28" s="914"/>
      <c r="WCU28" s="914"/>
      <c r="WCV28" s="914"/>
      <c r="WCW28" s="914"/>
      <c r="WCX28" s="914"/>
      <c r="WCY28" s="911"/>
      <c r="WCZ28" s="911"/>
      <c r="WDA28" s="911"/>
      <c r="WDB28" s="915"/>
      <c r="WDC28" s="914"/>
      <c r="WDD28" s="914"/>
      <c r="WDE28" s="914"/>
      <c r="WDF28" s="914"/>
      <c r="WDG28" s="914"/>
      <c r="WDH28" s="914"/>
      <c r="WDI28" s="914"/>
      <c r="WDJ28" s="911"/>
      <c r="WDK28" s="911"/>
      <c r="WDL28" s="911"/>
      <c r="WDM28" s="915"/>
      <c r="WDN28" s="914"/>
      <c r="WDO28" s="914"/>
      <c r="WDP28" s="914"/>
      <c r="WDQ28" s="914"/>
      <c r="WDR28" s="914"/>
      <c r="WDS28" s="914"/>
      <c r="WDT28" s="914"/>
      <c r="WDU28" s="911"/>
      <c r="WDV28" s="911"/>
      <c r="WDW28" s="911"/>
      <c r="WDX28" s="915"/>
      <c r="WDY28" s="914"/>
      <c r="WDZ28" s="914"/>
      <c r="WEA28" s="914"/>
      <c r="WEB28" s="914"/>
      <c r="WEC28" s="914"/>
      <c r="WED28" s="914"/>
      <c r="WEE28" s="914"/>
      <c r="WEF28" s="911"/>
      <c r="WEG28" s="911"/>
      <c r="WEH28" s="911"/>
      <c r="WEI28" s="915"/>
      <c r="WEJ28" s="914"/>
      <c r="WEK28" s="914"/>
      <c r="WEL28" s="914"/>
      <c r="WEM28" s="914"/>
      <c r="WEN28" s="914"/>
      <c r="WEO28" s="914"/>
      <c r="WEP28" s="914"/>
      <c r="WEQ28" s="911"/>
      <c r="WER28" s="911"/>
      <c r="WES28" s="911"/>
      <c r="WET28" s="915"/>
      <c r="WEU28" s="914"/>
      <c r="WEV28" s="914"/>
      <c r="WEW28" s="914"/>
      <c r="WEX28" s="914"/>
      <c r="WEY28" s="914"/>
      <c r="WEZ28" s="914"/>
      <c r="WFA28" s="914"/>
      <c r="WFB28" s="911"/>
      <c r="WFC28" s="911"/>
      <c r="WFD28" s="911"/>
      <c r="WFE28" s="915"/>
      <c r="WFF28" s="914"/>
      <c r="WFG28" s="914"/>
      <c r="WFH28" s="914"/>
      <c r="WFI28" s="914"/>
      <c r="WFJ28" s="914"/>
      <c r="WFK28" s="914"/>
      <c r="WFL28" s="914"/>
      <c r="WFM28" s="911"/>
      <c r="WFN28" s="911"/>
      <c r="WFO28" s="911"/>
      <c r="WFP28" s="915"/>
      <c r="WFQ28" s="914"/>
      <c r="WFR28" s="914"/>
      <c r="WFS28" s="914"/>
      <c r="WFT28" s="914"/>
      <c r="WFU28" s="914"/>
      <c r="WFV28" s="914"/>
      <c r="WFW28" s="914"/>
      <c r="WFX28" s="911"/>
      <c r="WFY28" s="911"/>
      <c r="WFZ28" s="911"/>
      <c r="WGA28" s="915"/>
      <c r="WGB28" s="914"/>
      <c r="WGC28" s="914"/>
      <c r="WGD28" s="914"/>
      <c r="WGE28" s="914"/>
      <c r="WGF28" s="914"/>
      <c r="WGG28" s="914"/>
      <c r="WGH28" s="914"/>
      <c r="WGI28" s="911"/>
      <c r="WGJ28" s="911"/>
      <c r="WGK28" s="911"/>
      <c r="WGL28" s="915"/>
      <c r="WGM28" s="914"/>
      <c r="WGN28" s="914"/>
      <c r="WGO28" s="914"/>
      <c r="WGP28" s="914"/>
      <c r="WGQ28" s="914"/>
      <c r="WGR28" s="914"/>
      <c r="WGS28" s="914"/>
      <c r="WGT28" s="911"/>
      <c r="WGU28" s="911"/>
      <c r="WGV28" s="911"/>
      <c r="WGW28" s="915"/>
      <c r="WGX28" s="914"/>
      <c r="WGY28" s="914"/>
      <c r="WGZ28" s="914"/>
      <c r="WHA28" s="914"/>
      <c r="WHB28" s="914"/>
      <c r="WHC28" s="914"/>
      <c r="WHD28" s="914"/>
      <c r="WHE28" s="911"/>
      <c r="WHF28" s="911"/>
      <c r="WHG28" s="911"/>
      <c r="WHH28" s="915"/>
      <c r="WHI28" s="914"/>
      <c r="WHJ28" s="914"/>
      <c r="WHK28" s="914"/>
      <c r="WHL28" s="914"/>
      <c r="WHM28" s="914"/>
      <c r="WHN28" s="914"/>
      <c r="WHO28" s="914"/>
      <c r="WHP28" s="911"/>
      <c r="WHQ28" s="911"/>
      <c r="WHR28" s="911"/>
      <c r="WHS28" s="915"/>
      <c r="WHT28" s="914"/>
      <c r="WHU28" s="914"/>
      <c r="WHV28" s="914"/>
      <c r="WHW28" s="914"/>
      <c r="WHX28" s="914"/>
      <c r="WHY28" s="914"/>
      <c r="WHZ28" s="914"/>
      <c r="WIA28" s="911"/>
      <c r="WIB28" s="911"/>
      <c r="WIC28" s="911"/>
      <c r="WID28" s="915"/>
      <c r="WIE28" s="914"/>
      <c r="WIF28" s="914"/>
      <c r="WIG28" s="914"/>
      <c r="WIH28" s="914"/>
      <c r="WII28" s="914"/>
      <c r="WIJ28" s="914"/>
      <c r="WIK28" s="914"/>
      <c r="WIL28" s="911"/>
      <c r="WIM28" s="911"/>
      <c r="WIN28" s="911"/>
      <c r="WIO28" s="915"/>
      <c r="WIP28" s="914"/>
      <c r="WIQ28" s="914"/>
      <c r="WIR28" s="914"/>
      <c r="WIS28" s="914"/>
      <c r="WIT28" s="914"/>
      <c r="WIU28" s="914"/>
      <c r="WIV28" s="914"/>
      <c r="WIW28" s="911"/>
      <c r="WIX28" s="911"/>
      <c r="WIY28" s="911"/>
      <c r="WIZ28" s="915"/>
      <c r="WJA28" s="914"/>
      <c r="WJB28" s="914"/>
      <c r="WJC28" s="914"/>
      <c r="WJD28" s="914"/>
      <c r="WJE28" s="914"/>
      <c r="WJF28" s="914"/>
      <c r="WJG28" s="914"/>
      <c r="WJH28" s="911"/>
      <c r="WJI28" s="911"/>
      <c r="WJJ28" s="911"/>
      <c r="WJK28" s="915"/>
      <c r="WJL28" s="914"/>
      <c r="WJM28" s="914"/>
      <c r="WJN28" s="914"/>
      <c r="WJO28" s="914"/>
      <c r="WJP28" s="914"/>
      <c r="WJQ28" s="914"/>
      <c r="WJR28" s="914"/>
      <c r="WJS28" s="911"/>
      <c r="WJT28" s="911"/>
      <c r="WJU28" s="911"/>
      <c r="WJV28" s="915"/>
      <c r="WJW28" s="914"/>
      <c r="WJX28" s="914"/>
      <c r="WJY28" s="914"/>
      <c r="WJZ28" s="914"/>
      <c r="WKA28" s="914"/>
      <c r="WKB28" s="914"/>
      <c r="WKC28" s="914"/>
      <c r="WKD28" s="911"/>
      <c r="WKE28" s="911"/>
      <c r="WKF28" s="911"/>
      <c r="WKG28" s="915"/>
      <c r="WKH28" s="914"/>
      <c r="WKI28" s="914"/>
      <c r="WKJ28" s="914"/>
      <c r="WKK28" s="914"/>
      <c r="WKL28" s="914"/>
      <c r="WKM28" s="914"/>
      <c r="WKN28" s="914"/>
      <c r="WKO28" s="911"/>
      <c r="WKP28" s="911"/>
      <c r="WKQ28" s="911"/>
      <c r="WKR28" s="915"/>
      <c r="WKS28" s="914"/>
      <c r="WKT28" s="914"/>
      <c r="WKU28" s="914"/>
      <c r="WKV28" s="914"/>
      <c r="WKW28" s="914"/>
      <c r="WKX28" s="914"/>
      <c r="WKY28" s="914"/>
      <c r="WKZ28" s="911"/>
      <c r="WLA28" s="911"/>
      <c r="WLB28" s="911"/>
      <c r="WLC28" s="915"/>
      <c r="WLD28" s="914"/>
      <c r="WLE28" s="914"/>
      <c r="WLF28" s="914"/>
      <c r="WLG28" s="914"/>
      <c r="WLH28" s="914"/>
      <c r="WLI28" s="914"/>
      <c r="WLJ28" s="914"/>
      <c r="WLK28" s="911"/>
      <c r="WLL28" s="911"/>
      <c r="WLM28" s="911"/>
      <c r="WLN28" s="915"/>
      <c r="WLO28" s="914"/>
      <c r="WLP28" s="914"/>
      <c r="WLQ28" s="914"/>
      <c r="WLR28" s="914"/>
      <c r="WLS28" s="914"/>
      <c r="WLT28" s="914"/>
      <c r="WLU28" s="914"/>
      <c r="WLV28" s="911"/>
      <c r="WLW28" s="911"/>
      <c r="WLX28" s="911"/>
      <c r="WLY28" s="915"/>
      <c r="WLZ28" s="914"/>
      <c r="WMA28" s="914"/>
      <c r="WMB28" s="914"/>
      <c r="WMC28" s="914"/>
      <c r="WMD28" s="914"/>
      <c r="WME28" s="914"/>
      <c r="WMF28" s="914"/>
      <c r="WMG28" s="911"/>
      <c r="WMH28" s="911"/>
      <c r="WMI28" s="911"/>
      <c r="WMJ28" s="915"/>
      <c r="WMK28" s="914"/>
      <c r="WML28" s="914"/>
      <c r="WMM28" s="914"/>
      <c r="WMN28" s="914"/>
      <c r="WMO28" s="914"/>
      <c r="WMP28" s="914"/>
      <c r="WMQ28" s="914"/>
      <c r="WMR28" s="911"/>
      <c r="WMS28" s="911"/>
      <c r="WMT28" s="911"/>
      <c r="WMU28" s="915"/>
      <c r="WMV28" s="914"/>
      <c r="WMW28" s="914"/>
      <c r="WMX28" s="914"/>
      <c r="WMY28" s="914"/>
      <c r="WMZ28" s="914"/>
      <c r="WNA28" s="914"/>
      <c r="WNB28" s="914"/>
      <c r="WNC28" s="911"/>
      <c r="WND28" s="911"/>
      <c r="WNE28" s="911"/>
      <c r="WNF28" s="915"/>
      <c r="WNG28" s="914"/>
      <c r="WNH28" s="914"/>
      <c r="WNI28" s="914"/>
      <c r="WNJ28" s="914"/>
      <c r="WNK28" s="914"/>
      <c r="WNL28" s="914"/>
      <c r="WNM28" s="914"/>
      <c r="WNN28" s="911"/>
      <c r="WNO28" s="911"/>
      <c r="WNP28" s="911"/>
      <c r="WNQ28" s="915"/>
      <c r="WNR28" s="914"/>
      <c r="WNS28" s="914"/>
      <c r="WNT28" s="914"/>
      <c r="WNU28" s="914"/>
      <c r="WNV28" s="914"/>
      <c r="WNW28" s="914"/>
      <c r="WNX28" s="914"/>
      <c r="WNY28" s="911"/>
      <c r="WNZ28" s="911"/>
      <c r="WOA28" s="911"/>
      <c r="WOB28" s="915"/>
      <c r="WOC28" s="914"/>
      <c r="WOD28" s="914"/>
      <c r="WOE28" s="914"/>
      <c r="WOF28" s="914"/>
      <c r="WOG28" s="914"/>
      <c r="WOH28" s="914"/>
      <c r="WOI28" s="914"/>
      <c r="WOJ28" s="911"/>
      <c r="WOK28" s="911"/>
      <c r="WOL28" s="911"/>
      <c r="WOM28" s="915"/>
      <c r="WON28" s="914"/>
      <c r="WOO28" s="914"/>
      <c r="WOP28" s="914"/>
      <c r="WOQ28" s="914"/>
      <c r="WOR28" s="914"/>
      <c r="WOS28" s="914"/>
      <c r="WOT28" s="914"/>
      <c r="WOU28" s="911"/>
      <c r="WOV28" s="911"/>
      <c r="WOW28" s="911"/>
      <c r="WOX28" s="915"/>
      <c r="WOY28" s="914"/>
      <c r="WOZ28" s="914"/>
      <c r="WPA28" s="914"/>
      <c r="WPB28" s="914"/>
      <c r="WPC28" s="914"/>
      <c r="WPD28" s="914"/>
      <c r="WPE28" s="914"/>
      <c r="WPF28" s="911"/>
      <c r="WPG28" s="911"/>
      <c r="WPH28" s="911"/>
      <c r="WPI28" s="915"/>
      <c r="WPJ28" s="914"/>
      <c r="WPK28" s="914"/>
      <c r="WPL28" s="914"/>
      <c r="WPM28" s="914"/>
      <c r="WPN28" s="914"/>
      <c r="WPO28" s="914"/>
      <c r="WPP28" s="914"/>
      <c r="WPQ28" s="911"/>
      <c r="WPR28" s="911"/>
      <c r="WPS28" s="911"/>
      <c r="WPT28" s="915"/>
      <c r="WPU28" s="914"/>
      <c r="WPV28" s="914"/>
      <c r="WPW28" s="914"/>
      <c r="WPX28" s="914"/>
      <c r="WPY28" s="914"/>
      <c r="WPZ28" s="914"/>
      <c r="WQA28" s="914"/>
      <c r="WQB28" s="911"/>
      <c r="WQC28" s="911"/>
      <c r="WQD28" s="911"/>
      <c r="WQE28" s="915"/>
      <c r="WQF28" s="914"/>
      <c r="WQG28" s="914"/>
      <c r="WQH28" s="914"/>
      <c r="WQI28" s="914"/>
      <c r="WQJ28" s="914"/>
      <c r="WQK28" s="914"/>
      <c r="WQL28" s="914"/>
      <c r="WQM28" s="911"/>
      <c r="WQN28" s="911"/>
      <c r="WQO28" s="911"/>
      <c r="WQP28" s="915"/>
      <c r="WQQ28" s="914"/>
      <c r="WQR28" s="914"/>
      <c r="WQS28" s="914"/>
      <c r="WQT28" s="914"/>
      <c r="WQU28" s="914"/>
      <c r="WQV28" s="914"/>
      <c r="WQW28" s="914"/>
      <c r="WQX28" s="911"/>
      <c r="WQY28" s="911"/>
      <c r="WQZ28" s="911"/>
      <c r="WRA28" s="915"/>
      <c r="WRB28" s="914"/>
      <c r="WRC28" s="914"/>
      <c r="WRD28" s="914"/>
      <c r="WRE28" s="914"/>
      <c r="WRF28" s="914"/>
      <c r="WRG28" s="914"/>
      <c r="WRH28" s="914"/>
      <c r="WRI28" s="911"/>
      <c r="WRJ28" s="911"/>
      <c r="WRK28" s="911"/>
      <c r="WRL28" s="915"/>
      <c r="WRM28" s="914"/>
      <c r="WRN28" s="914"/>
      <c r="WRO28" s="914"/>
      <c r="WRP28" s="914"/>
      <c r="WRQ28" s="914"/>
      <c r="WRR28" s="914"/>
      <c r="WRS28" s="914"/>
      <c r="WRT28" s="911"/>
      <c r="WRU28" s="911"/>
      <c r="WRV28" s="911"/>
      <c r="WRW28" s="915"/>
      <c r="WRX28" s="914"/>
      <c r="WRY28" s="914"/>
      <c r="WRZ28" s="914"/>
      <c r="WSA28" s="914"/>
      <c r="WSB28" s="914"/>
      <c r="WSC28" s="914"/>
      <c r="WSD28" s="914"/>
      <c r="WSE28" s="911"/>
      <c r="WSF28" s="911"/>
      <c r="WSG28" s="911"/>
      <c r="WSH28" s="915"/>
      <c r="WSI28" s="914"/>
      <c r="WSJ28" s="914"/>
      <c r="WSK28" s="914"/>
      <c r="WSL28" s="914"/>
      <c r="WSM28" s="914"/>
      <c r="WSN28" s="914"/>
      <c r="WSO28" s="914"/>
      <c r="WSP28" s="911"/>
      <c r="WSQ28" s="911"/>
      <c r="WSR28" s="911"/>
      <c r="WSS28" s="915"/>
      <c r="WST28" s="914"/>
      <c r="WSU28" s="914"/>
      <c r="WSV28" s="914"/>
      <c r="WSW28" s="914"/>
      <c r="WSX28" s="914"/>
      <c r="WSY28" s="914"/>
      <c r="WSZ28" s="914"/>
      <c r="WTA28" s="911"/>
      <c r="WTB28" s="911"/>
      <c r="WTC28" s="911"/>
      <c r="WTD28" s="915"/>
      <c r="WTE28" s="914"/>
      <c r="WTF28" s="914"/>
      <c r="WTG28" s="914"/>
      <c r="WTH28" s="914"/>
      <c r="WTI28" s="914"/>
      <c r="WTJ28" s="914"/>
      <c r="WTK28" s="914"/>
      <c r="WTL28" s="911"/>
      <c r="WTM28" s="911"/>
      <c r="WTN28" s="911"/>
      <c r="WTO28" s="915"/>
      <c r="WTP28" s="914"/>
      <c r="WTQ28" s="914"/>
      <c r="WTR28" s="914"/>
      <c r="WTS28" s="914"/>
      <c r="WTT28" s="914"/>
      <c r="WTU28" s="914"/>
      <c r="WTV28" s="914"/>
      <c r="WTW28" s="911"/>
      <c r="WTX28" s="911"/>
      <c r="WTY28" s="911"/>
      <c r="WTZ28" s="915"/>
      <c r="WUA28" s="914"/>
      <c r="WUB28" s="914"/>
      <c r="WUC28" s="914"/>
      <c r="WUD28" s="914"/>
      <c r="WUE28" s="914"/>
      <c r="WUF28" s="914"/>
      <c r="WUG28" s="914"/>
      <c r="WUH28" s="911"/>
      <c r="WUI28" s="911"/>
      <c r="WUJ28" s="911"/>
      <c r="WUK28" s="915"/>
      <c r="WUL28" s="914"/>
      <c r="WUM28" s="914"/>
      <c r="WUN28" s="914"/>
      <c r="WUO28" s="914"/>
      <c r="WUP28" s="914"/>
      <c r="WUQ28" s="914"/>
      <c r="WUR28" s="914"/>
      <c r="WUS28" s="911"/>
      <c r="WUT28" s="911"/>
      <c r="WUU28" s="911"/>
      <c r="WUV28" s="915"/>
      <c r="WUW28" s="914"/>
      <c r="WUX28" s="914"/>
      <c r="WUY28" s="914"/>
      <c r="WUZ28" s="914"/>
      <c r="WVA28" s="914"/>
      <c r="WVB28" s="914"/>
      <c r="WVC28" s="914"/>
      <c r="WVD28" s="911"/>
      <c r="WVE28" s="911"/>
      <c r="WVF28" s="911"/>
      <c r="WVG28" s="915"/>
      <c r="WVH28" s="914"/>
      <c r="WVI28" s="914"/>
      <c r="WVJ28" s="914"/>
      <c r="WVK28" s="914"/>
      <c r="WVL28" s="914"/>
      <c r="WVM28" s="914"/>
      <c r="WVN28" s="914"/>
      <c r="WVO28" s="911"/>
      <c r="WVP28" s="911"/>
      <c r="WVQ28" s="911"/>
      <c r="WVR28" s="915"/>
      <c r="WVS28" s="914"/>
      <c r="WVT28" s="914"/>
      <c r="WVU28" s="914"/>
      <c r="WVV28" s="914"/>
      <c r="WVW28" s="914"/>
      <c r="WVX28" s="914"/>
      <c r="WVY28" s="914"/>
      <c r="WVZ28" s="911"/>
      <c r="WWA28" s="911"/>
      <c r="WWB28" s="911"/>
      <c r="WWC28" s="915"/>
      <c r="WWD28" s="914"/>
      <c r="WWE28" s="914"/>
      <c r="WWF28" s="914"/>
      <c r="WWG28" s="914"/>
      <c r="WWH28" s="914"/>
      <c r="WWI28" s="914"/>
      <c r="WWJ28" s="914"/>
      <c r="WWK28" s="911"/>
      <c r="WWL28" s="911"/>
      <c r="WWM28" s="911"/>
      <c r="WWN28" s="915"/>
      <c r="WWO28" s="914"/>
      <c r="WWP28" s="914"/>
      <c r="WWQ28" s="914"/>
      <c r="WWR28" s="914"/>
      <c r="WWS28" s="914"/>
      <c r="WWT28" s="914"/>
      <c r="WWU28" s="914"/>
      <c r="WWV28" s="911"/>
      <c r="WWW28" s="911"/>
      <c r="WWX28" s="911"/>
      <c r="WWY28" s="915"/>
      <c r="WWZ28" s="914"/>
      <c r="WXA28" s="914"/>
      <c r="WXB28" s="914"/>
      <c r="WXC28" s="914"/>
      <c r="WXD28" s="914"/>
      <c r="WXE28" s="914"/>
      <c r="WXF28" s="914"/>
      <c r="WXG28" s="911"/>
      <c r="WXH28" s="911"/>
      <c r="WXI28" s="911"/>
      <c r="WXJ28" s="915"/>
      <c r="WXK28" s="914"/>
      <c r="WXL28" s="914"/>
      <c r="WXM28" s="914"/>
      <c r="WXN28" s="914"/>
      <c r="WXO28" s="914"/>
      <c r="WXP28" s="914"/>
      <c r="WXQ28" s="914"/>
      <c r="WXR28" s="911"/>
      <c r="WXS28" s="911"/>
      <c r="WXT28" s="911"/>
      <c r="WXU28" s="915"/>
      <c r="WXV28" s="914"/>
      <c r="WXW28" s="914"/>
      <c r="WXX28" s="914"/>
      <c r="WXY28" s="914"/>
      <c r="WXZ28" s="914"/>
      <c r="WYA28" s="914"/>
      <c r="WYB28" s="914"/>
      <c r="WYC28" s="911"/>
      <c r="WYD28" s="911"/>
      <c r="WYE28" s="911"/>
      <c r="WYF28" s="915"/>
      <c r="WYG28" s="914"/>
      <c r="WYH28" s="914"/>
      <c r="WYI28" s="914"/>
      <c r="WYJ28" s="914"/>
      <c r="WYK28" s="914"/>
      <c r="WYL28" s="914"/>
      <c r="WYM28" s="914"/>
      <c r="WYN28" s="911"/>
      <c r="WYO28" s="911"/>
      <c r="WYP28" s="911"/>
      <c r="WYQ28" s="915"/>
      <c r="WYR28" s="914"/>
      <c r="WYS28" s="914"/>
      <c r="WYT28" s="914"/>
      <c r="WYU28" s="914"/>
      <c r="WYV28" s="914"/>
      <c r="WYW28" s="914"/>
      <c r="WYX28" s="914"/>
      <c r="WYY28" s="911"/>
      <c r="WYZ28" s="911"/>
      <c r="WZA28" s="911"/>
      <c r="WZB28" s="915"/>
      <c r="WZC28" s="914"/>
      <c r="WZD28" s="914"/>
      <c r="WZE28" s="914"/>
      <c r="WZF28" s="914"/>
      <c r="WZG28" s="914"/>
      <c r="WZH28" s="914"/>
      <c r="WZI28" s="914"/>
      <c r="WZJ28" s="911"/>
      <c r="WZK28" s="911"/>
      <c r="WZL28" s="911"/>
      <c r="WZM28" s="915"/>
      <c r="WZN28" s="914"/>
      <c r="WZO28" s="914"/>
      <c r="WZP28" s="914"/>
      <c r="WZQ28" s="914"/>
      <c r="WZR28" s="914"/>
      <c r="WZS28" s="914"/>
      <c r="WZT28" s="914"/>
      <c r="WZU28" s="911"/>
      <c r="WZV28" s="911"/>
      <c r="WZW28" s="911"/>
      <c r="WZX28" s="915"/>
      <c r="WZY28" s="914"/>
      <c r="WZZ28" s="914"/>
      <c r="XAA28" s="914"/>
      <c r="XAB28" s="914"/>
      <c r="XAC28" s="914"/>
      <c r="XAD28" s="914"/>
      <c r="XAE28" s="914"/>
      <c r="XAF28" s="911"/>
      <c r="XAG28" s="911"/>
      <c r="XAH28" s="911"/>
      <c r="XAI28" s="915"/>
      <c r="XAJ28" s="914"/>
      <c r="XAK28" s="914"/>
      <c r="XAL28" s="914"/>
      <c r="XAM28" s="914"/>
      <c r="XAN28" s="914"/>
      <c r="XAO28" s="914"/>
      <c r="XAP28" s="914"/>
      <c r="XAQ28" s="911"/>
      <c r="XAR28" s="911"/>
      <c r="XAS28" s="911"/>
      <c r="XAT28" s="915"/>
      <c r="XAU28" s="914"/>
      <c r="XAV28" s="914"/>
      <c r="XAW28" s="914"/>
      <c r="XAX28" s="914"/>
      <c r="XAY28" s="914"/>
      <c r="XAZ28" s="914"/>
      <c r="XBA28" s="914"/>
      <c r="XBB28" s="911"/>
      <c r="XBC28" s="911"/>
      <c r="XBD28" s="911"/>
      <c r="XBE28" s="915"/>
      <c r="XBF28" s="914"/>
      <c r="XBG28" s="914"/>
      <c r="XBH28" s="914"/>
      <c r="XBI28" s="914"/>
      <c r="XBJ28" s="914"/>
      <c r="XBK28" s="914"/>
      <c r="XBL28" s="914"/>
      <c r="XBM28" s="911"/>
      <c r="XBN28" s="911"/>
      <c r="XBO28" s="911"/>
      <c r="XBP28" s="915"/>
      <c r="XBQ28" s="914"/>
      <c r="XBR28" s="914"/>
      <c r="XBS28" s="914"/>
      <c r="XBT28" s="914"/>
      <c r="XBU28" s="914"/>
      <c r="XBV28" s="914"/>
      <c r="XBW28" s="914"/>
      <c r="XBX28" s="911"/>
      <c r="XBY28" s="911"/>
      <c r="XBZ28" s="911"/>
      <c r="XCA28" s="915"/>
      <c r="XCB28" s="914"/>
      <c r="XCC28" s="914"/>
      <c r="XCD28" s="914"/>
      <c r="XCE28" s="914"/>
      <c r="XCF28" s="914"/>
      <c r="XCG28" s="914"/>
      <c r="XCH28" s="914"/>
      <c r="XCI28" s="911"/>
      <c r="XCJ28" s="911"/>
      <c r="XCK28" s="911"/>
      <c r="XCL28" s="915"/>
      <c r="XCM28" s="914"/>
      <c r="XCN28" s="914"/>
      <c r="XCO28" s="914"/>
      <c r="XCP28" s="914"/>
      <c r="XCQ28" s="914"/>
      <c r="XCR28" s="914"/>
      <c r="XCS28" s="914"/>
      <c r="XCT28" s="911"/>
      <c r="XCU28" s="911"/>
      <c r="XCV28" s="911"/>
      <c r="XCW28" s="915"/>
      <c r="XCX28" s="914"/>
      <c r="XCY28" s="914"/>
      <c r="XCZ28" s="914"/>
      <c r="XDA28" s="914"/>
      <c r="XDB28" s="914"/>
      <c r="XDC28" s="914"/>
      <c r="XDD28" s="914"/>
      <c r="XDE28" s="911"/>
      <c r="XDF28" s="911"/>
      <c r="XDG28" s="911"/>
      <c r="XDH28" s="915"/>
      <c r="XDI28" s="914"/>
      <c r="XDJ28" s="914"/>
      <c r="XDK28" s="914"/>
      <c r="XDL28" s="914"/>
      <c r="XDM28" s="914"/>
      <c r="XDN28" s="914"/>
      <c r="XDO28" s="914"/>
      <c r="XDP28" s="911"/>
      <c r="XDQ28" s="911"/>
      <c r="XDR28" s="911"/>
      <c r="XDS28" s="915"/>
      <c r="XDT28" s="914"/>
      <c r="XDU28" s="914"/>
      <c r="XDV28" s="914"/>
      <c r="XDW28" s="914"/>
      <c r="XDX28" s="914"/>
      <c r="XDY28" s="914"/>
      <c r="XDZ28" s="914"/>
      <c r="XEA28" s="911"/>
      <c r="XEB28" s="911"/>
      <c r="XEC28" s="911"/>
      <c r="XED28" s="915"/>
      <c r="XEE28" s="914"/>
      <c r="XEF28" s="914"/>
      <c r="XEG28" s="914"/>
      <c r="XEH28" s="914"/>
      <c r="XEI28" s="914"/>
      <c r="XEJ28" s="914"/>
      <c r="XEK28" s="914"/>
      <c r="XEL28" s="911"/>
      <c r="XEM28" s="911"/>
      <c r="XEN28" s="911"/>
      <c r="XEO28" s="915"/>
      <c r="XEP28" s="914"/>
      <c r="XEQ28" s="914"/>
      <c r="XER28" s="914"/>
      <c r="XES28" s="914"/>
      <c r="XET28" s="914"/>
      <c r="XEU28" s="914"/>
      <c r="XEV28" s="914"/>
      <c r="XEW28" s="911"/>
      <c r="XEX28" s="911"/>
      <c r="XEY28" s="911"/>
      <c r="XEZ28" s="915"/>
      <c r="XFA28" s="914"/>
      <c r="XFB28" s="914"/>
      <c r="XFC28" s="914"/>
      <c r="XFD28" s="914"/>
    </row>
    <row r="29" spans="1:16384" s="675" customFormat="1" ht="13">
      <c r="A29" s="915" t="s">
        <v>654</v>
      </c>
      <c r="B29" s="914"/>
      <c r="C29" s="914"/>
      <c r="D29" s="914"/>
      <c r="E29" s="914"/>
      <c r="F29" s="914"/>
      <c r="G29" s="914"/>
      <c r="H29" s="914"/>
      <c r="I29" s="911"/>
      <c r="J29" s="911"/>
      <c r="K29" s="911"/>
      <c r="L29" s="915"/>
      <c r="M29" s="914"/>
      <c r="N29" s="914"/>
      <c r="O29" s="914"/>
      <c r="P29" s="914"/>
      <c r="Q29" s="914"/>
      <c r="R29" s="914"/>
      <c r="S29" s="914"/>
      <c r="T29" s="911"/>
      <c r="U29" s="911"/>
      <c r="V29" s="911"/>
      <c r="W29" s="915"/>
      <c r="X29" s="914"/>
      <c r="Y29" s="914"/>
      <c r="Z29" s="914"/>
      <c r="AA29" s="914"/>
      <c r="AB29" s="914"/>
      <c r="AC29" s="914"/>
      <c r="AD29" s="914"/>
      <c r="AE29" s="911"/>
      <c r="AF29" s="911"/>
      <c r="AG29" s="911"/>
      <c r="AH29" s="915"/>
      <c r="AI29" s="914"/>
      <c r="AJ29" s="914"/>
      <c r="AK29" s="914"/>
      <c r="AL29" s="914"/>
      <c r="AM29" s="914"/>
      <c r="AN29" s="914"/>
      <c r="AO29" s="914"/>
      <c r="AP29" s="911"/>
      <c r="AQ29" s="911"/>
      <c r="AR29" s="911"/>
      <c r="AS29" s="915"/>
      <c r="AT29" s="914"/>
      <c r="AU29" s="914"/>
      <c r="AV29" s="914"/>
      <c r="AW29" s="914"/>
      <c r="AX29" s="914"/>
      <c r="AY29" s="914"/>
      <c r="AZ29" s="914"/>
      <c r="BA29" s="911"/>
      <c r="BB29" s="911"/>
      <c r="BC29" s="911"/>
      <c r="BD29" s="915"/>
      <c r="BE29" s="914"/>
      <c r="BF29" s="914"/>
      <c r="BG29" s="914"/>
      <c r="BH29" s="914"/>
      <c r="BI29" s="914"/>
      <c r="BJ29" s="914"/>
      <c r="BK29" s="914"/>
      <c r="BL29" s="911"/>
      <c r="BM29" s="911"/>
      <c r="BN29" s="911"/>
      <c r="BO29" s="915"/>
      <c r="BP29" s="914"/>
      <c r="BQ29" s="914"/>
      <c r="BR29" s="914"/>
      <c r="BS29" s="914"/>
      <c r="BT29" s="914"/>
      <c r="BU29" s="914"/>
      <c r="BV29" s="914"/>
      <c r="BW29" s="911"/>
      <c r="BX29" s="911"/>
      <c r="BY29" s="911"/>
      <c r="BZ29" s="915"/>
      <c r="CA29" s="914"/>
      <c r="CB29" s="914"/>
      <c r="CC29" s="914"/>
      <c r="CD29" s="914"/>
      <c r="CE29" s="914"/>
      <c r="CF29" s="914"/>
      <c r="CG29" s="914"/>
      <c r="CH29" s="911"/>
      <c r="CI29" s="911"/>
      <c r="CJ29" s="911"/>
      <c r="CK29" s="915"/>
      <c r="CL29" s="914"/>
      <c r="CM29" s="914"/>
      <c r="CN29" s="914"/>
      <c r="CO29" s="914"/>
      <c r="CP29" s="914"/>
      <c r="CQ29" s="914"/>
      <c r="CR29" s="914"/>
      <c r="CS29" s="911"/>
      <c r="CT29" s="911"/>
      <c r="CU29" s="911"/>
      <c r="CV29" s="915"/>
      <c r="CW29" s="914"/>
      <c r="CX29" s="914"/>
      <c r="CY29" s="914"/>
      <c r="CZ29" s="914"/>
      <c r="DA29" s="914"/>
      <c r="DB29" s="914"/>
      <c r="DC29" s="914"/>
      <c r="DD29" s="911"/>
      <c r="DE29" s="911"/>
      <c r="DF29" s="911"/>
      <c r="DG29" s="915"/>
      <c r="DH29" s="914"/>
      <c r="DI29" s="914"/>
      <c r="DJ29" s="914"/>
      <c r="DK29" s="914"/>
      <c r="DL29" s="914"/>
      <c r="DM29" s="914"/>
      <c r="DN29" s="914"/>
      <c r="DO29" s="911"/>
      <c r="DP29" s="911"/>
      <c r="DQ29" s="911"/>
      <c r="DR29" s="915"/>
      <c r="DS29" s="914"/>
      <c r="DT29" s="914"/>
      <c r="DU29" s="914"/>
      <c r="DV29" s="914"/>
      <c r="DW29" s="914"/>
      <c r="DX29" s="914"/>
      <c r="DY29" s="914"/>
      <c r="DZ29" s="911"/>
      <c r="EA29" s="911"/>
      <c r="EB29" s="911"/>
      <c r="EC29" s="915"/>
      <c r="ED29" s="914"/>
      <c r="EE29" s="914"/>
      <c r="EF29" s="914"/>
      <c r="EG29" s="914"/>
      <c r="EH29" s="914"/>
      <c r="EI29" s="914"/>
      <c r="EJ29" s="914"/>
      <c r="EK29" s="911"/>
      <c r="EL29" s="911"/>
      <c r="EM29" s="911"/>
      <c r="EN29" s="915"/>
      <c r="EO29" s="914"/>
      <c r="EP29" s="914"/>
      <c r="EQ29" s="914"/>
      <c r="ER29" s="914"/>
      <c r="ES29" s="914"/>
      <c r="ET29" s="914"/>
      <c r="EU29" s="914"/>
      <c r="EV29" s="911"/>
      <c r="EW29" s="911"/>
      <c r="EX29" s="911"/>
      <c r="EY29" s="915"/>
      <c r="EZ29" s="914"/>
      <c r="FA29" s="914"/>
      <c r="FB29" s="914"/>
      <c r="FC29" s="914"/>
      <c r="FD29" s="914"/>
      <c r="FE29" s="914"/>
      <c r="FF29" s="914"/>
      <c r="FG29" s="911"/>
      <c r="FH29" s="911"/>
      <c r="FI29" s="911"/>
      <c r="FJ29" s="915"/>
      <c r="FK29" s="914"/>
      <c r="FL29" s="914"/>
      <c r="FM29" s="914"/>
      <c r="FN29" s="914"/>
      <c r="FO29" s="914"/>
      <c r="FP29" s="914"/>
      <c r="FQ29" s="914"/>
      <c r="FR29" s="911"/>
      <c r="FS29" s="911"/>
      <c r="FT29" s="911"/>
      <c r="FU29" s="915"/>
      <c r="FV29" s="914"/>
      <c r="FW29" s="914"/>
      <c r="FX29" s="914"/>
      <c r="FY29" s="914"/>
      <c r="FZ29" s="914"/>
      <c r="GA29" s="914"/>
      <c r="GB29" s="914"/>
      <c r="GC29" s="911"/>
      <c r="GD29" s="911"/>
      <c r="GE29" s="911"/>
      <c r="GF29" s="915"/>
      <c r="GG29" s="914"/>
      <c r="GH29" s="914"/>
      <c r="GI29" s="914"/>
      <c r="GJ29" s="914"/>
      <c r="GK29" s="914"/>
      <c r="GL29" s="914"/>
      <c r="GM29" s="914"/>
      <c r="GN29" s="911"/>
      <c r="GO29" s="911"/>
      <c r="GP29" s="911"/>
      <c r="GQ29" s="915"/>
      <c r="GR29" s="914"/>
      <c r="GS29" s="914"/>
      <c r="GT29" s="914"/>
      <c r="GU29" s="914"/>
      <c r="GV29" s="914"/>
      <c r="GW29" s="914"/>
      <c r="GX29" s="914"/>
      <c r="GY29" s="911"/>
      <c r="GZ29" s="911"/>
      <c r="HA29" s="911"/>
      <c r="HB29" s="915"/>
      <c r="HC29" s="914"/>
      <c r="HD29" s="914"/>
      <c r="HE29" s="914"/>
      <c r="HF29" s="914"/>
      <c r="HG29" s="914"/>
      <c r="HH29" s="914"/>
      <c r="HI29" s="914"/>
      <c r="HJ29" s="911"/>
      <c r="HK29" s="911"/>
      <c r="HL29" s="911"/>
      <c r="HM29" s="915"/>
      <c r="HN29" s="914"/>
      <c r="HO29" s="914"/>
      <c r="HP29" s="914"/>
      <c r="HQ29" s="914"/>
      <c r="HR29" s="914"/>
      <c r="HS29" s="914"/>
      <c r="HT29" s="914"/>
      <c r="HU29" s="911"/>
      <c r="HV29" s="911"/>
      <c r="HW29" s="911"/>
      <c r="HX29" s="915"/>
      <c r="HY29" s="914"/>
      <c r="HZ29" s="914"/>
      <c r="IA29" s="914"/>
      <c r="IB29" s="914"/>
      <c r="IC29" s="914"/>
      <c r="ID29" s="914"/>
      <c r="IE29" s="914"/>
      <c r="IF29" s="911"/>
      <c r="IG29" s="911"/>
      <c r="IH29" s="911"/>
      <c r="II29" s="915"/>
      <c r="IJ29" s="914"/>
      <c r="IK29" s="914"/>
      <c r="IL29" s="914"/>
      <c r="IM29" s="914"/>
      <c r="IN29" s="914"/>
      <c r="IO29" s="914"/>
      <c r="IP29" s="914"/>
      <c r="IQ29" s="911"/>
      <c r="IR29" s="911"/>
      <c r="IS29" s="911"/>
      <c r="IT29" s="915"/>
      <c r="IU29" s="914"/>
      <c r="IV29" s="914"/>
      <c r="IW29" s="914"/>
      <c r="IX29" s="914"/>
      <c r="IY29" s="914"/>
      <c r="IZ29" s="914"/>
      <c r="JA29" s="914"/>
      <c r="JB29" s="911"/>
      <c r="JC29" s="911"/>
      <c r="JD29" s="911"/>
      <c r="JE29" s="915"/>
      <c r="JF29" s="914"/>
      <c r="JG29" s="914"/>
      <c r="JH29" s="914"/>
      <c r="JI29" s="914"/>
      <c r="JJ29" s="914"/>
      <c r="JK29" s="914"/>
      <c r="JL29" s="914"/>
      <c r="JM29" s="911"/>
      <c r="JN29" s="911"/>
      <c r="JO29" s="911"/>
      <c r="JP29" s="915"/>
      <c r="JQ29" s="914"/>
      <c r="JR29" s="914"/>
      <c r="JS29" s="914"/>
      <c r="JT29" s="914"/>
      <c r="JU29" s="914"/>
      <c r="JV29" s="914"/>
      <c r="JW29" s="914"/>
      <c r="JX29" s="911"/>
      <c r="JY29" s="911"/>
      <c r="JZ29" s="911"/>
      <c r="KA29" s="915"/>
      <c r="KB29" s="914"/>
      <c r="KC29" s="914"/>
      <c r="KD29" s="914"/>
      <c r="KE29" s="914"/>
      <c r="KF29" s="914"/>
      <c r="KG29" s="914"/>
      <c r="KH29" s="914"/>
      <c r="KI29" s="911"/>
      <c r="KJ29" s="911"/>
      <c r="KK29" s="911"/>
      <c r="KL29" s="915"/>
      <c r="KM29" s="914"/>
      <c r="KN29" s="914"/>
      <c r="KO29" s="914"/>
      <c r="KP29" s="914"/>
      <c r="KQ29" s="914"/>
      <c r="KR29" s="914"/>
      <c r="KS29" s="914"/>
      <c r="KT29" s="911"/>
      <c r="KU29" s="911"/>
      <c r="KV29" s="911"/>
      <c r="KW29" s="915"/>
      <c r="KX29" s="914"/>
      <c r="KY29" s="914"/>
      <c r="KZ29" s="914"/>
      <c r="LA29" s="914"/>
      <c r="LB29" s="914"/>
      <c r="LC29" s="914"/>
      <c r="LD29" s="914"/>
      <c r="LE29" s="911"/>
      <c r="LF29" s="911"/>
      <c r="LG29" s="911"/>
      <c r="LH29" s="915"/>
      <c r="LI29" s="914"/>
      <c r="LJ29" s="914"/>
      <c r="LK29" s="914"/>
      <c r="LL29" s="914"/>
      <c r="LM29" s="914"/>
      <c r="LN29" s="914"/>
      <c r="LO29" s="914"/>
      <c r="LP29" s="911"/>
      <c r="LQ29" s="911"/>
      <c r="LR29" s="911"/>
      <c r="LS29" s="915"/>
      <c r="LT29" s="914"/>
      <c r="LU29" s="914"/>
      <c r="LV29" s="914"/>
      <c r="LW29" s="914"/>
      <c r="LX29" s="914"/>
      <c r="LY29" s="914"/>
      <c r="LZ29" s="914"/>
      <c r="MA29" s="911"/>
      <c r="MB29" s="911"/>
      <c r="MC29" s="911"/>
      <c r="MD29" s="915"/>
      <c r="ME29" s="914"/>
      <c r="MF29" s="914"/>
      <c r="MG29" s="914"/>
      <c r="MH29" s="914"/>
      <c r="MI29" s="914"/>
      <c r="MJ29" s="914"/>
      <c r="MK29" s="914"/>
      <c r="ML29" s="911"/>
      <c r="MM29" s="911"/>
      <c r="MN29" s="911"/>
      <c r="MO29" s="915"/>
      <c r="MP29" s="914"/>
      <c r="MQ29" s="914"/>
      <c r="MR29" s="914"/>
      <c r="MS29" s="914"/>
      <c r="MT29" s="914"/>
      <c r="MU29" s="914"/>
      <c r="MV29" s="914"/>
      <c r="MW29" s="911"/>
      <c r="MX29" s="911"/>
      <c r="MY29" s="911"/>
      <c r="MZ29" s="915"/>
      <c r="NA29" s="914"/>
      <c r="NB29" s="914"/>
      <c r="NC29" s="914"/>
      <c r="ND29" s="914"/>
      <c r="NE29" s="914"/>
      <c r="NF29" s="914"/>
      <c r="NG29" s="914"/>
      <c r="NH29" s="911"/>
      <c r="NI29" s="911"/>
      <c r="NJ29" s="911"/>
      <c r="NK29" s="915"/>
      <c r="NL29" s="914"/>
      <c r="NM29" s="914"/>
      <c r="NN29" s="914"/>
      <c r="NO29" s="914"/>
      <c r="NP29" s="914"/>
      <c r="NQ29" s="914"/>
      <c r="NR29" s="914"/>
      <c r="NS29" s="911"/>
      <c r="NT29" s="911"/>
      <c r="NU29" s="911"/>
      <c r="NV29" s="915"/>
      <c r="NW29" s="914"/>
      <c r="NX29" s="914"/>
      <c r="NY29" s="914"/>
      <c r="NZ29" s="914"/>
      <c r="OA29" s="914"/>
      <c r="OB29" s="914"/>
      <c r="OC29" s="914"/>
      <c r="OD29" s="911"/>
      <c r="OE29" s="911"/>
      <c r="OF29" s="911"/>
      <c r="OG29" s="915"/>
      <c r="OH29" s="914"/>
      <c r="OI29" s="914"/>
      <c r="OJ29" s="914"/>
      <c r="OK29" s="914"/>
      <c r="OL29" s="914"/>
      <c r="OM29" s="914"/>
      <c r="ON29" s="914"/>
      <c r="OO29" s="911"/>
      <c r="OP29" s="911"/>
      <c r="OQ29" s="911"/>
      <c r="OR29" s="915"/>
      <c r="OS29" s="914"/>
      <c r="OT29" s="914"/>
      <c r="OU29" s="914"/>
      <c r="OV29" s="914"/>
      <c r="OW29" s="914"/>
      <c r="OX29" s="914"/>
      <c r="OY29" s="914"/>
      <c r="OZ29" s="911"/>
      <c r="PA29" s="911"/>
      <c r="PB29" s="911"/>
      <c r="PC29" s="915"/>
      <c r="PD29" s="914"/>
      <c r="PE29" s="914"/>
      <c r="PF29" s="914"/>
      <c r="PG29" s="914"/>
      <c r="PH29" s="914"/>
      <c r="PI29" s="914"/>
      <c r="PJ29" s="914"/>
      <c r="PK29" s="911"/>
      <c r="PL29" s="911"/>
      <c r="PM29" s="911"/>
      <c r="PN29" s="915"/>
      <c r="PO29" s="914"/>
      <c r="PP29" s="914"/>
      <c r="PQ29" s="914"/>
      <c r="PR29" s="914"/>
      <c r="PS29" s="914"/>
      <c r="PT29" s="914"/>
      <c r="PU29" s="914"/>
      <c r="PV29" s="911"/>
      <c r="PW29" s="911"/>
      <c r="PX29" s="911"/>
      <c r="PY29" s="915"/>
      <c r="PZ29" s="914"/>
      <c r="QA29" s="914"/>
      <c r="QB29" s="914"/>
      <c r="QC29" s="914"/>
      <c r="QD29" s="914"/>
      <c r="QE29" s="914"/>
      <c r="QF29" s="914"/>
      <c r="QG29" s="911"/>
      <c r="QH29" s="911"/>
      <c r="QI29" s="911"/>
      <c r="QJ29" s="915"/>
      <c r="QK29" s="914"/>
      <c r="QL29" s="914"/>
      <c r="QM29" s="914"/>
      <c r="QN29" s="914"/>
      <c r="QO29" s="914"/>
      <c r="QP29" s="914"/>
      <c r="QQ29" s="914"/>
      <c r="QR29" s="911"/>
      <c r="QS29" s="911"/>
      <c r="QT29" s="911"/>
      <c r="QU29" s="915"/>
      <c r="QV29" s="914"/>
      <c r="QW29" s="914"/>
      <c r="QX29" s="914"/>
      <c r="QY29" s="914"/>
      <c r="QZ29" s="914"/>
      <c r="RA29" s="914"/>
      <c r="RB29" s="914"/>
      <c r="RC29" s="911"/>
      <c r="RD29" s="911"/>
      <c r="RE29" s="911"/>
      <c r="RF29" s="915"/>
      <c r="RG29" s="914"/>
      <c r="RH29" s="914"/>
      <c r="RI29" s="914"/>
      <c r="RJ29" s="914"/>
      <c r="RK29" s="914"/>
      <c r="RL29" s="914"/>
      <c r="RM29" s="914"/>
      <c r="RN29" s="911"/>
      <c r="RO29" s="911"/>
      <c r="RP29" s="911"/>
      <c r="RQ29" s="915"/>
      <c r="RR29" s="914"/>
      <c r="RS29" s="914"/>
      <c r="RT29" s="914"/>
      <c r="RU29" s="914"/>
      <c r="RV29" s="914"/>
      <c r="RW29" s="914"/>
      <c r="RX29" s="914"/>
      <c r="RY29" s="911"/>
      <c r="RZ29" s="911"/>
      <c r="SA29" s="911"/>
      <c r="SB29" s="915"/>
      <c r="SC29" s="914"/>
      <c r="SD29" s="914"/>
      <c r="SE29" s="914"/>
      <c r="SF29" s="914"/>
      <c r="SG29" s="914"/>
      <c r="SH29" s="914"/>
      <c r="SI29" s="914"/>
      <c r="SJ29" s="911"/>
      <c r="SK29" s="911"/>
      <c r="SL29" s="911"/>
      <c r="SM29" s="915"/>
      <c r="SN29" s="914"/>
      <c r="SO29" s="914"/>
      <c r="SP29" s="914"/>
      <c r="SQ29" s="914"/>
      <c r="SR29" s="914"/>
      <c r="SS29" s="914"/>
      <c r="ST29" s="914"/>
      <c r="SU29" s="911"/>
      <c r="SV29" s="911"/>
      <c r="SW29" s="911"/>
      <c r="SX29" s="915"/>
      <c r="SY29" s="914"/>
      <c r="SZ29" s="914"/>
      <c r="TA29" s="914"/>
      <c r="TB29" s="914"/>
      <c r="TC29" s="914"/>
      <c r="TD29" s="914"/>
      <c r="TE29" s="914"/>
      <c r="TF29" s="911"/>
      <c r="TG29" s="911"/>
      <c r="TH29" s="911"/>
      <c r="TI29" s="915"/>
      <c r="TJ29" s="914"/>
      <c r="TK29" s="914"/>
      <c r="TL29" s="914"/>
      <c r="TM29" s="914"/>
      <c r="TN29" s="914"/>
      <c r="TO29" s="914"/>
      <c r="TP29" s="914"/>
      <c r="TQ29" s="911"/>
      <c r="TR29" s="911"/>
      <c r="TS29" s="911"/>
      <c r="TT29" s="915"/>
      <c r="TU29" s="914"/>
      <c r="TV29" s="914"/>
      <c r="TW29" s="914"/>
      <c r="TX29" s="914"/>
      <c r="TY29" s="914"/>
      <c r="TZ29" s="914"/>
      <c r="UA29" s="914"/>
      <c r="UB29" s="911"/>
      <c r="UC29" s="911"/>
      <c r="UD29" s="911"/>
      <c r="UE29" s="915"/>
      <c r="UF29" s="914"/>
      <c r="UG29" s="914"/>
      <c r="UH29" s="914"/>
      <c r="UI29" s="914"/>
      <c r="UJ29" s="914"/>
      <c r="UK29" s="914"/>
      <c r="UL29" s="914"/>
      <c r="UM29" s="911"/>
      <c r="UN29" s="911"/>
      <c r="UO29" s="911"/>
      <c r="UP29" s="915"/>
      <c r="UQ29" s="914"/>
      <c r="UR29" s="914"/>
      <c r="US29" s="914"/>
      <c r="UT29" s="914"/>
      <c r="UU29" s="914"/>
      <c r="UV29" s="914"/>
      <c r="UW29" s="914"/>
      <c r="UX29" s="911"/>
      <c r="UY29" s="911"/>
      <c r="UZ29" s="911"/>
      <c r="VA29" s="915"/>
      <c r="VB29" s="914"/>
      <c r="VC29" s="914"/>
      <c r="VD29" s="914"/>
      <c r="VE29" s="914"/>
      <c r="VF29" s="914"/>
      <c r="VG29" s="914"/>
      <c r="VH29" s="914"/>
      <c r="VI29" s="911"/>
      <c r="VJ29" s="911"/>
      <c r="VK29" s="911"/>
      <c r="VL29" s="915"/>
      <c r="VM29" s="914"/>
      <c r="VN29" s="914"/>
      <c r="VO29" s="914"/>
      <c r="VP29" s="914"/>
      <c r="VQ29" s="914"/>
      <c r="VR29" s="914"/>
      <c r="VS29" s="914"/>
      <c r="VT29" s="911"/>
      <c r="VU29" s="911"/>
      <c r="VV29" s="911"/>
      <c r="VW29" s="915"/>
      <c r="VX29" s="914"/>
      <c r="VY29" s="914"/>
      <c r="VZ29" s="914"/>
      <c r="WA29" s="914"/>
      <c r="WB29" s="914"/>
      <c r="WC29" s="914"/>
      <c r="WD29" s="914"/>
      <c r="WE29" s="911"/>
      <c r="WF29" s="911"/>
      <c r="WG29" s="911"/>
      <c r="WH29" s="915"/>
      <c r="WI29" s="914"/>
      <c r="WJ29" s="914"/>
      <c r="WK29" s="914"/>
      <c r="WL29" s="914"/>
      <c r="WM29" s="914"/>
      <c r="WN29" s="914"/>
      <c r="WO29" s="914"/>
      <c r="WP29" s="911"/>
      <c r="WQ29" s="911"/>
      <c r="WR29" s="911"/>
      <c r="WS29" s="915"/>
      <c r="WT29" s="914"/>
      <c r="WU29" s="914"/>
      <c r="WV29" s="914"/>
      <c r="WW29" s="914"/>
      <c r="WX29" s="914"/>
      <c r="WY29" s="914"/>
      <c r="WZ29" s="914"/>
      <c r="XA29" s="911"/>
      <c r="XB29" s="911"/>
      <c r="XC29" s="911"/>
      <c r="XD29" s="915"/>
      <c r="XE29" s="914"/>
      <c r="XF29" s="914"/>
      <c r="XG29" s="914"/>
      <c r="XH29" s="914"/>
      <c r="XI29" s="914"/>
      <c r="XJ29" s="914"/>
      <c r="XK29" s="914"/>
      <c r="XL29" s="911"/>
      <c r="XM29" s="911"/>
      <c r="XN29" s="911"/>
      <c r="XO29" s="915"/>
      <c r="XP29" s="914"/>
      <c r="XQ29" s="914"/>
      <c r="XR29" s="914"/>
      <c r="XS29" s="914"/>
      <c r="XT29" s="914"/>
      <c r="XU29" s="914"/>
      <c r="XV29" s="914"/>
      <c r="XW29" s="911"/>
      <c r="XX29" s="911"/>
      <c r="XY29" s="911"/>
      <c r="XZ29" s="915"/>
      <c r="YA29" s="914"/>
      <c r="YB29" s="914"/>
      <c r="YC29" s="914"/>
      <c r="YD29" s="914"/>
      <c r="YE29" s="914"/>
      <c r="YF29" s="914"/>
      <c r="YG29" s="914"/>
      <c r="YH29" s="911"/>
      <c r="YI29" s="911"/>
      <c r="YJ29" s="911"/>
      <c r="YK29" s="915"/>
      <c r="YL29" s="914"/>
      <c r="YM29" s="914"/>
      <c r="YN29" s="914"/>
      <c r="YO29" s="914"/>
      <c r="YP29" s="914"/>
      <c r="YQ29" s="914"/>
      <c r="YR29" s="914"/>
      <c r="YS29" s="911"/>
      <c r="YT29" s="911"/>
      <c r="YU29" s="911"/>
      <c r="YV29" s="915"/>
      <c r="YW29" s="914"/>
      <c r="YX29" s="914"/>
      <c r="YY29" s="914"/>
      <c r="YZ29" s="914"/>
      <c r="ZA29" s="914"/>
      <c r="ZB29" s="914"/>
      <c r="ZC29" s="914"/>
      <c r="ZD29" s="911"/>
      <c r="ZE29" s="911"/>
      <c r="ZF29" s="911"/>
      <c r="ZG29" s="915"/>
      <c r="ZH29" s="914"/>
      <c r="ZI29" s="914"/>
      <c r="ZJ29" s="914"/>
      <c r="ZK29" s="914"/>
      <c r="ZL29" s="914"/>
      <c r="ZM29" s="914"/>
      <c r="ZN29" s="914"/>
      <c r="ZO29" s="911"/>
      <c r="ZP29" s="911"/>
      <c r="ZQ29" s="911"/>
      <c r="ZR29" s="915"/>
      <c r="ZS29" s="914"/>
      <c r="ZT29" s="914"/>
      <c r="ZU29" s="914"/>
      <c r="ZV29" s="914"/>
      <c r="ZW29" s="914"/>
      <c r="ZX29" s="914"/>
      <c r="ZY29" s="914"/>
      <c r="ZZ29" s="911"/>
      <c r="AAA29" s="911"/>
      <c r="AAB29" s="911"/>
      <c r="AAC29" s="915"/>
      <c r="AAD29" s="914"/>
      <c r="AAE29" s="914"/>
      <c r="AAF29" s="914"/>
      <c r="AAG29" s="914"/>
      <c r="AAH29" s="914"/>
      <c r="AAI29" s="914"/>
      <c r="AAJ29" s="914"/>
      <c r="AAK29" s="911"/>
      <c r="AAL29" s="911"/>
      <c r="AAM29" s="911"/>
      <c r="AAN29" s="915"/>
      <c r="AAO29" s="914"/>
      <c r="AAP29" s="914"/>
      <c r="AAQ29" s="914"/>
      <c r="AAR29" s="914"/>
      <c r="AAS29" s="914"/>
      <c r="AAT29" s="914"/>
      <c r="AAU29" s="914"/>
      <c r="AAV29" s="911"/>
      <c r="AAW29" s="911"/>
      <c r="AAX29" s="911"/>
      <c r="AAY29" s="915"/>
      <c r="AAZ29" s="914"/>
      <c r="ABA29" s="914"/>
      <c r="ABB29" s="914"/>
      <c r="ABC29" s="914"/>
      <c r="ABD29" s="914"/>
      <c r="ABE29" s="914"/>
      <c r="ABF29" s="914"/>
      <c r="ABG29" s="911"/>
      <c r="ABH29" s="911"/>
      <c r="ABI29" s="911"/>
      <c r="ABJ29" s="915"/>
      <c r="ABK29" s="914"/>
      <c r="ABL29" s="914"/>
      <c r="ABM29" s="914"/>
      <c r="ABN29" s="914"/>
      <c r="ABO29" s="914"/>
      <c r="ABP29" s="914"/>
      <c r="ABQ29" s="914"/>
      <c r="ABR29" s="911"/>
      <c r="ABS29" s="911"/>
      <c r="ABT29" s="911"/>
      <c r="ABU29" s="915"/>
      <c r="ABV29" s="914"/>
      <c r="ABW29" s="914"/>
      <c r="ABX29" s="914"/>
      <c r="ABY29" s="914"/>
      <c r="ABZ29" s="914"/>
      <c r="ACA29" s="914"/>
      <c r="ACB29" s="914"/>
      <c r="ACC29" s="911"/>
      <c r="ACD29" s="911"/>
      <c r="ACE29" s="911"/>
      <c r="ACF29" s="915"/>
      <c r="ACG29" s="914"/>
      <c r="ACH29" s="914"/>
      <c r="ACI29" s="914"/>
      <c r="ACJ29" s="914"/>
      <c r="ACK29" s="914"/>
      <c r="ACL29" s="914"/>
      <c r="ACM29" s="914"/>
      <c r="ACN29" s="911"/>
      <c r="ACO29" s="911"/>
      <c r="ACP29" s="911"/>
      <c r="ACQ29" s="915"/>
      <c r="ACR29" s="914"/>
      <c r="ACS29" s="914"/>
      <c r="ACT29" s="914"/>
      <c r="ACU29" s="914"/>
      <c r="ACV29" s="914"/>
      <c r="ACW29" s="914"/>
      <c r="ACX29" s="914"/>
      <c r="ACY29" s="911"/>
      <c r="ACZ29" s="911"/>
      <c r="ADA29" s="911"/>
      <c r="ADB29" s="915"/>
      <c r="ADC29" s="914"/>
      <c r="ADD29" s="914"/>
      <c r="ADE29" s="914"/>
      <c r="ADF29" s="914"/>
      <c r="ADG29" s="914"/>
      <c r="ADH29" s="914"/>
      <c r="ADI29" s="914"/>
      <c r="ADJ29" s="911"/>
      <c r="ADK29" s="911"/>
      <c r="ADL29" s="911"/>
      <c r="ADM29" s="915"/>
      <c r="ADN29" s="914"/>
      <c r="ADO29" s="914"/>
      <c r="ADP29" s="914"/>
      <c r="ADQ29" s="914"/>
      <c r="ADR29" s="914"/>
      <c r="ADS29" s="914"/>
      <c r="ADT29" s="914"/>
      <c r="ADU29" s="911"/>
      <c r="ADV29" s="911"/>
      <c r="ADW29" s="911"/>
      <c r="ADX29" s="915"/>
      <c r="ADY29" s="914"/>
      <c r="ADZ29" s="914"/>
      <c r="AEA29" s="914"/>
      <c r="AEB29" s="914"/>
      <c r="AEC29" s="914"/>
      <c r="AED29" s="914"/>
      <c r="AEE29" s="914"/>
      <c r="AEF29" s="911"/>
      <c r="AEG29" s="911"/>
      <c r="AEH29" s="911"/>
      <c r="AEI29" s="915"/>
      <c r="AEJ29" s="914"/>
      <c r="AEK29" s="914"/>
      <c r="AEL29" s="914"/>
      <c r="AEM29" s="914"/>
      <c r="AEN29" s="914"/>
      <c r="AEO29" s="914"/>
      <c r="AEP29" s="914"/>
      <c r="AEQ29" s="911"/>
      <c r="AER29" s="911"/>
      <c r="AES29" s="911"/>
      <c r="AET29" s="915"/>
      <c r="AEU29" s="914"/>
      <c r="AEV29" s="914"/>
      <c r="AEW29" s="914"/>
      <c r="AEX29" s="914"/>
      <c r="AEY29" s="914"/>
      <c r="AEZ29" s="914"/>
      <c r="AFA29" s="914"/>
      <c r="AFB29" s="911"/>
      <c r="AFC29" s="911"/>
      <c r="AFD29" s="911"/>
      <c r="AFE29" s="915"/>
      <c r="AFF29" s="914"/>
      <c r="AFG29" s="914"/>
      <c r="AFH29" s="914"/>
      <c r="AFI29" s="914"/>
      <c r="AFJ29" s="914"/>
      <c r="AFK29" s="914"/>
      <c r="AFL29" s="914"/>
      <c r="AFM29" s="911"/>
      <c r="AFN29" s="911"/>
      <c r="AFO29" s="911"/>
      <c r="AFP29" s="915"/>
      <c r="AFQ29" s="914"/>
      <c r="AFR29" s="914"/>
      <c r="AFS29" s="914"/>
      <c r="AFT29" s="914"/>
      <c r="AFU29" s="914"/>
      <c r="AFV29" s="914"/>
      <c r="AFW29" s="914"/>
      <c r="AFX29" s="911"/>
      <c r="AFY29" s="911"/>
      <c r="AFZ29" s="911"/>
      <c r="AGA29" s="915"/>
      <c r="AGB29" s="914"/>
      <c r="AGC29" s="914"/>
      <c r="AGD29" s="914"/>
      <c r="AGE29" s="914"/>
      <c r="AGF29" s="914"/>
      <c r="AGG29" s="914"/>
      <c r="AGH29" s="914"/>
      <c r="AGI29" s="911"/>
      <c r="AGJ29" s="911"/>
      <c r="AGK29" s="911"/>
      <c r="AGL29" s="915"/>
      <c r="AGM29" s="914"/>
      <c r="AGN29" s="914"/>
      <c r="AGO29" s="914"/>
      <c r="AGP29" s="914"/>
      <c r="AGQ29" s="914"/>
      <c r="AGR29" s="914"/>
      <c r="AGS29" s="914"/>
      <c r="AGT29" s="911"/>
      <c r="AGU29" s="911"/>
      <c r="AGV29" s="911"/>
      <c r="AGW29" s="915"/>
      <c r="AGX29" s="914"/>
      <c r="AGY29" s="914"/>
      <c r="AGZ29" s="914"/>
      <c r="AHA29" s="914"/>
      <c r="AHB29" s="914"/>
      <c r="AHC29" s="914"/>
      <c r="AHD29" s="914"/>
      <c r="AHE29" s="911"/>
      <c r="AHF29" s="911"/>
      <c r="AHG29" s="911"/>
      <c r="AHH29" s="915"/>
      <c r="AHI29" s="914"/>
      <c r="AHJ29" s="914"/>
      <c r="AHK29" s="914"/>
      <c r="AHL29" s="914"/>
      <c r="AHM29" s="914"/>
      <c r="AHN29" s="914"/>
      <c r="AHO29" s="914"/>
      <c r="AHP29" s="911"/>
      <c r="AHQ29" s="911"/>
      <c r="AHR29" s="911"/>
      <c r="AHS29" s="915"/>
      <c r="AHT29" s="914"/>
      <c r="AHU29" s="914"/>
      <c r="AHV29" s="914"/>
      <c r="AHW29" s="914"/>
      <c r="AHX29" s="914"/>
      <c r="AHY29" s="914"/>
      <c r="AHZ29" s="914"/>
      <c r="AIA29" s="911"/>
      <c r="AIB29" s="911"/>
      <c r="AIC29" s="911"/>
      <c r="AID29" s="915"/>
      <c r="AIE29" s="914"/>
      <c r="AIF29" s="914"/>
      <c r="AIG29" s="914"/>
      <c r="AIH29" s="914"/>
      <c r="AII29" s="914"/>
      <c r="AIJ29" s="914"/>
      <c r="AIK29" s="914"/>
      <c r="AIL29" s="911"/>
      <c r="AIM29" s="911"/>
      <c r="AIN29" s="911"/>
      <c r="AIO29" s="915"/>
      <c r="AIP29" s="914"/>
      <c r="AIQ29" s="914"/>
      <c r="AIR29" s="914"/>
      <c r="AIS29" s="914"/>
      <c r="AIT29" s="914"/>
      <c r="AIU29" s="914"/>
      <c r="AIV29" s="914"/>
      <c r="AIW29" s="911"/>
      <c r="AIX29" s="911"/>
      <c r="AIY29" s="911"/>
      <c r="AIZ29" s="915"/>
      <c r="AJA29" s="914"/>
      <c r="AJB29" s="914"/>
      <c r="AJC29" s="914"/>
      <c r="AJD29" s="914"/>
      <c r="AJE29" s="914"/>
      <c r="AJF29" s="914"/>
      <c r="AJG29" s="914"/>
      <c r="AJH29" s="911"/>
      <c r="AJI29" s="911"/>
      <c r="AJJ29" s="911"/>
      <c r="AJK29" s="915"/>
      <c r="AJL29" s="914"/>
      <c r="AJM29" s="914"/>
      <c r="AJN29" s="914"/>
      <c r="AJO29" s="914"/>
      <c r="AJP29" s="914"/>
      <c r="AJQ29" s="914"/>
      <c r="AJR29" s="914"/>
      <c r="AJS29" s="911"/>
      <c r="AJT29" s="911"/>
      <c r="AJU29" s="911"/>
      <c r="AJV29" s="915"/>
      <c r="AJW29" s="914"/>
      <c r="AJX29" s="914"/>
      <c r="AJY29" s="914"/>
      <c r="AJZ29" s="914"/>
      <c r="AKA29" s="914"/>
      <c r="AKB29" s="914"/>
      <c r="AKC29" s="914"/>
      <c r="AKD29" s="911"/>
      <c r="AKE29" s="911"/>
      <c r="AKF29" s="911"/>
      <c r="AKG29" s="915"/>
      <c r="AKH29" s="914"/>
      <c r="AKI29" s="914"/>
      <c r="AKJ29" s="914"/>
      <c r="AKK29" s="914"/>
      <c r="AKL29" s="914"/>
      <c r="AKM29" s="914"/>
      <c r="AKN29" s="914"/>
      <c r="AKO29" s="911"/>
      <c r="AKP29" s="911"/>
      <c r="AKQ29" s="911"/>
      <c r="AKR29" s="915"/>
      <c r="AKS29" s="914"/>
      <c r="AKT29" s="914"/>
      <c r="AKU29" s="914"/>
      <c r="AKV29" s="914"/>
      <c r="AKW29" s="914"/>
      <c r="AKX29" s="914"/>
      <c r="AKY29" s="914"/>
      <c r="AKZ29" s="911"/>
      <c r="ALA29" s="911"/>
      <c r="ALB29" s="911"/>
      <c r="ALC29" s="915"/>
      <c r="ALD29" s="914"/>
      <c r="ALE29" s="914"/>
      <c r="ALF29" s="914"/>
      <c r="ALG29" s="914"/>
      <c r="ALH29" s="914"/>
      <c r="ALI29" s="914"/>
      <c r="ALJ29" s="914"/>
      <c r="ALK29" s="911"/>
      <c r="ALL29" s="911"/>
      <c r="ALM29" s="911"/>
      <c r="ALN29" s="915"/>
      <c r="ALO29" s="914"/>
      <c r="ALP29" s="914"/>
      <c r="ALQ29" s="914"/>
      <c r="ALR29" s="914"/>
      <c r="ALS29" s="914"/>
      <c r="ALT29" s="914"/>
      <c r="ALU29" s="914"/>
      <c r="ALV29" s="911"/>
      <c r="ALW29" s="911"/>
      <c r="ALX29" s="911"/>
      <c r="ALY29" s="915"/>
      <c r="ALZ29" s="914"/>
      <c r="AMA29" s="914"/>
      <c r="AMB29" s="914"/>
      <c r="AMC29" s="914"/>
      <c r="AMD29" s="914"/>
      <c r="AME29" s="914"/>
      <c r="AMF29" s="914"/>
      <c r="AMG29" s="911"/>
      <c r="AMH29" s="911"/>
      <c r="AMI29" s="911"/>
      <c r="AMJ29" s="915"/>
      <c r="AMK29" s="914"/>
      <c r="AML29" s="914"/>
      <c r="AMM29" s="914"/>
      <c r="AMN29" s="914"/>
      <c r="AMO29" s="914"/>
      <c r="AMP29" s="914"/>
      <c r="AMQ29" s="914"/>
      <c r="AMR29" s="911"/>
      <c r="AMS29" s="911"/>
      <c r="AMT29" s="911"/>
      <c r="AMU29" s="915"/>
      <c r="AMV29" s="914"/>
      <c r="AMW29" s="914"/>
      <c r="AMX29" s="914"/>
      <c r="AMY29" s="914"/>
      <c r="AMZ29" s="914"/>
      <c r="ANA29" s="914"/>
      <c r="ANB29" s="914"/>
      <c r="ANC29" s="911"/>
      <c r="AND29" s="911"/>
      <c r="ANE29" s="911"/>
      <c r="ANF29" s="915"/>
      <c r="ANG29" s="914"/>
      <c r="ANH29" s="914"/>
      <c r="ANI29" s="914"/>
      <c r="ANJ29" s="914"/>
      <c r="ANK29" s="914"/>
      <c r="ANL29" s="914"/>
      <c r="ANM29" s="914"/>
      <c r="ANN29" s="911"/>
      <c r="ANO29" s="911"/>
      <c r="ANP29" s="911"/>
      <c r="ANQ29" s="915"/>
      <c r="ANR29" s="914"/>
      <c r="ANS29" s="914"/>
      <c r="ANT29" s="914"/>
      <c r="ANU29" s="914"/>
      <c r="ANV29" s="914"/>
      <c r="ANW29" s="914"/>
      <c r="ANX29" s="914"/>
      <c r="ANY29" s="911"/>
      <c r="ANZ29" s="911"/>
      <c r="AOA29" s="911"/>
      <c r="AOB29" s="915"/>
      <c r="AOC29" s="914"/>
      <c r="AOD29" s="914"/>
      <c r="AOE29" s="914"/>
      <c r="AOF29" s="914"/>
      <c r="AOG29" s="914"/>
      <c r="AOH29" s="914"/>
      <c r="AOI29" s="914"/>
      <c r="AOJ29" s="911"/>
      <c r="AOK29" s="911"/>
      <c r="AOL29" s="911"/>
      <c r="AOM29" s="915"/>
      <c r="AON29" s="914"/>
      <c r="AOO29" s="914"/>
      <c r="AOP29" s="914"/>
      <c r="AOQ29" s="914"/>
      <c r="AOR29" s="914"/>
      <c r="AOS29" s="914"/>
      <c r="AOT29" s="914"/>
      <c r="AOU29" s="911"/>
      <c r="AOV29" s="911"/>
      <c r="AOW29" s="911"/>
      <c r="AOX29" s="915"/>
      <c r="AOY29" s="914"/>
      <c r="AOZ29" s="914"/>
      <c r="APA29" s="914"/>
      <c r="APB29" s="914"/>
      <c r="APC29" s="914"/>
      <c r="APD29" s="914"/>
      <c r="APE29" s="914"/>
      <c r="APF29" s="911"/>
      <c r="APG29" s="911"/>
      <c r="APH29" s="911"/>
      <c r="API29" s="915"/>
      <c r="APJ29" s="914"/>
      <c r="APK29" s="914"/>
      <c r="APL29" s="914"/>
      <c r="APM29" s="914"/>
      <c r="APN29" s="914"/>
      <c r="APO29" s="914"/>
      <c r="APP29" s="914"/>
      <c r="APQ29" s="911"/>
      <c r="APR29" s="911"/>
      <c r="APS29" s="911"/>
      <c r="APT29" s="915"/>
      <c r="APU29" s="914"/>
      <c r="APV29" s="914"/>
      <c r="APW29" s="914"/>
      <c r="APX29" s="914"/>
      <c r="APY29" s="914"/>
      <c r="APZ29" s="914"/>
      <c r="AQA29" s="914"/>
      <c r="AQB29" s="911"/>
      <c r="AQC29" s="911"/>
      <c r="AQD29" s="911"/>
      <c r="AQE29" s="915"/>
      <c r="AQF29" s="914"/>
      <c r="AQG29" s="914"/>
      <c r="AQH29" s="914"/>
      <c r="AQI29" s="914"/>
      <c r="AQJ29" s="914"/>
      <c r="AQK29" s="914"/>
      <c r="AQL29" s="914"/>
      <c r="AQM29" s="911"/>
      <c r="AQN29" s="911"/>
      <c r="AQO29" s="911"/>
      <c r="AQP29" s="915"/>
      <c r="AQQ29" s="914"/>
      <c r="AQR29" s="914"/>
      <c r="AQS29" s="914"/>
      <c r="AQT29" s="914"/>
      <c r="AQU29" s="914"/>
      <c r="AQV29" s="914"/>
      <c r="AQW29" s="914"/>
      <c r="AQX29" s="911"/>
      <c r="AQY29" s="911"/>
      <c r="AQZ29" s="911"/>
      <c r="ARA29" s="915"/>
      <c r="ARB29" s="914"/>
      <c r="ARC29" s="914"/>
      <c r="ARD29" s="914"/>
      <c r="ARE29" s="914"/>
      <c r="ARF29" s="914"/>
      <c r="ARG29" s="914"/>
      <c r="ARH29" s="914"/>
      <c r="ARI29" s="911"/>
      <c r="ARJ29" s="911"/>
      <c r="ARK29" s="911"/>
      <c r="ARL29" s="915"/>
      <c r="ARM29" s="914"/>
      <c r="ARN29" s="914"/>
      <c r="ARO29" s="914"/>
      <c r="ARP29" s="914"/>
      <c r="ARQ29" s="914"/>
      <c r="ARR29" s="914"/>
      <c r="ARS29" s="914"/>
      <c r="ART29" s="911"/>
      <c r="ARU29" s="911"/>
      <c r="ARV29" s="911"/>
      <c r="ARW29" s="915"/>
      <c r="ARX29" s="914"/>
      <c r="ARY29" s="914"/>
      <c r="ARZ29" s="914"/>
      <c r="ASA29" s="914"/>
      <c r="ASB29" s="914"/>
      <c r="ASC29" s="914"/>
      <c r="ASD29" s="914"/>
      <c r="ASE29" s="911"/>
      <c r="ASF29" s="911"/>
      <c r="ASG29" s="911"/>
      <c r="ASH29" s="915"/>
      <c r="ASI29" s="914"/>
      <c r="ASJ29" s="914"/>
      <c r="ASK29" s="914"/>
      <c r="ASL29" s="914"/>
      <c r="ASM29" s="914"/>
      <c r="ASN29" s="914"/>
      <c r="ASO29" s="914"/>
      <c r="ASP29" s="911"/>
      <c r="ASQ29" s="911"/>
      <c r="ASR29" s="911"/>
      <c r="ASS29" s="915"/>
      <c r="AST29" s="914"/>
      <c r="ASU29" s="914"/>
      <c r="ASV29" s="914"/>
      <c r="ASW29" s="914"/>
      <c r="ASX29" s="914"/>
      <c r="ASY29" s="914"/>
      <c r="ASZ29" s="914"/>
      <c r="ATA29" s="911"/>
      <c r="ATB29" s="911"/>
      <c r="ATC29" s="911"/>
      <c r="ATD29" s="915"/>
      <c r="ATE29" s="914"/>
      <c r="ATF29" s="914"/>
      <c r="ATG29" s="914"/>
      <c r="ATH29" s="914"/>
      <c r="ATI29" s="914"/>
      <c r="ATJ29" s="914"/>
      <c r="ATK29" s="914"/>
      <c r="ATL29" s="911"/>
      <c r="ATM29" s="911"/>
      <c r="ATN29" s="911"/>
      <c r="ATO29" s="915"/>
      <c r="ATP29" s="914"/>
      <c r="ATQ29" s="914"/>
      <c r="ATR29" s="914"/>
      <c r="ATS29" s="914"/>
      <c r="ATT29" s="914"/>
      <c r="ATU29" s="914"/>
      <c r="ATV29" s="914"/>
      <c r="ATW29" s="911"/>
      <c r="ATX29" s="911"/>
      <c r="ATY29" s="911"/>
      <c r="ATZ29" s="915"/>
      <c r="AUA29" s="914"/>
      <c r="AUB29" s="914"/>
      <c r="AUC29" s="914"/>
      <c r="AUD29" s="914"/>
      <c r="AUE29" s="914"/>
      <c r="AUF29" s="914"/>
      <c r="AUG29" s="914"/>
      <c r="AUH29" s="911"/>
      <c r="AUI29" s="911"/>
      <c r="AUJ29" s="911"/>
      <c r="AUK29" s="915"/>
      <c r="AUL29" s="914"/>
      <c r="AUM29" s="914"/>
      <c r="AUN29" s="914"/>
      <c r="AUO29" s="914"/>
      <c r="AUP29" s="914"/>
      <c r="AUQ29" s="914"/>
      <c r="AUR29" s="914"/>
      <c r="AUS29" s="911"/>
      <c r="AUT29" s="911"/>
      <c r="AUU29" s="911"/>
      <c r="AUV29" s="915"/>
      <c r="AUW29" s="914"/>
      <c r="AUX29" s="914"/>
      <c r="AUY29" s="914"/>
      <c r="AUZ29" s="914"/>
      <c r="AVA29" s="914"/>
      <c r="AVB29" s="914"/>
      <c r="AVC29" s="914"/>
      <c r="AVD29" s="911"/>
      <c r="AVE29" s="911"/>
      <c r="AVF29" s="911"/>
      <c r="AVG29" s="915"/>
      <c r="AVH29" s="914"/>
      <c r="AVI29" s="914"/>
      <c r="AVJ29" s="914"/>
      <c r="AVK29" s="914"/>
      <c r="AVL29" s="914"/>
      <c r="AVM29" s="914"/>
      <c r="AVN29" s="914"/>
      <c r="AVO29" s="911"/>
      <c r="AVP29" s="911"/>
      <c r="AVQ29" s="911"/>
      <c r="AVR29" s="915"/>
      <c r="AVS29" s="914"/>
      <c r="AVT29" s="914"/>
      <c r="AVU29" s="914"/>
      <c r="AVV29" s="914"/>
      <c r="AVW29" s="914"/>
      <c r="AVX29" s="914"/>
      <c r="AVY29" s="914"/>
      <c r="AVZ29" s="911"/>
      <c r="AWA29" s="911"/>
      <c r="AWB29" s="911"/>
      <c r="AWC29" s="915"/>
      <c r="AWD29" s="914"/>
      <c r="AWE29" s="914"/>
      <c r="AWF29" s="914"/>
      <c r="AWG29" s="914"/>
      <c r="AWH29" s="914"/>
      <c r="AWI29" s="914"/>
      <c r="AWJ29" s="914"/>
      <c r="AWK29" s="911"/>
      <c r="AWL29" s="911"/>
      <c r="AWM29" s="911"/>
      <c r="AWN29" s="915"/>
      <c r="AWO29" s="914"/>
      <c r="AWP29" s="914"/>
      <c r="AWQ29" s="914"/>
      <c r="AWR29" s="914"/>
      <c r="AWS29" s="914"/>
      <c r="AWT29" s="914"/>
      <c r="AWU29" s="914"/>
      <c r="AWV29" s="911"/>
      <c r="AWW29" s="911"/>
      <c r="AWX29" s="911"/>
      <c r="AWY29" s="915"/>
      <c r="AWZ29" s="914"/>
      <c r="AXA29" s="914"/>
      <c r="AXB29" s="914"/>
      <c r="AXC29" s="914"/>
      <c r="AXD29" s="914"/>
      <c r="AXE29" s="914"/>
      <c r="AXF29" s="914"/>
      <c r="AXG29" s="911"/>
      <c r="AXH29" s="911"/>
      <c r="AXI29" s="911"/>
      <c r="AXJ29" s="915"/>
      <c r="AXK29" s="914"/>
      <c r="AXL29" s="914"/>
      <c r="AXM29" s="914"/>
      <c r="AXN29" s="914"/>
      <c r="AXO29" s="914"/>
      <c r="AXP29" s="914"/>
      <c r="AXQ29" s="914"/>
      <c r="AXR29" s="911"/>
      <c r="AXS29" s="911"/>
      <c r="AXT29" s="911"/>
      <c r="AXU29" s="915"/>
      <c r="AXV29" s="914"/>
      <c r="AXW29" s="914"/>
      <c r="AXX29" s="914"/>
      <c r="AXY29" s="914"/>
      <c r="AXZ29" s="914"/>
      <c r="AYA29" s="914"/>
      <c r="AYB29" s="914"/>
      <c r="AYC29" s="911"/>
      <c r="AYD29" s="911"/>
      <c r="AYE29" s="911"/>
      <c r="AYF29" s="915"/>
      <c r="AYG29" s="914"/>
      <c r="AYH29" s="914"/>
      <c r="AYI29" s="914"/>
      <c r="AYJ29" s="914"/>
      <c r="AYK29" s="914"/>
      <c r="AYL29" s="914"/>
      <c r="AYM29" s="914"/>
      <c r="AYN29" s="911"/>
      <c r="AYO29" s="911"/>
      <c r="AYP29" s="911"/>
      <c r="AYQ29" s="915"/>
      <c r="AYR29" s="914"/>
      <c r="AYS29" s="914"/>
      <c r="AYT29" s="914"/>
      <c r="AYU29" s="914"/>
      <c r="AYV29" s="914"/>
      <c r="AYW29" s="914"/>
      <c r="AYX29" s="914"/>
      <c r="AYY29" s="911"/>
      <c r="AYZ29" s="911"/>
      <c r="AZA29" s="911"/>
      <c r="AZB29" s="915"/>
      <c r="AZC29" s="914"/>
      <c r="AZD29" s="914"/>
      <c r="AZE29" s="914"/>
      <c r="AZF29" s="914"/>
      <c r="AZG29" s="914"/>
      <c r="AZH29" s="914"/>
      <c r="AZI29" s="914"/>
      <c r="AZJ29" s="911"/>
      <c r="AZK29" s="911"/>
      <c r="AZL29" s="911"/>
      <c r="AZM29" s="915"/>
      <c r="AZN29" s="914"/>
      <c r="AZO29" s="914"/>
      <c r="AZP29" s="914"/>
      <c r="AZQ29" s="914"/>
      <c r="AZR29" s="914"/>
      <c r="AZS29" s="914"/>
      <c r="AZT29" s="914"/>
      <c r="AZU29" s="911"/>
      <c r="AZV29" s="911"/>
      <c r="AZW29" s="911"/>
      <c r="AZX29" s="915"/>
      <c r="AZY29" s="914"/>
      <c r="AZZ29" s="914"/>
      <c r="BAA29" s="914"/>
      <c r="BAB29" s="914"/>
      <c r="BAC29" s="914"/>
      <c r="BAD29" s="914"/>
      <c r="BAE29" s="914"/>
      <c r="BAF29" s="911"/>
      <c r="BAG29" s="911"/>
      <c r="BAH29" s="911"/>
      <c r="BAI29" s="915"/>
      <c r="BAJ29" s="914"/>
      <c r="BAK29" s="914"/>
      <c r="BAL29" s="914"/>
      <c r="BAM29" s="914"/>
      <c r="BAN29" s="914"/>
      <c r="BAO29" s="914"/>
      <c r="BAP29" s="914"/>
      <c r="BAQ29" s="911"/>
      <c r="BAR29" s="911"/>
      <c r="BAS29" s="911"/>
      <c r="BAT29" s="915"/>
      <c r="BAU29" s="914"/>
      <c r="BAV29" s="914"/>
      <c r="BAW29" s="914"/>
      <c r="BAX29" s="914"/>
      <c r="BAY29" s="914"/>
      <c r="BAZ29" s="914"/>
      <c r="BBA29" s="914"/>
      <c r="BBB29" s="911"/>
      <c r="BBC29" s="911"/>
      <c r="BBD29" s="911"/>
      <c r="BBE29" s="915"/>
      <c r="BBF29" s="914"/>
      <c r="BBG29" s="914"/>
      <c r="BBH29" s="914"/>
      <c r="BBI29" s="914"/>
      <c r="BBJ29" s="914"/>
      <c r="BBK29" s="914"/>
      <c r="BBL29" s="914"/>
      <c r="BBM29" s="911"/>
      <c r="BBN29" s="911"/>
      <c r="BBO29" s="911"/>
      <c r="BBP29" s="915"/>
      <c r="BBQ29" s="914"/>
      <c r="BBR29" s="914"/>
      <c r="BBS29" s="914"/>
      <c r="BBT29" s="914"/>
      <c r="BBU29" s="914"/>
      <c r="BBV29" s="914"/>
      <c r="BBW29" s="914"/>
      <c r="BBX29" s="911"/>
      <c r="BBY29" s="911"/>
      <c r="BBZ29" s="911"/>
      <c r="BCA29" s="915"/>
      <c r="BCB29" s="914"/>
      <c r="BCC29" s="914"/>
      <c r="BCD29" s="914"/>
      <c r="BCE29" s="914"/>
      <c r="BCF29" s="914"/>
      <c r="BCG29" s="914"/>
      <c r="BCH29" s="914"/>
      <c r="BCI29" s="911"/>
      <c r="BCJ29" s="911"/>
      <c r="BCK29" s="911"/>
      <c r="BCL29" s="915"/>
      <c r="BCM29" s="914"/>
      <c r="BCN29" s="914"/>
      <c r="BCO29" s="914"/>
      <c r="BCP29" s="914"/>
      <c r="BCQ29" s="914"/>
      <c r="BCR29" s="914"/>
      <c r="BCS29" s="914"/>
      <c r="BCT29" s="911"/>
      <c r="BCU29" s="911"/>
      <c r="BCV29" s="911"/>
      <c r="BCW29" s="915"/>
      <c r="BCX29" s="914"/>
      <c r="BCY29" s="914"/>
      <c r="BCZ29" s="914"/>
      <c r="BDA29" s="914"/>
      <c r="BDB29" s="914"/>
      <c r="BDC29" s="914"/>
      <c r="BDD29" s="914"/>
      <c r="BDE29" s="911"/>
      <c r="BDF29" s="911"/>
      <c r="BDG29" s="911"/>
      <c r="BDH29" s="915"/>
      <c r="BDI29" s="914"/>
      <c r="BDJ29" s="914"/>
      <c r="BDK29" s="914"/>
      <c r="BDL29" s="914"/>
      <c r="BDM29" s="914"/>
      <c r="BDN29" s="914"/>
      <c r="BDO29" s="914"/>
      <c r="BDP29" s="911"/>
      <c r="BDQ29" s="911"/>
      <c r="BDR29" s="911"/>
      <c r="BDS29" s="915"/>
      <c r="BDT29" s="914"/>
      <c r="BDU29" s="914"/>
      <c r="BDV29" s="914"/>
      <c r="BDW29" s="914"/>
      <c r="BDX29" s="914"/>
      <c r="BDY29" s="914"/>
      <c r="BDZ29" s="914"/>
      <c r="BEA29" s="911"/>
      <c r="BEB29" s="911"/>
      <c r="BEC29" s="911"/>
      <c r="BED29" s="915"/>
      <c r="BEE29" s="914"/>
      <c r="BEF29" s="914"/>
      <c r="BEG29" s="914"/>
      <c r="BEH29" s="914"/>
      <c r="BEI29" s="914"/>
      <c r="BEJ29" s="914"/>
      <c r="BEK29" s="914"/>
      <c r="BEL29" s="911"/>
      <c r="BEM29" s="911"/>
      <c r="BEN29" s="911"/>
      <c r="BEO29" s="915"/>
      <c r="BEP29" s="914"/>
      <c r="BEQ29" s="914"/>
      <c r="BER29" s="914"/>
      <c r="BES29" s="914"/>
      <c r="BET29" s="914"/>
      <c r="BEU29" s="914"/>
      <c r="BEV29" s="914"/>
      <c r="BEW29" s="911"/>
      <c r="BEX29" s="911"/>
      <c r="BEY29" s="911"/>
      <c r="BEZ29" s="915"/>
      <c r="BFA29" s="914"/>
      <c r="BFB29" s="914"/>
      <c r="BFC29" s="914"/>
      <c r="BFD29" s="914"/>
      <c r="BFE29" s="914"/>
      <c r="BFF29" s="914"/>
      <c r="BFG29" s="914"/>
      <c r="BFH29" s="911"/>
      <c r="BFI29" s="911"/>
      <c r="BFJ29" s="911"/>
      <c r="BFK29" s="915"/>
      <c r="BFL29" s="914"/>
      <c r="BFM29" s="914"/>
      <c r="BFN29" s="914"/>
      <c r="BFO29" s="914"/>
      <c r="BFP29" s="914"/>
      <c r="BFQ29" s="914"/>
      <c r="BFR29" s="914"/>
      <c r="BFS29" s="911"/>
      <c r="BFT29" s="911"/>
      <c r="BFU29" s="911"/>
      <c r="BFV29" s="915"/>
      <c r="BFW29" s="914"/>
      <c r="BFX29" s="914"/>
      <c r="BFY29" s="914"/>
      <c r="BFZ29" s="914"/>
      <c r="BGA29" s="914"/>
      <c r="BGB29" s="914"/>
      <c r="BGC29" s="914"/>
      <c r="BGD29" s="911"/>
      <c r="BGE29" s="911"/>
      <c r="BGF29" s="911"/>
      <c r="BGG29" s="915"/>
      <c r="BGH29" s="914"/>
      <c r="BGI29" s="914"/>
      <c r="BGJ29" s="914"/>
      <c r="BGK29" s="914"/>
      <c r="BGL29" s="914"/>
      <c r="BGM29" s="914"/>
      <c r="BGN29" s="914"/>
      <c r="BGO29" s="911"/>
      <c r="BGP29" s="911"/>
      <c r="BGQ29" s="911"/>
      <c r="BGR29" s="915"/>
      <c r="BGS29" s="914"/>
      <c r="BGT29" s="914"/>
      <c r="BGU29" s="914"/>
      <c r="BGV29" s="914"/>
      <c r="BGW29" s="914"/>
      <c r="BGX29" s="914"/>
      <c r="BGY29" s="914"/>
      <c r="BGZ29" s="911"/>
      <c r="BHA29" s="911"/>
      <c r="BHB29" s="911"/>
      <c r="BHC29" s="915"/>
      <c r="BHD29" s="914"/>
      <c r="BHE29" s="914"/>
      <c r="BHF29" s="914"/>
      <c r="BHG29" s="914"/>
      <c r="BHH29" s="914"/>
      <c r="BHI29" s="914"/>
      <c r="BHJ29" s="914"/>
      <c r="BHK29" s="911"/>
      <c r="BHL29" s="911"/>
      <c r="BHM29" s="911"/>
      <c r="BHN29" s="915"/>
      <c r="BHO29" s="914"/>
      <c r="BHP29" s="914"/>
      <c r="BHQ29" s="914"/>
      <c r="BHR29" s="914"/>
      <c r="BHS29" s="914"/>
      <c r="BHT29" s="914"/>
      <c r="BHU29" s="914"/>
      <c r="BHV29" s="911"/>
      <c r="BHW29" s="911"/>
      <c r="BHX29" s="911"/>
      <c r="BHY29" s="915"/>
      <c r="BHZ29" s="914"/>
      <c r="BIA29" s="914"/>
      <c r="BIB29" s="914"/>
      <c r="BIC29" s="914"/>
      <c r="BID29" s="914"/>
      <c r="BIE29" s="914"/>
      <c r="BIF29" s="914"/>
      <c r="BIG29" s="911"/>
      <c r="BIH29" s="911"/>
      <c r="BII29" s="911"/>
      <c r="BIJ29" s="915"/>
      <c r="BIK29" s="914"/>
      <c r="BIL29" s="914"/>
      <c r="BIM29" s="914"/>
      <c r="BIN29" s="914"/>
      <c r="BIO29" s="914"/>
      <c r="BIP29" s="914"/>
      <c r="BIQ29" s="914"/>
      <c r="BIR29" s="911"/>
      <c r="BIS29" s="911"/>
      <c r="BIT29" s="911"/>
      <c r="BIU29" s="915"/>
      <c r="BIV29" s="914"/>
      <c r="BIW29" s="914"/>
      <c r="BIX29" s="914"/>
      <c r="BIY29" s="914"/>
      <c r="BIZ29" s="914"/>
      <c r="BJA29" s="914"/>
      <c r="BJB29" s="914"/>
      <c r="BJC29" s="911"/>
      <c r="BJD29" s="911"/>
      <c r="BJE29" s="911"/>
      <c r="BJF29" s="915"/>
      <c r="BJG29" s="914"/>
      <c r="BJH29" s="914"/>
      <c r="BJI29" s="914"/>
      <c r="BJJ29" s="914"/>
      <c r="BJK29" s="914"/>
      <c r="BJL29" s="914"/>
      <c r="BJM29" s="914"/>
      <c r="BJN29" s="911"/>
      <c r="BJO29" s="911"/>
      <c r="BJP29" s="911"/>
      <c r="BJQ29" s="915"/>
      <c r="BJR29" s="914"/>
      <c r="BJS29" s="914"/>
      <c r="BJT29" s="914"/>
      <c r="BJU29" s="914"/>
      <c r="BJV29" s="914"/>
      <c r="BJW29" s="914"/>
      <c r="BJX29" s="914"/>
      <c r="BJY29" s="911"/>
      <c r="BJZ29" s="911"/>
      <c r="BKA29" s="911"/>
      <c r="BKB29" s="915"/>
      <c r="BKC29" s="914"/>
      <c r="BKD29" s="914"/>
      <c r="BKE29" s="914"/>
      <c r="BKF29" s="914"/>
      <c r="BKG29" s="914"/>
      <c r="BKH29" s="914"/>
      <c r="BKI29" s="914"/>
      <c r="BKJ29" s="911"/>
      <c r="BKK29" s="911"/>
      <c r="BKL29" s="911"/>
      <c r="BKM29" s="915"/>
      <c r="BKN29" s="914"/>
      <c r="BKO29" s="914"/>
      <c r="BKP29" s="914"/>
      <c r="BKQ29" s="914"/>
      <c r="BKR29" s="914"/>
      <c r="BKS29" s="914"/>
      <c r="BKT29" s="914"/>
      <c r="BKU29" s="911"/>
      <c r="BKV29" s="911"/>
      <c r="BKW29" s="911"/>
      <c r="BKX29" s="915"/>
      <c r="BKY29" s="914"/>
      <c r="BKZ29" s="914"/>
      <c r="BLA29" s="914"/>
      <c r="BLB29" s="914"/>
      <c r="BLC29" s="914"/>
      <c r="BLD29" s="914"/>
      <c r="BLE29" s="914"/>
      <c r="BLF29" s="911"/>
      <c r="BLG29" s="911"/>
      <c r="BLH29" s="911"/>
      <c r="BLI29" s="915"/>
      <c r="BLJ29" s="914"/>
      <c r="BLK29" s="914"/>
      <c r="BLL29" s="914"/>
      <c r="BLM29" s="914"/>
      <c r="BLN29" s="914"/>
      <c r="BLO29" s="914"/>
      <c r="BLP29" s="914"/>
      <c r="BLQ29" s="911"/>
      <c r="BLR29" s="911"/>
      <c r="BLS29" s="911"/>
      <c r="BLT29" s="915"/>
      <c r="BLU29" s="914"/>
      <c r="BLV29" s="914"/>
      <c r="BLW29" s="914"/>
      <c r="BLX29" s="914"/>
      <c r="BLY29" s="914"/>
      <c r="BLZ29" s="914"/>
      <c r="BMA29" s="914"/>
      <c r="BMB29" s="911"/>
      <c r="BMC29" s="911"/>
      <c r="BMD29" s="911"/>
      <c r="BME29" s="915"/>
      <c r="BMF29" s="914"/>
      <c r="BMG29" s="914"/>
      <c r="BMH29" s="914"/>
      <c r="BMI29" s="914"/>
      <c r="BMJ29" s="914"/>
      <c r="BMK29" s="914"/>
      <c r="BML29" s="914"/>
      <c r="BMM29" s="911"/>
      <c r="BMN29" s="911"/>
      <c r="BMO29" s="911"/>
      <c r="BMP29" s="915"/>
      <c r="BMQ29" s="914"/>
      <c r="BMR29" s="914"/>
      <c r="BMS29" s="914"/>
      <c r="BMT29" s="914"/>
      <c r="BMU29" s="914"/>
      <c r="BMV29" s="914"/>
      <c r="BMW29" s="914"/>
      <c r="BMX29" s="911"/>
      <c r="BMY29" s="911"/>
      <c r="BMZ29" s="911"/>
      <c r="BNA29" s="915"/>
      <c r="BNB29" s="914"/>
      <c r="BNC29" s="914"/>
      <c r="BND29" s="914"/>
      <c r="BNE29" s="914"/>
      <c r="BNF29" s="914"/>
      <c r="BNG29" s="914"/>
      <c r="BNH29" s="914"/>
      <c r="BNI29" s="911"/>
      <c r="BNJ29" s="911"/>
      <c r="BNK29" s="911"/>
      <c r="BNL29" s="915"/>
      <c r="BNM29" s="914"/>
      <c r="BNN29" s="914"/>
      <c r="BNO29" s="914"/>
      <c r="BNP29" s="914"/>
      <c r="BNQ29" s="914"/>
      <c r="BNR29" s="914"/>
      <c r="BNS29" s="914"/>
      <c r="BNT29" s="911"/>
      <c r="BNU29" s="911"/>
      <c r="BNV29" s="911"/>
      <c r="BNW29" s="915"/>
      <c r="BNX29" s="914"/>
      <c r="BNY29" s="914"/>
      <c r="BNZ29" s="914"/>
      <c r="BOA29" s="914"/>
      <c r="BOB29" s="914"/>
      <c r="BOC29" s="914"/>
      <c r="BOD29" s="914"/>
      <c r="BOE29" s="911"/>
      <c r="BOF29" s="911"/>
      <c r="BOG29" s="911"/>
      <c r="BOH29" s="915"/>
      <c r="BOI29" s="914"/>
      <c r="BOJ29" s="914"/>
      <c r="BOK29" s="914"/>
      <c r="BOL29" s="914"/>
      <c r="BOM29" s="914"/>
      <c r="BON29" s="914"/>
      <c r="BOO29" s="914"/>
      <c r="BOP29" s="911"/>
      <c r="BOQ29" s="911"/>
      <c r="BOR29" s="911"/>
      <c r="BOS29" s="915"/>
      <c r="BOT29" s="914"/>
      <c r="BOU29" s="914"/>
      <c r="BOV29" s="914"/>
      <c r="BOW29" s="914"/>
      <c r="BOX29" s="914"/>
      <c r="BOY29" s="914"/>
      <c r="BOZ29" s="914"/>
      <c r="BPA29" s="911"/>
      <c r="BPB29" s="911"/>
      <c r="BPC29" s="911"/>
      <c r="BPD29" s="915"/>
      <c r="BPE29" s="914"/>
      <c r="BPF29" s="914"/>
      <c r="BPG29" s="914"/>
      <c r="BPH29" s="914"/>
      <c r="BPI29" s="914"/>
      <c r="BPJ29" s="914"/>
      <c r="BPK29" s="914"/>
      <c r="BPL29" s="911"/>
      <c r="BPM29" s="911"/>
      <c r="BPN29" s="911"/>
      <c r="BPO29" s="915"/>
      <c r="BPP29" s="914"/>
      <c r="BPQ29" s="914"/>
      <c r="BPR29" s="914"/>
      <c r="BPS29" s="914"/>
      <c r="BPT29" s="914"/>
      <c r="BPU29" s="914"/>
      <c r="BPV29" s="914"/>
      <c r="BPW29" s="911"/>
      <c r="BPX29" s="911"/>
      <c r="BPY29" s="911"/>
      <c r="BPZ29" s="915"/>
      <c r="BQA29" s="914"/>
      <c r="BQB29" s="914"/>
      <c r="BQC29" s="914"/>
      <c r="BQD29" s="914"/>
      <c r="BQE29" s="914"/>
      <c r="BQF29" s="914"/>
      <c r="BQG29" s="914"/>
      <c r="BQH29" s="911"/>
      <c r="BQI29" s="911"/>
      <c r="BQJ29" s="911"/>
      <c r="BQK29" s="915"/>
      <c r="BQL29" s="914"/>
      <c r="BQM29" s="914"/>
      <c r="BQN29" s="914"/>
      <c r="BQO29" s="914"/>
      <c r="BQP29" s="914"/>
      <c r="BQQ29" s="914"/>
      <c r="BQR29" s="914"/>
      <c r="BQS29" s="911"/>
      <c r="BQT29" s="911"/>
      <c r="BQU29" s="911"/>
      <c r="BQV29" s="915"/>
      <c r="BQW29" s="914"/>
      <c r="BQX29" s="914"/>
      <c r="BQY29" s="914"/>
      <c r="BQZ29" s="914"/>
      <c r="BRA29" s="914"/>
      <c r="BRB29" s="914"/>
      <c r="BRC29" s="914"/>
      <c r="BRD29" s="911"/>
      <c r="BRE29" s="911"/>
      <c r="BRF29" s="911"/>
      <c r="BRG29" s="915"/>
      <c r="BRH29" s="914"/>
      <c r="BRI29" s="914"/>
      <c r="BRJ29" s="914"/>
      <c r="BRK29" s="914"/>
      <c r="BRL29" s="914"/>
      <c r="BRM29" s="914"/>
      <c r="BRN29" s="914"/>
      <c r="BRO29" s="911"/>
      <c r="BRP29" s="911"/>
      <c r="BRQ29" s="911"/>
      <c r="BRR29" s="915"/>
      <c r="BRS29" s="914"/>
      <c r="BRT29" s="914"/>
      <c r="BRU29" s="914"/>
      <c r="BRV29" s="914"/>
      <c r="BRW29" s="914"/>
      <c r="BRX29" s="914"/>
      <c r="BRY29" s="914"/>
      <c r="BRZ29" s="911"/>
      <c r="BSA29" s="911"/>
      <c r="BSB29" s="911"/>
      <c r="BSC29" s="915"/>
      <c r="BSD29" s="914"/>
      <c r="BSE29" s="914"/>
      <c r="BSF29" s="914"/>
      <c r="BSG29" s="914"/>
      <c r="BSH29" s="914"/>
      <c r="BSI29" s="914"/>
      <c r="BSJ29" s="914"/>
      <c r="BSK29" s="911"/>
      <c r="BSL29" s="911"/>
      <c r="BSM29" s="911"/>
      <c r="BSN29" s="915"/>
      <c r="BSO29" s="914"/>
      <c r="BSP29" s="914"/>
      <c r="BSQ29" s="914"/>
      <c r="BSR29" s="914"/>
      <c r="BSS29" s="914"/>
      <c r="BST29" s="914"/>
      <c r="BSU29" s="914"/>
      <c r="BSV29" s="911"/>
      <c r="BSW29" s="911"/>
      <c r="BSX29" s="911"/>
      <c r="BSY29" s="915"/>
      <c r="BSZ29" s="914"/>
      <c r="BTA29" s="914"/>
      <c r="BTB29" s="914"/>
      <c r="BTC29" s="914"/>
      <c r="BTD29" s="914"/>
      <c r="BTE29" s="914"/>
      <c r="BTF29" s="914"/>
      <c r="BTG29" s="911"/>
      <c r="BTH29" s="911"/>
      <c r="BTI29" s="911"/>
      <c r="BTJ29" s="915"/>
      <c r="BTK29" s="914"/>
      <c r="BTL29" s="914"/>
      <c r="BTM29" s="914"/>
      <c r="BTN29" s="914"/>
      <c r="BTO29" s="914"/>
      <c r="BTP29" s="914"/>
      <c r="BTQ29" s="914"/>
      <c r="BTR29" s="911"/>
      <c r="BTS29" s="911"/>
      <c r="BTT29" s="911"/>
      <c r="BTU29" s="915"/>
      <c r="BTV29" s="914"/>
      <c r="BTW29" s="914"/>
      <c r="BTX29" s="914"/>
      <c r="BTY29" s="914"/>
      <c r="BTZ29" s="914"/>
      <c r="BUA29" s="914"/>
      <c r="BUB29" s="914"/>
      <c r="BUC29" s="911"/>
      <c r="BUD29" s="911"/>
      <c r="BUE29" s="911"/>
      <c r="BUF29" s="915"/>
      <c r="BUG29" s="914"/>
      <c r="BUH29" s="914"/>
      <c r="BUI29" s="914"/>
      <c r="BUJ29" s="914"/>
      <c r="BUK29" s="914"/>
      <c r="BUL29" s="914"/>
      <c r="BUM29" s="914"/>
      <c r="BUN29" s="911"/>
      <c r="BUO29" s="911"/>
      <c r="BUP29" s="911"/>
      <c r="BUQ29" s="915"/>
      <c r="BUR29" s="914"/>
      <c r="BUS29" s="914"/>
      <c r="BUT29" s="914"/>
      <c r="BUU29" s="914"/>
      <c r="BUV29" s="914"/>
      <c r="BUW29" s="914"/>
      <c r="BUX29" s="914"/>
      <c r="BUY29" s="911"/>
      <c r="BUZ29" s="911"/>
      <c r="BVA29" s="911"/>
      <c r="BVB29" s="915"/>
      <c r="BVC29" s="914"/>
      <c r="BVD29" s="914"/>
      <c r="BVE29" s="914"/>
      <c r="BVF29" s="914"/>
      <c r="BVG29" s="914"/>
      <c r="BVH29" s="914"/>
      <c r="BVI29" s="914"/>
      <c r="BVJ29" s="911"/>
      <c r="BVK29" s="911"/>
      <c r="BVL29" s="911"/>
      <c r="BVM29" s="915"/>
      <c r="BVN29" s="914"/>
      <c r="BVO29" s="914"/>
      <c r="BVP29" s="914"/>
      <c r="BVQ29" s="914"/>
      <c r="BVR29" s="914"/>
      <c r="BVS29" s="914"/>
      <c r="BVT29" s="914"/>
      <c r="BVU29" s="911"/>
      <c r="BVV29" s="911"/>
      <c r="BVW29" s="911"/>
      <c r="BVX29" s="915"/>
      <c r="BVY29" s="914"/>
      <c r="BVZ29" s="914"/>
      <c r="BWA29" s="914"/>
      <c r="BWB29" s="914"/>
      <c r="BWC29" s="914"/>
      <c r="BWD29" s="914"/>
      <c r="BWE29" s="914"/>
      <c r="BWF29" s="911"/>
      <c r="BWG29" s="911"/>
      <c r="BWH29" s="911"/>
      <c r="BWI29" s="915"/>
      <c r="BWJ29" s="914"/>
      <c r="BWK29" s="914"/>
      <c r="BWL29" s="914"/>
      <c r="BWM29" s="914"/>
      <c r="BWN29" s="914"/>
      <c r="BWO29" s="914"/>
      <c r="BWP29" s="914"/>
      <c r="BWQ29" s="911"/>
      <c r="BWR29" s="911"/>
      <c r="BWS29" s="911"/>
      <c r="BWT29" s="915"/>
      <c r="BWU29" s="914"/>
      <c r="BWV29" s="914"/>
      <c r="BWW29" s="914"/>
      <c r="BWX29" s="914"/>
      <c r="BWY29" s="914"/>
      <c r="BWZ29" s="914"/>
      <c r="BXA29" s="914"/>
      <c r="BXB29" s="911"/>
      <c r="BXC29" s="911"/>
      <c r="BXD29" s="911"/>
      <c r="BXE29" s="915"/>
      <c r="BXF29" s="914"/>
      <c r="BXG29" s="914"/>
      <c r="BXH29" s="914"/>
      <c r="BXI29" s="914"/>
      <c r="BXJ29" s="914"/>
      <c r="BXK29" s="914"/>
      <c r="BXL29" s="914"/>
      <c r="BXM29" s="911"/>
      <c r="BXN29" s="911"/>
      <c r="BXO29" s="911"/>
      <c r="BXP29" s="915"/>
      <c r="BXQ29" s="914"/>
      <c r="BXR29" s="914"/>
      <c r="BXS29" s="914"/>
      <c r="BXT29" s="914"/>
      <c r="BXU29" s="914"/>
      <c r="BXV29" s="914"/>
      <c r="BXW29" s="914"/>
      <c r="BXX29" s="911"/>
      <c r="BXY29" s="911"/>
      <c r="BXZ29" s="911"/>
      <c r="BYA29" s="915"/>
      <c r="BYB29" s="914"/>
      <c r="BYC29" s="914"/>
      <c r="BYD29" s="914"/>
      <c r="BYE29" s="914"/>
      <c r="BYF29" s="914"/>
      <c r="BYG29" s="914"/>
      <c r="BYH29" s="914"/>
      <c r="BYI29" s="911"/>
      <c r="BYJ29" s="911"/>
      <c r="BYK29" s="911"/>
      <c r="BYL29" s="915"/>
      <c r="BYM29" s="914"/>
      <c r="BYN29" s="914"/>
      <c r="BYO29" s="914"/>
      <c r="BYP29" s="914"/>
      <c r="BYQ29" s="914"/>
      <c r="BYR29" s="914"/>
      <c r="BYS29" s="914"/>
      <c r="BYT29" s="911"/>
      <c r="BYU29" s="911"/>
      <c r="BYV29" s="911"/>
      <c r="BYW29" s="915"/>
      <c r="BYX29" s="914"/>
      <c r="BYY29" s="914"/>
      <c r="BYZ29" s="914"/>
      <c r="BZA29" s="914"/>
      <c r="BZB29" s="914"/>
      <c r="BZC29" s="914"/>
      <c r="BZD29" s="914"/>
      <c r="BZE29" s="911"/>
      <c r="BZF29" s="911"/>
      <c r="BZG29" s="911"/>
      <c r="BZH29" s="915"/>
      <c r="BZI29" s="914"/>
      <c r="BZJ29" s="914"/>
      <c r="BZK29" s="914"/>
      <c r="BZL29" s="914"/>
      <c r="BZM29" s="914"/>
      <c r="BZN29" s="914"/>
      <c r="BZO29" s="914"/>
      <c r="BZP29" s="911"/>
      <c r="BZQ29" s="911"/>
      <c r="BZR29" s="911"/>
      <c r="BZS29" s="915"/>
      <c r="BZT29" s="914"/>
      <c r="BZU29" s="914"/>
      <c r="BZV29" s="914"/>
      <c r="BZW29" s="914"/>
      <c r="BZX29" s="914"/>
      <c r="BZY29" s="914"/>
      <c r="BZZ29" s="914"/>
      <c r="CAA29" s="911"/>
      <c r="CAB29" s="911"/>
      <c r="CAC29" s="911"/>
      <c r="CAD29" s="915"/>
      <c r="CAE29" s="914"/>
      <c r="CAF29" s="914"/>
      <c r="CAG29" s="914"/>
      <c r="CAH29" s="914"/>
      <c r="CAI29" s="914"/>
      <c r="CAJ29" s="914"/>
      <c r="CAK29" s="914"/>
      <c r="CAL29" s="911"/>
      <c r="CAM29" s="911"/>
      <c r="CAN29" s="911"/>
      <c r="CAO29" s="915"/>
      <c r="CAP29" s="914"/>
      <c r="CAQ29" s="914"/>
      <c r="CAR29" s="914"/>
      <c r="CAS29" s="914"/>
      <c r="CAT29" s="914"/>
      <c r="CAU29" s="914"/>
      <c r="CAV29" s="914"/>
      <c r="CAW29" s="911"/>
      <c r="CAX29" s="911"/>
      <c r="CAY29" s="911"/>
      <c r="CAZ29" s="915"/>
      <c r="CBA29" s="914"/>
      <c r="CBB29" s="914"/>
      <c r="CBC29" s="914"/>
      <c r="CBD29" s="914"/>
      <c r="CBE29" s="914"/>
      <c r="CBF29" s="914"/>
      <c r="CBG29" s="914"/>
      <c r="CBH29" s="911"/>
      <c r="CBI29" s="911"/>
      <c r="CBJ29" s="911"/>
      <c r="CBK29" s="915"/>
      <c r="CBL29" s="914"/>
      <c r="CBM29" s="914"/>
      <c r="CBN29" s="914"/>
      <c r="CBO29" s="914"/>
      <c r="CBP29" s="914"/>
      <c r="CBQ29" s="914"/>
      <c r="CBR29" s="914"/>
      <c r="CBS29" s="911"/>
      <c r="CBT29" s="911"/>
      <c r="CBU29" s="911"/>
      <c r="CBV29" s="915"/>
      <c r="CBW29" s="914"/>
      <c r="CBX29" s="914"/>
      <c r="CBY29" s="914"/>
      <c r="CBZ29" s="914"/>
      <c r="CCA29" s="914"/>
      <c r="CCB29" s="914"/>
      <c r="CCC29" s="914"/>
      <c r="CCD29" s="911"/>
      <c r="CCE29" s="911"/>
      <c r="CCF29" s="911"/>
      <c r="CCG29" s="915"/>
      <c r="CCH29" s="914"/>
      <c r="CCI29" s="914"/>
      <c r="CCJ29" s="914"/>
      <c r="CCK29" s="914"/>
      <c r="CCL29" s="914"/>
      <c r="CCM29" s="914"/>
      <c r="CCN29" s="914"/>
      <c r="CCO29" s="911"/>
      <c r="CCP29" s="911"/>
      <c r="CCQ29" s="911"/>
      <c r="CCR29" s="915"/>
      <c r="CCS29" s="914"/>
      <c r="CCT29" s="914"/>
      <c r="CCU29" s="914"/>
      <c r="CCV29" s="914"/>
      <c r="CCW29" s="914"/>
      <c r="CCX29" s="914"/>
      <c r="CCY29" s="914"/>
      <c r="CCZ29" s="911"/>
      <c r="CDA29" s="911"/>
      <c r="CDB29" s="911"/>
      <c r="CDC29" s="915"/>
      <c r="CDD29" s="914"/>
      <c r="CDE29" s="914"/>
      <c r="CDF29" s="914"/>
      <c r="CDG29" s="914"/>
      <c r="CDH29" s="914"/>
      <c r="CDI29" s="914"/>
      <c r="CDJ29" s="914"/>
      <c r="CDK29" s="911"/>
      <c r="CDL29" s="911"/>
      <c r="CDM29" s="911"/>
      <c r="CDN29" s="915"/>
      <c r="CDO29" s="914"/>
      <c r="CDP29" s="914"/>
      <c r="CDQ29" s="914"/>
      <c r="CDR29" s="914"/>
      <c r="CDS29" s="914"/>
      <c r="CDT29" s="914"/>
      <c r="CDU29" s="914"/>
      <c r="CDV29" s="911"/>
      <c r="CDW29" s="911"/>
      <c r="CDX29" s="911"/>
      <c r="CDY29" s="915"/>
      <c r="CDZ29" s="914"/>
      <c r="CEA29" s="914"/>
      <c r="CEB29" s="914"/>
      <c r="CEC29" s="914"/>
      <c r="CED29" s="914"/>
      <c r="CEE29" s="914"/>
      <c r="CEF29" s="914"/>
      <c r="CEG29" s="911"/>
      <c r="CEH29" s="911"/>
      <c r="CEI29" s="911"/>
      <c r="CEJ29" s="915"/>
      <c r="CEK29" s="914"/>
      <c r="CEL29" s="914"/>
      <c r="CEM29" s="914"/>
      <c r="CEN29" s="914"/>
      <c r="CEO29" s="914"/>
      <c r="CEP29" s="914"/>
      <c r="CEQ29" s="914"/>
      <c r="CER29" s="911"/>
      <c r="CES29" s="911"/>
      <c r="CET29" s="911"/>
      <c r="CEU29" s="915"/>
      <c r="CEV29" s="914"/>
      <c r="CEW29" s="914"/>
      <c r="CEX29" s="914"/>
      <c r="CEY29" s="914"/>
      <c r="CEZ29" s="914"/>
      <c r="CFA29" s="914"/>
      <c r="CFB29" s="914"/>
      <c r="CFC29" s="911"/>
      <c r="CFD29" s="911"/>
      <c r="CFE29" s="911"/>
      <c r="CFF29" s="915"/>
      <c r="CFG29" s="914"/>
      <c r="CFH29" s="914"/>
      <c r="CFI29" s="914"/>
      <c r="CFJ29" s="914"/>
      <c r="CFK29" s="914"/>
      <c r="CFL29" s="914"/>
      <c r="CFM29" s="914"/>
      <c r="CFN29" s="911"/>
      <c r="CFO29" s="911"/>
      <c r="CFP29" s="911"/>
      <c r="CFQ29" s="915"/>
      <c r="CFR29" s="914"/>
      <c r="CFS29" s="914"/>
      <c r="CFT29" s="914"/>
      <c r="CFU29" s="914"/>
      <c r="CFV29" s="914"/>
      <c r="CFW29" s="914"/>
      <c r="CFX29" s="914"/>
      <c r="CFY29" s="911"/>
      <c r="CFZ29" s="911"/>
      <c r="CGA29" s="911"/>
      <c r="CGB29" s="915"/>
      <c r="CGC29" s="914"/>
      <c r="CGD29" s="914"/>
      <c r="CGE29" s="914"/>
      <c r="CGF29" s="914"/>
      <c r="CGG29" s="914"/>
      <c r="CGH29" s="914"/>
      <c r="CGI29" s="914"/>
      <c r="CGJ29" s="911"/>
      <c r="CGK29" s="911"/>
      <c r="CGL29" s="911"/>
      <c r="CGM29" s="915"/>
      <c r="CGN29" s="914"/>
      <c r="CGO29" s="914"/>
      <c r="CGP29" s="914"/>
      <c r="CGQ29" s="914"/>
      <c r="CGR29" s="914"/>
      <c r="CGS29" s="914"/>
      <c r="CGT29" s="914"/>
      <c r="CGU29" s="911"/>
      <c r="CGV29" s="911"/>
      <c r="CGW29" s="911"/>
      <c r="CGX29" s="915"/>
      <c r="CGY29" s="914"/>
      <c r="CGZ29" s="914"/>
      <c r="CHA29" s="914"/>
      <c r="CHB29" s="914"/>
      <c r="CHC29" s="914"/>
      <c r="CHD29" s="914"/>
      <c r="CHE29" s="914"/>
      <c r="CHF29" s="911"/>
      <c r="CHG29" s="911"/>
      <c r="CHH29" s="911"/>
      <c r="CHI29" s="915"/>
      <c r="CHJ29" s="914"/>
      <c r="CHK29" s="914"/>
      <c r="CHL29" s="914"/>
      <c r="CHM29" s="914"/>
      <c r="CHN29" s="914"/>
      <c r="CHO29" s="914"/>
      <c r="CHP29" s="914"/>
      <c r="CHQ29" s="911"/>
      <c r="CHR29" s="911"/>
      <c r="CHS29" s="911"/>
      <c r="CHT29" s="915"/>
      <c r="CHU29" s="914"/>
      <c r="CHV29" s="914"/>
      <c r="CHW29" s="914"/>
      <c r="CHX29" s="914"/>
      <c r="CHY29" s="914"/>
      <c r="CHZ29" s="914"/>
      <c r="CIA29" s="914"/>
      <c r="CIB29" s="911"/>
      <c r="CIC29" s="911"/>
      <c r="CID29" s="911"/>
      <c r="CIE29" s="915"/>
      <c r="CIF29" s="914"/>
      <c r="CIG29" s="914"/>
      <c r="CIH29" s="914"/>
      <c r="CII29" s="914"/>
      <c r="CIJ29" s="914"/>
      <c r="CIK29" s="914"/>
      <c r="CIL29" s="914"/>
      <c r="CIM29" s="911"/>
      <c r="CIN29" s="911"/>
      <c r="CIO29" s="911"/>
      <c r="CIP29" s="915"/>
      <c r="CIQ29" s="914"/>
      <c r="CIR29" s="914"/>
      <c r="CIS29" s="914"/>
      <c r="CIT29" s="914"/>
      <c r="CIU29" s="914"/>
      <c r="CIV29" s="914"/>
      <c r="CIW29" s="914"/>
      <c r="CIX29" s="911"/>
      <c r="CIY29" s="911"/>
      <c r="CIZ29" s="911"/>
      <c r="CJA29" s="915"/>
      <c r="CJB29" s="914"/>
      <c r="CJC29" s="914"/>
      <c r="CJD29" s="914"/>
      <c r="CJE29" s="914"/>
      <c r="CJF29" s="914"/>
      <c r="CJG29" s="914"/>
      <c r="CJH29" s="914"/>
      <c r="CJI29" s="911"/>
      <c r="CJJ29" s="911"/>
      <c r="CJK29" s="911"/>
      <c r="CJL29" s="915"/>
      <c r="CJM29" s="914"/>
      <c r="CJN29" s="914"/>
      <c r="CJO29" s="914"/>
      <c r="CJP29" s="914"/>
      <c r="CJQ29" s="914"/>
      <c r="CJR29" s="914"/>
      <c r="CJS29" s="914"/>
      <c r="CJT29" s="911"/>
      <c r="CJU29" s="911"/>
      <c r="CJV29" s="911"/>
      <c r="CJW29" s="915"/>
      <c r="CJX29" s="914"/>
      <c r="CJY29" s="914"/>
      <c r="CJZ29" s="914"/>
      <c r="CKA29" s="914"/>
      <c r="CKB29" s="914"/>
      <c r="CKC29" s="914"/>
      <c r="CKD29" s="914"/>
      <c r="CKE29" s="911"/>
      <c r="CKF29" s="911"/>
      <c r="CKG29" s="911"/>
      <c r="CKH29" s="915"/>
      <c r="CKI29" s="914"/>
      <c r="CKJ29" s="914"/>
      <c r="CKK29" s="914"/>
      <c r="CKL29" s="914"/>
      <c r="CKM29" s="914"/>
      <c r="CKN29" s="914"/>
      <c r="CKO29" s="914"/>
      <c r="CKP29" s="911"/>
      <c r="CKQ29" s="911"/>
      <c r="CKR29" s="911"/>
      <c r="CKS29" s="915"/>
      <c r="CKT29" s="914"/>
      <c r="CKU29" s="914"/>
      <c r="CKV29" s="914"/>
      <c r="CKW29" s="914"/>
      <c r="CKX29" s="914"/>
      <c r="CKY29" s="914"/>
      <c r="CKZ29" s="914"/>
      <c r="CLA29" s="911"/>
      <c r="CLB29" s="911"/>
      <c r="CLC29" s="911"/>
      <c r="CLD29" s="915"/>
      <c r="CLE29" s="914"/>
      <c r="CLF29" s="914"/>
      <c r="CLG29" s="914"/>
      <c r="CLH29" s="914"/>
      <c r="CLI29" s="914"/>
      <c r="CLJ29" s="914"/>
      <c r="CLK29" s="914"/>
      <c r="CLL29" s="911"/>
      <c r="CLM29" s="911"/>
      <c r="CLN29" s="911"/>
      <c r="CLO29" s="915"/>
      <c r="CLP29" s="914"/>
      <c r="CLQ29" s="914"/>
      <c r="CLR29" s="914"/>
      <c r="CLS29" s="914"/>
      <c r="CLT29" s="914"/>
      <c r="CLU29" s="914"/>
      <c r="CLV29" s="914"/>
      <c r="CLW29" s="911"/>
      <c r="CLX29" s="911"/>
      <c r="CLY29" s="911"/>
      <c r="CLZ29" s="915"/>
      <c r="CMA29" s="914"/>
      <c r="CMB29" s="914"/>
      <c r="CMC29" s="914"/>
      <c r="CMD29" s="914"/>
      <c r="CME29" s="914"/>
      <c r="CMF29" s="914"/>
      <c r="CMG29" s="914"/>
      <c r="CMH29" s="911"/>
      <c r="CMI29" s="911"/>
      <c r="CMJ29" s="911"/>
      <c r="CMK29" s="915"/>
      <c r="CML29" s="914"/>
      <c r="CMM29" s="914"/>
      <c r="CMN29" s="914"/>
      <c r="CMO29" s="914"/>
      <c r="CMP29" s="914"/>
      <c r="CMQ29" s="914"/>
      <c r="CMR29" s="914"/>
      <c r="CMS29" s="911"/>
      <c r="CMT29" s="911"/>
      <c r="CMU29" s="911"/>
      <c r="CMV29" s="915"/>
      <c r="CMW29" s="914"/>
      <c r="CMX29" s="914"/>
      <c r="CMY29" s="914"/>
      <c r="CMZ29" s="914"/>
      <c r="CNA29" s="914"/>
      <c r="CNB29" s="914"/>
      <c r="CNC29" s="914"/>
      <c r="CND29" s="911"/>
      <c r="CNE29" s="911"/>
      <c r="CNF29" s="911"/>
      <c r="CNG29" s="915"/>
      <c r="CNH29" s="914"/>
      <c r="CNI29" s="914"/>
      <c r="CNJ29" s="914"/>
      <c r="CNK29" s="914"/>
      <c r="CNL29" s="914"/>
      <c r="CNM29" s="914"/>
      <c r="CNN29" s="914"/>
      <c r="CNO29" s="911"/>
      <c r="CNP29" s="911"/>
      <c r="CNQ29" s="911"/>
      <c r="CNR29" s="915"/>
      <c r="CNS29" s="914"/>
      <c r="CNT29" s="914"/>
      <c r="CNU29" s="914"/>
      <c r="CNV29" s="914"/>
      <c r="CNW29" s="914"/>
      <c r="CNX29" s="914"/>
      <c r="CNY29" s="914"/>
      <c r="CNZ29" s="911"/>
      <c r="COA29" s="911"/>
      <c r="COB29" s="911"/>
      <c r="COC29" s="915"/>
      <c r="COD29" s="914"/>
      <c r="COE29" s="914"/>
      <c r="COF29" s="914"/>
      <c r="COG29" s="914"/>
      <c r="COH29" s="914"/>
      <c r="COI29" s="914"/>
      <c r="COJ29" s="914"/>
      <c r="COK29" s="911"/>
      <c r="COL29" s="911"/>
      <c r="COM29" s="911"/>
      <c r="CON29" s="915"/>
      <c r="COO29" s="914"/>
      <c r="COP29" s="914"/>
      <c r="COQ29" s="914"/>
      <c r="COR29" s="914"/>
      <c r="COS29" s="914"/>
      <c r="COT29" s="914"/>
      <c r="COU29" s="914"/>
      <c r="COV29" s="911"/>
      <c r="COW29" s="911"/>
      <c r="COX29" s="911"/>
      <c r="COY29" s="915"/>
      <c r="COZ29" s="914"/>
      <c r="CPA29" s="914"/>
      <c r="CPB29" s="914"/>
      <c r="CPC29" s="914"/>
      <c r="CPD29" s="914"/>
      <c r="CPE29" s="914"/>
      <c r="CPF29" s="914"/>
      <c r="CPG29" s="911"/>
      <c r="CPH29" s="911"/>
      <c r="CPI29" s="911"/>
      <c r="CPJ29" s="915"/>
      <c r="CPK29" s="914"/>
      <c r="CPL29" s="914"/>
      <c r="CPM29" s="914"/>
      <c r="CPN29" s="914"/>
      <c r="CPO29" s="914"/>
      <c r="CPP29" s="914"/>
      <c r="CPQ29" s="914"/>
      <c r="CPR29" s="911"/>
      <c r="CPS29" s="911"/>
      <c r="CPT29" s="911"/>
      <c r="CPU29" s="915"/>
      <c r="CPV29" s="914"/>
      <c r="CPW29" s="914"/>
      <c r="CPX29" s="914"/>
      <c r="CPY29" s="914"/>
      <c r="CPZ29" s="914"/>
      <c r="CQA29" s="914"/>
      <c r="CQB29" s="914"/>
      <c r="CQC29" s="911"/>
      <c r="CQD29" s="911"/>
      <c r="CQE29" s="911"/>
      <c r="CQF29" s="915"/>
      <c r="CQG29" s="914"/>
      <c r="CQH29" s="914"/>
      <c r="CQI29" s="914"/>
      <c r="CQJ29" s="914"/>
      <c r="CQK29" s="914"/>
      <c r="CQL29" s="914"/>
      <c r="CQM29" s="914"/>
      <c r="CQN29" s="911"/>
      <c r="CQO29" s="911"/>
      <c r="CQP29" s="911"/>
      <c r="CQQ29" s="915"/>
      <c r="CQR29" s="914"/>
      <c r="CQS29" s="914"/>
      <c r="CQT29" s="914"/>
      <c r="CQU29" s="914"/>
      <c r="CQV29" s="914"/>
      <c r="CQW29" s="914"/>
      <c r="CQX29" s="914"/>
      <c r="CQY29" s="911"/>
      <c r="CQZ29" s="911"/>
      <c r="CRA29" s="911"/>
      <c r="CRB29" s="915"/>
      <c r="CRC29" s="914"/>
      <c r="CRD29" s="914"/>
      <c r="CRE29" s="914"/>
      <c r="CRF29" s="914"/>
      <c r="CRG29" s="914"/>
      <c r="CRH29" s="914"/>
      <c r="CRI29" s="914"/>
      <c r="CRJ29" s="911"/>
      <c r="CRK29" s="911"/>
      <c r="CRL29" s="911"/>
      <c r="CRM29" s="915"/>
      <c r="CRN29" s="914"/>
      <c r="CRO29" s="914"/>
      <c r="CRP29" s="914"/>
      <c r="CRQ29" s="914"/>
      <c r="CRR29" s="914"/>
      <c r="CRS29" s="914"/>
      <c r="CRT29" s="914"/>
      <c r="CRU29" s="911"/>
      <c r="CRV29" s="911"/>
      <c r="CRW29" s="911"/>
      <c r="CRX29" s="915"/>
      <c r="CRY29" s="914"/>
      <c r="CRZ29" s="914"/>
      <c r="CSA29" s="914"/>
      <c r="CSB29" s="914"/>
      <c r="CSC29" s="914"/>
      <c r="CSD29" s="914"/>
      <c r="CSE29" s="914"/>
      <c r="CSF29" s="911"/>
      <c r="CSG29" s="911"/>
      <c r="CSH29" s="911"/>
      <c r="CSI29" s="915"/>
      <c r="CSJ29" s="914"/>
      <c r="CSK29" s="914"/>
      <c r="CSL29" s="914"/>
      <c r="CSM29" s="914"/>
      <c r="CSN29" s="914"/>
      <c r="CSO29" s="914"/>
      <c r="CSP29" s="914"/>
      <c r="CSQ29" s="911"/>
      <c r="CSR29" s="911"/>
      <c r="CSS29" s="911"/>
      <c r="CST29" s="915"/>
      <c r="CSU29" s="914"/>
      <c r="CSV29" s="914"/>
      <c r="CSW29" s="914"/>
      <c r="CSX29" s="914"/>
      <c r="CSY29" s="914"/>
      <c r="CSZ29" s="914"/>
      <c r="CTA29" s="914"/>
      <c r="CTB29" s="911"/>
      <c r="CTC29" s="911"/>
      <c r="CTD29" s="911"/>
      <c r="CTE29" s="915"/>
      <c r="CTF29" s="914"/>
      <c r="CTG29" s="914"/>
      <c r="CTH29" s="914"/>
      <c r="CTI29" s="914"/>
      <c r="CTJ29" s="914"/>
      <c r="CTK29" s="914"/>
      <c r="CTL29" s="914"/>
      <c r="CTM29" s="911"/>
      <c r="CTN29" s="911"/>
      <c r="CTO29" s="911"/>
      <c r="CTP29" s="915"/>
      <c r="CTQ29" s="914"/>
      <c r="CTR29" s="914"/>
      <c r="CTS29" s="914"/>
      <c r="CTT29" s="914"/>
      <c r="CTU29" s="914"/>
      <c r="CTV29" s="914"/>
      <c r="CTW29" s="914"/>
      <c r="CTX29" s="911"/>
      <c r="CTY29" s="911"/>
      <c r="CTZ29" s="911"/>
      <c r="CUA29" s="915"/>
      <c r="CUB29" s="914"/>
      <c r="CUC29" s="914"/>
      <c r="CUD29" s="914"/>
      <c r="CUE29" s="914"/>
      <c r="CUF29" s="914"/>
      <c r="CUG29" s="914"/>
      <c r="CUH29" s="914"/>
      <c r="CUI29" s="911"/>
      <c r="CUJ29" s="911"/>
      <c r="CUK29" s="911"/>
      <c r="CUL29" s="915"/>
      <c r="CUM29" s="914"/>
      <c r="CUN29" s="914"/>
      <c r="CUO29" s="914"/>
      <c r="CUP29" s="914"/>
      <c r="CUQ29" s="914"/>
      <c r="CUR29" s="914"/>
      <c r="CUS29" s="914"/>
      <c r="CUT29" s="911"/>
      <c r="CUU29" s="911"/>
      <c r="CUV29" s="911"/>
      <c r="CUW29" s="915"/>
      <c r="CUX29" s="914"/>
      <c r="CUY29" s="914"/>
      <c r="CUZ29" s="914"/>
      <c r="CVA29" s="914"/>
      <c r="CVB29" s="914"/>
      <c r="CVC29" s="914"/>
      <c r="CVD29" s="914"/>
      <c r="CVE29" s="911"/>
      <c r="CVF29" s="911"/>
      <c r="CVG29" s="911"/>
      <c r="CVH29" s="915"/>
      <c r="CVI29" s="914"/>
      <c r="CVJ29" s="914"/>
      <c r="CVK29" s="914"/>
      <c r="CVL29" s="914"/>
      <c r="CVM29" s="914"/>
      <c r="CVN29" s="914"/>
      <c r="CVO29" s="914"/>
      <c r="CVP29" s="911"/>
      <c r="CVQ29" s="911"/>
      <c r="CVR29" s="911"/>
      <c r="CVS29" s="915"/>
      <c r="CVT29" s="914"/>
      <c r="CVU29" s="914"/>
      <c r="CVV29" s="914"/>
      <c r="CVW29" s="914"/>
      <c r="CVX29" s="914"/>
      <c r="CVY29" s="914"/>
      <c r="CVZ29" s="914"/>
      <c r="CWA29" s="911"/>
      <c r="CWB29" s="911"/>
      <c r="CWC29" s="911"/>
      <c r="CWD29" s="915"/>
      <c r="CWE29" s="914"/>
      <c r="CWF29" s="914"/>
      <c r="CWG29" s="914"/>
      <c r="CWH29" s="914"/>
      <c r="CWI29" s="914"/>
      <c r="CWJ29" s="914"/>
      <c r="CWK29" s="914"/>
      <c r="CWL29" s="911"/>
      <c r="CWM29" s="911"/>
      <c r="CWN29" s="911"/>
      <c r="CWO29" s="915"/>
      <c r="CWP29" s="914"/>
      <c r="CWQ29" s="914"/>
      <c r="CWR29" s="914"/>
      <c r="CWS29" s="914"/>
      <c r="CWT29" s="914"/>
      <c r="CWU29" s="914"/>
      <c r="CWV29" s="914"/>
      <c r="CWW29" s="911"/>
      <c r="CWX29" s="911"/>
      <c r="CWY29" s="911"/>
      <c r="CWZ29" s="915"/>
      <c r="CXA29" s="914"/>
      <c r="CXB29" s="914"/>
      <c r="CXC29" s="914"/>
      <c r="CXD29" s="914"/>
      <c r="CXE29" s="914"/>
      <c r="CXF29" s="914"/>
      <c r="CXG29" s="914"/>
      <c r="CXH29" s="911"/>
      <c r="CXI29" s="911"/>
      <c r="CXJ29" s="911"/>
      <c r="CXK29" s="915"/>
      <c r="CXL29" s="914"/>
      <c r="CXM29" s="914"/>
      <c r="CXN29" s="914"/>
      <c r="CXO29" s="914"/>
      <c r="CXP29" s="914"/>
      <c r="CXQ29" s="914"/>
      <c r="CXR29" s="914"/>
      <c r="CXS29" s="911"/>
      <c r="CXT29" s="911"/>
      <c r="CXU29" s="911"/>
      <c r="CXV29" s="915"/>
      <c r="CXW29" s="914"/>
      <c r="CXX29" s="914"/>
      <c r="CXY29" s="914"/>
      <c r="CXZ29" s="914"/>
      <c r="CYA29" s="914"/>
      <c r="CYB29" s="914"/>
      <c r="CYC29" s="914"/>
      <c r="CYD29" s="911"/>
      <c r="CYE29" s="911"/>
      <c r="CYF29" s="911"/>
      <c r="CYG29" s="915"/>
      <c r="CYH29" s="914"/>
      <c r="CYI29" s="914"/>
      <c r="CYJ29" s="914"/>
      <c r="CYK29" s="914"/>
      <c r="CYL29" s="914"/>
      <c r="CYM29" s="914"/>
      <c r="CYN29" s="914"/>
      <c r="CYO29" s="911"/>
      <c r="CYP29" s="911"/>
      <c r="CYQ29" s="911"/>
      <c r="CYR29" s="915"/>
      <c r="CYS29" s="914"/>
      <c r="CYT29" s="914"/>
      <c r="CYU29" s="914"/>
      <c r="CYV29" s="914"/>
      <c r="CYW29" s="914"/>
      <c r="CYX29" s="914"/>
      <c r="CYY29" s="914"/>
      <c r="CYZ29" s="911"/>
      <c r="CZA29" s="911"/>
      <c r="CZB29" s="911"/>
      <c r="CZC29" s="915"/>
      <c r="CZD29" s="914"/>
      <c r="CZE29" s="914"/>
      <c r="CZF29" s="914"/>
      <c r="CZG29" s="914"/>
      <c r="CZH29" s="914"/>
      <c r="CZI29" s="914"/>
      <c r="CZJ29" s="914"/>
      <c r="CZK29" s="911"/>
      <c r="CZL29" s="911"/>
      <c r="CZM29" s="911"/>
      <c r="CZN29" s="915"/>
      <c r="CZO29" s="914"/>
      <c r="CZP29" s="914"/>
      <c r="CZQ29" s="914"/>
      <c r="CZR29" s="914"/>
      <c r="CZS29" s="914"/>
      <c r="CZT29" s="914"/>
      <c r="CZU29" s="914"/>
      <c r="CZV29" s="911"/>
      <c r="CZW29" s="911"/>
      <c r="CZX29" s="911"/>
      <c r="CZY29" s="915"/>
      <c r="CZZ29" s="914"/>
      <c r="DAA29" s="914"/>
      <c r="DAB29" s="914"/>
      <c r="DAC29" s="914"/>
      <c r="DAD29" s="914"/>
      <c r="DAE29" s="914"/>
      <c r="DAF29" s="914"/>
      <c r="DAG29" s="911"/>
      <c r="DAH29" s="911"/>
      <c r="DAI29" s="911"/>
      <c r="DAJ29" s="915"/>
      <c r="DAK29" s="914"/>
      <c r="DAL29" s="914"/>
      <c r="DAM29" s="914"/>
      <c r="DAN29" s="914"/>
      <c r="DAO29" s="914"/>
      <c r="DAP29" s="914"/>
      <c r="DAQ29" s="914"/>
      <c r="DAR29" s="911"/>
      <c r="DAS29" s="911"/>
      <c r="DAT29" s="911"/>
      <c r="DAU29" s="915"/>
      <c r="DAV29" s="914"/>
      <c r="DAW29" s="914"/>
      <c r="DAX29" s="914"/>
      <c r="DAY29" s="914"/>
      <c r="DAZ29" s="914"/>
      <c r="DBA29" s="914"/>
      <c r="DBB29" s="914"/>
      <c r="DBC29" s="911"/>
      <c r="DBD29" s="911"/>
      <c r="DBE29" s="911"/>
      <c r="DBF29" s="915"/>
      <c r="DBG29" s="914"/>
      <c r="DBH29" s="914"/>
      <c r="DBI29" s="914"/>
      <c r="DBJ29" s="914"/>
      <c r="DBK29" s="914"/>
      <c r="DBL29" s="914"/>
      <c r="DBM29" s="914"/>
      <c r="DBN29" s="911"/>
      <c r="DBO29" s="911"/>
      <c r="DBP29" s="911"/>
      <c r="DBQ29" s="915"/>
      <c r="DBR29" s="914"/>
      <c r="DBS29" s="914"/>
      <c r="DBT29" s="914"/>
      <c r="DBU29" s="914"/>
      <c r="DBV29" s="914"/>
      <c r="DBW29" s="914"/>
      <c r="DBX29" s="914"/>
      <c r="DBY29" s="911"/>
      <c r="DBZ29" s="911"/>
      <c r="DCA29" s="911"/>
      <c r="DCB29" s="915"/>
      <c r="DCC29" s="914"/>
      <c r="DCD29" s="914"/>
      <c r="DCE29" s="914"/>
      <c r="DCF29" s="914"/>
      <c r="DCG29" s="914"/>
      <c r="DCH29" s="914"/>
      <c r="DCI29" s="914"/>
      <c r="DCJ29" s="911"/>
      <c r="DCK29" s="911"/>
      <c r="DCL29" s="911"/>
      <c r="DCM29" s="915"/>
      <c r="DCN29" s="914"/>
      <c r="DCO29" s="914"/>
      <c r="DCP29" s="914"/>
      <c r="DCQ29" s="914"/>
      <c r="DCR29" s="914"/>
      <c r="DCS29" s="914"/>
      <c r="DCT29" s="914"/>
      <c r="DCU29" s="911"/>
      <c r="DCV29" s="911"/>
      <c r="DCW29" s="911"/>
      <c r="DCX29" s="915"/>
      <c r="DCY29" s="914"/>
      <c r="DCZ29" s="914"/>
      <c r="DDA29" s="914"/>
      <c r="DDB29" s="914"/>
      <c r="DDC29" s="914"/>
      <c r="DDD29" s="914"/>
      <c r="DDE29" s="914"/>
      <c r="DDF29" s="911"/>
      <c r="DDG29" s="911"/>
      <c r="DDH29" s="911"/>
      <c r="DDI29" s="915"/>
      <c r="DDJ29" s="914"/>
      <c r="DDK29" s="914"/>
      <c r="DDL29" s="914"/>
      <c r="DDM29" s="914"/>
      <c r="DDN29" s="914"/>
      <c r="DDO29" s="914"/>
      <c r="DDP29" s="914"/>
      <c r="DDQ29" s="911"/>
      <c r="DDR29" s="911"/>
      <c r="DDS29" s="911"/>
      <c r="DDT29" s="915"/>
      <c r="DDU29" s="914"/>
      <c r="DDV29" s="914"/>
      <c r="DDW29" s="914"/>
      <c r="DDX29" s="914"/>
      <c r="DDY29" s="914"/>
      <c r="DDZ29" s="914"/>
      <c r="DEA29" s="914"/>
      <c r="DEB29" s="911"/>
      <c r="DEC29" s="911"/>
      <c r="DED29" s="911"/>
      <c r="DEE29" s="915"/>
      <c r="DEF29" s="914"/>
      <c r="DEG29" s="914"/>
      <c r="DEH29" s="914"/>
      <c r="DEI29" s="914"/>
      <c r="DEJ29" s="914"/>
      <c r="DEK29" s="914"/>
      <c r="DEL29" s="914"/>
      <c r="DEM29" s="911"/>
      <c r="DEN29" s="911"/>
      <c r="DEO29" s="911"/>
      <c r="DEP29" s="915"/>
      <c r="DEQ29" s="914"/>
      <c r="DER29" s="914"/>
      <c r="DES29" s="914"/>
      <c r="DET29" s="914"/>
      <c r="DEU29" s="914"/>
      <c r="DEV29" s="914"/>
      <c r="DEW29" s="914"/>
      <c r="DEX29" s="911"/>
      <c r="DEY29" s="911"/>
      <c r="DEZ29" s="911"/>
      <c r="DFA29" s="915"/>
      <c r="DFB29" s="914"/>
      <c r="DFC29" s="914"/>
      <c r="DFD29" s="914"/>
      <c r="DFE29" s="914"/>
      <c r="DFF29" s="914"/>
      <c r="DFG29" s="914"/>
      <c r="DFH29" s="914"/>
      <c r="DFI29" s="911"/>
      <c r="DFJ29" s="911"/>
      <c r="DFK29" s="911"/>
      <c r="DFL29" s="915"/>
      <c r="DFM29" s="914"/>
      <c r="DFN29" s="914"/>
      <c r="DFO29" s="914"/>
      <c r="DFP29" s="914"/>
      <c r="DFQ29" s="914"/>
      <c r="DFR29" s="914"/>
      <c r="DFS29" s="914"/>
      <c r="DFT29" s="911"/>
      <c r="DFU29" s="911"/>
      <c r="DFV29" s="911"/>
      <c r="DFW29" s="915"/>
      <c r="DFX29" s="914"/>
      <c r="DFY29" s="914"/>
      <c r="DFZ29" s="914"/>
      <c r="DGA29" s="914"/>
      <c r="DGB29" s="914"/>
      <c r="DGC29" s="914"/>
      <c r="DGD29" s="914"/>
      <c r="DGE29" s="911"/>
      <c r="DGF29" s="911"/>
      <c r="DGG29" s="911"/>
      <c r="DGH29" s="915"/>
      <c r="DGI29" s="914"/>
      <c r="DGJ29" s="914"/>
      <c r="DGK29" s="914"/>
      <c r="DGL29" s="914"/>
      <c r="DGM29" s="914"/>
      <c r="DGN29" s="914"/>
      <c r="DGO29" s="914"/>
      <c r="DGP29" s="911"/>
      <c r="DGQ29" s="911"/>
      <c r="DGR29" s="911"/>
      <c r="DGS29" s="915"/>
      <c r="DGT29" s="914"/>
      <c r="DGU29" s="914"/>
      <c r="DGV29" s="914"/>
      <c r="DGW29" s="914"/>
      <c r="DGX29" s="914"/>
      <c r="DGY29" s="914"/>
      <c r="DGZ29" s="914"/>
      <c r="DHA29" s="911"/>
      <c r="DHB29" s="911"/>
      <c r="DHC29" s="911"/>
      <c r="DHD29" s="915"/>
      <c r="DHE29" s="914"/>
      <c r="DHF29" s="914"/>
      <c r="DHG29" s="914"/>
      <c r="DHH29" s="914"/>
      <c r="DHI29" s="914"/>
      <c r="DHJ29" s="914"/>
      <c r="DHK29" s="914"/>
      <c r="DHL29" s="911"/>
      <c r="DHM29" s="911"/>
      <c r="DHN29" s="911"/>
      <c r="DHO29" s="915"/>
      <c r="DHP29" s="914"/>
      <c r="DHQ29" s="914"/>
      <c r="DHR29" s="914"/>
      <c r="DHS29" s="914"/>
      <c r="DHT29" s="914"/>
      <c r="DHU29" s="914"/>
      <c r="DHV29" s="914"/>
      <c r="DHW29" s="911"/>
      <c r="DHX29" s="911"/>
      <c r="DHY29" s="911"/>
      <c r="DHZ29" s="915"/>
      <c r="DIA29" s="914"/>
      <c r="DIB29" s="914"/>
      <c r="DIC29" s="914"/>
      <c r="DID29" s="914"/>
      <c r="DIE29" s="914"/>
      <c r="DIF29" s="914"/>
      <c r="DIG29" s="914"/>
      <c r="DIH29" s="911"/>
      <c r="DII29" s="911"/>
      <c r="DIJ29" s="911"/>
      <c r="DIK29" s="915"/>
      <c r="DIL29" s="914"/>
      <c r="DIM29" s="914"/>
      <c r="DIN29" s="914"/>
      <c r="DIO29" s="914"/>
      <c r="DIP29" s="914"/>
      <c r="DIQ29" s="914"/>
      <c r="DIR29" s="914"/>
      <c r="DIS29" s="911"/>
      <c r="DIT29" s="911"/>
      <c r="DIU29" s="911"/>
      <c r="DIV29" s="915"/>
      <c r="DIW29" s="914"/>
      <c r="DIX29" s="914"/>
      <c r="DIY29" s="914"/>
      <c r="DIZ29" s="914"/>
      <c r="DJA29" s="914"/>
      <c r="DJB29" s="914"/>
      <c r="DJC29" s="914"/>
      <c r="DJD29" s="911"/>
      <c r="DJE29" s="911"/>
      <c r="DJF29" s="911"/>
      <c r="DJG29" s="915"/>
      <c r="DJH29" s="914"/>
      <c r="DJI29" s="914"/>
      <c r="DJJ29" s="914"/>
      <c r="DJK29" s="914"/>
      <c r="DJL29" s="914"/>
      <c r="DJM29" s="914"/>
      <c r="DJN29" s="914"/>
      <c r="DJO29" s="911"/>
      <c r="DJP29" s="911"/>
      <c r="DJQ29" s="911"/>
      <c r="DJR29" s="915"/>
      <c r="DJS29" s="914"/>
      <c r="DJT29" s="914"/>
      <c r="DJU29" s="914"/>
      <c r="DJV29" s="914"/>
      <c r="DJW29" s="914"/>
      <c r="DJX29" s="914"/>
      <c r="DJY29" s="914"/>
      <c r="DJZ29" s="911"/>
      <c r="DKA29" s="911"/>
      <c r="DKB29" s="911"/>
      <c r="DKC29" s="915"/>
      <c r="DKD29" s="914"/>
      <c r="DKE29" s="914"/>
      <c r="DKF29" s="914"/>
      <c r="DKG29" s="914"/>
      <c r="DKH29" s="914"/>
      <c r="DKI29" s="914"/>
      <c r="DKJ29" s="914"/>
      <c r="DKK29" s="911"/>
      <c r="DKL29" s="911"/>
      <c r="DKM29" s="911"/>
      <c r="DKN29" s="915"/>
      <c r="DKO29" s="914"/>
      <c r="DKP29" s="914"/>
      <c r="DKQ29" s="914"/>
      <c r="DKR29" s="914"/>
      <c r="DKS29" s="914"/>
      <c r="DKT29" s="914"/>
      <c r="DKU29" s="914"/>
      <c r="DKV29" s="911"/>
      <c r="DKW29" s="911"/>
      <c r="DKX29" s="911"/>
      <c r="DKY29" s="915"/>
      <c r="DKZ29" s="914"/>
      <c r="DLA29" s="914"/>
      <c r="DLB29" s="914"/>
      <c r="DLC29" s="914"/>
      <c r="DLD29" s="914"/>
      <c r="DLE29" s="914"/>
      <c r="DLF29" s="914"/>
      <c r="DLG29" s="911"/>
      <c r="DLH29" s="911"/>
      <c r="DLI29" s="911"/>
      <c r="DLJ29" s="915"/>
      <c r="DLK29" s="914"/>
      <c r="DLL29" s="914"/>
      <c r="DLM29" s="914"/>
      <c r="DLN29" s="914"/>
      <c r="DLO29" s="914"/>
      <c r="DLP29" s="914"/>
      <c r="DLQ29" s="914"/>
      <c r="DLR29" s="911"/>
      <c r="DLS29" s="911"/>
      <c r="DLT29" s="911"/>
      <c r="DLU29" s="915"/>
      <c r="DLV29" s="914"/>
      <c r="DLW29" s="914"/>
      <c r="DLX29" s="914"/>
      <c r="DLY29" s="914"/>
      <c r="DLZ29" s="914"/>
      <c r="DMA29" s="914"/>
      <c r="DMB29" s="914"/>
      <c r="DMC29" s="911"/>
      <c r="DMD29" s="911"/>
      <c r="DME29" s="911"/>
      <c r="DMF29" s="915"/>
      <c r="DMG29" s="914"/>
      <c r="DMH29" s="914"/>
      <c r="DMI29" s="914"/>
      <c r="DMJ29" s="914"/>
      <c r="DMK29" s="914"/>
      <c r="DML29" s="914"/>
      <c r="DMM29" s="914"/>
      <c r="DMN29" s="911"/>
      <c r="DMO29" s="911"/>
      <c r="DMP29" s="911"/>
      <c r="DMQ29" s="915"/>
      <c r="DMR29" s="914"/>
      <c r="DMS29" s="914"/>
      <c r="DMT29" s="914"/>
      <c r="DMU29" s="914"/>
      <c r="DMV29" s="914"/>
      <c r="DMW29" s="914"/>
      <c r="DMX29" s="914"/>
      <c r="DMY29" s="911"/>
      <c r="DMZ29" s="911"/>
      <c r="DNA29" s="911"/>
      <c r="DNB29" s="915"/>
      <c r="DNC29" s="914"/>
      <c r="DND29" s="914"/>
      <c r="DNE29" s="914"/>
      <c r="DNF29" s="914"/>
      <c r="DNG29" s="914"/>
      <c r="DNH29" s="914"/>
      <c r="DNI29" s="914"/>
      <c r="DNJ29" s="911"/>
      <c r="DNK29" s="911"/>
      <c r="DNL29" s="911"/>
      <c r="DNM29" s="915"/>
      <c r="DNN29" s="914"/>
      <c r="DNO29" s="914"/>
      <c r="DNP29" s="914"/>
      <c r="DNQ29" s="914"/>
      <c r="DNR29" s="914"/>
      <c r="DNS29" s="914"/>
      <c r="DNT29" s="914"/>
      <c r="DNU29" s="911"/>
      <c r="DNV29" s="911"/>
      <c r="DNW29" s="911"/>
      <c r="DNX29" s="915"/>
      <c r="DNY29" s="914"/>
      <c r="DNZ29" s="914"/>
      <c r="DOA29" s="914"/>
      <c r="DOB29" s="914"/>
      <c r="DOC29" s="914"/>
      <c r="DOD29" s="914"/>
      <c r="DOE29" s="914"/>
      <c r="DOF29" s="911"/>
      <c r="DOG29" s="911"/>
      <c r="DOH29" s="911"/>
      <c r="DOI29" s="915"/>
      <c r="DOJ29" s="914"/>
      <c r="DOK29" s="914"/>
      <c r="DOL29" s="914"/>
      <c r="DOM29" s="914"/>
      <c r="DON29" s="914"/>
      <c r="DOO29" s="914"/>
      <c r="DOP29" s="914"/>
      <c r="DOQ29" s="911"/>
      <c r="DOR29" s="911"/>
      <c r="DOS29" s="911"/>
      <c r="DOT29" s="915"/>
      <c r="DOU29" s="914"/>
      <c r="DOV29" s="914"/>
      <c r="DOW29" s="914"/>
      <c r="DOX29" s="914"/>
      <c r="DOY29" s="914"/>
      <c r="DOZ29" s="914"/>
      <c r="DPA29" s="914"/>
      <c r="DPB29" s="911"/>
      <c r="DPC29" s="911"/>
      <c r="DPD29" s="911"/>
      <c r="DPE29" s="915"/>
      <c r="DPF29" s="914"/>
      <c r="DPG29" s="914"/>
      <c r="DPH29" s="914"/>
      <c r="DPI29" s="914"/>
      <c r="DPJ29" s="914"/>
      <c r="DPK29" s="914"/>
      <c r="DPL29" s="914"/>
      <c r="DPM29" s="911"/>
      <c r="DPN29" s="911"/>
      <c r="DPO29" s="911"/>
      <c r="DPP29" s="915"/>
      <c r="DPQ29" s="914"/>
      <c r="DPR29" s="914"/>
      <c r="DPS29" s="914"/>
      <c r="DPT29" s="914"/>
      <c r="DPU29" s="914"/>
      <c r="DPV29" s="914"/>
      <c r="DPW29" s="914"/>
      <c r="DPX29" s="911"/>
      <c r="DPY29" s="911"/>
      <c r="DPZ29" s="911"/>
      <c r="DQA29" s="915"/>
      <c r="DQB29" s="914"/>
      <c r="DQC29" s="914"/>
      <c r="DQD29" s="914"/>
      <c r="DQE29" s="914"/>
      <c r="DQF29" s="914"/>
      <c r="DQG29" s="914"/>
      <c r="DQH29" s="914"/>
      <c r="DQI29" s="911"/>
      <c r="DQJ29" s="911"/>
      <c r="DQK29" s="911"/>
      <c r="DQL29" s="915"/>
      <c r="DQM29" s="914"/>
      <c r="DQN29" s="914"/>
      <c r="DQO29" s="914"/>
      <c r="DQP29" s="914"/>
      <c r="DQQ29" s="914"/>
      <c r="DQR29" s="914"/>
      <c r="DQS29" s="914"/>
      <c r="DQT29" s="911"/>
      <c r="DQU29" s="911"/>
      <c r="DQV29" s="911"/>
      <c r="DQW29" s="915"/>
      <c r="DQX29" s="914"/>
      <c r="DQY29" s="914"/>
      <c r="DQZ29" s="914"/>
      <c r="DRA29" s="914"/>
      <c r="DRB29" s="914"/>
      <c r="DRC29" s="914"/>
      <c r="DRD29" s="914"/>
      <c r="DRE29" s="911"/>
      <c r="DRF29" s="911"/>
      <c r="DRG29" s="911"/>
      <c r="DRH29" s="915"/>
      <c r="DRI29" s="914"/>
      <c r="DRJ29" s="914"/>
      <c r="DRK29" s="914"/>
      <c r="DRL29" s="914"/>
      <c r="DRM29" s="914"/>
      <c r="DRN29" s="914"/>
      <c r="DRO29" s="914"/>
      <c r="DRP29" s="911"/>
      <c r="DRQ29" s="911"/>
      <c r="DRR29" s="911"/>
      <c r="DRS29" s="915"/>
      <c r="DRT29" s="914"/>
      <c r="DRU29" s="914"/>
      <c r="DRV29" s="914"/>
      <c r="DRW29" s="914"/>
      <c r="DRX29" s="914"/>
      <c r="DRY29" s="914"/>
      <c r="DRZ29" s="914"/>
      <c r="DSA29" s="911"/>
      <c r="DSB29" s="911"/>
      <c r="DSC29" s="911"/>
      <c r="DSD29" s="915"/>
      <c r="DSE29" s="914"/>
      <c r="DSF29" s="914"/>
      <c r="DSG29" s="914"/>
      <c r="DSH29" s="914"/>
      <c r="DSI29" s="914"/>
      <c r="DSJ29" s="914"/>
      <c r="DSK29" s="914"/>
      <c r="DSL29" s="911"/>
      <c r="DSM29" s="911"/>
      <c r="DSN29" s="911"/>
      <c r="DSO29" s="915"/>
      <c r="DSP29" s="914"/>
      <c r="DSQ29" s="914"/>
      <c r="DSR29" s="914"/>
      <c r="DSS29" s="914"/>
      <c r="DST29" s="914"/>
      <c r="DSU29" s="914"/>
      <c r="DSV29" s="914"/>
      <c r="DSW29" s="911"/>
      <c r="DSX29" s="911"/>
      <c r="DSY29" s="911"/>
      <c r="DSZ29" s="915"/>
      <c r="DTA29" s="914"/>
      <c r="DTB29" s="914"/>
      <c r="DTC29" s="914"/>
      <c r="DTD29" s="914"/>
      <c r="DTE29" s="914"/>
      <c r="DTF29" s="914"/>
      <c r="DTG29" s="914"/>
      <c r="DTH29" s="911"/>
      <c r="DTI29" s="911"/>
      <c r="DTJ29" s="911"/>
      <c r="DTK29" s="915"/>
      <c r="DTL29" s="914"/>
      <c r="DTM29" s="914"/>
      <c r="DTN29" s="914"/>
      <c r="DTO29" s="914"/>
      <c r="DTP29" s="914"/>
      <c r="DTQ29" s="914"/>
      <c r="DTR29" s="914"/>
      <c r="DTS29" s="911"/>
      <c r="DTT29" s="911"/>
      <c r="DTU29" s="911"/>
      <c r="DTV29" s="915"/>
      <c r="DTW29" s="914"/>
      <c r="DTX29" s="914"/>
      <c r="DTY29" s="914"/>
      <c r="DTZ29" s="914"/>
      <c r="DUA29" s="914"/>
      <c r="DUB29" s="914"/>
      <c r="DUC29" s="914"/>
      <c r="DUD29" s="911"/>
      <c r="DUE29" s="911"/>
      <c r="DUF29" s="911"/>
      <c r="DUG29" s="915"/>
      <c r="DUH29" s="914"/>
      <c r="DUI29" s="914"/>
      <c r="DUJ29" s="914"/>
      <c r="DUK29" s="914"/>
      <c r="DUL29" s="914"/>
      <c r="DUM29" s="914"/>
      <c r="DUN29" s="914"/>
      <c r="DUO29" s="911"/>
      <c r="DUP29" s="911"/>
      <c r="DUQ29" s="911"/>
      <c r="DUR29" s="915"/>
      <c r="DUS29" s="914"/>
      <c r="DUT29" s="914"/>
      <c r="DUU29" s="914"/>
      <c r="DUV29" s="914"/>
      <c r="DUW29" s="914"/>
      <c r="DUX29" s="914"/>
      <c r="DUY29" s="914"/>
      <c r="DUZ29" s="911"/>
      <c r="DVA29" s="911"/>
      <c r="DVB29" s="911"/>
      <c r="DVC29" s="915"/>
      <c r="DVD29" s="914"/>
      <c r="DVE29" s="914"/>
      <c r="DVF29" s="914"/>
      <c r="DVG29" s="914"/>
      <c r="DVH29" s="914"/>
      <c r="DVI29" s="914"/>
      <c r="DVJ29" s="914"/>
      <c r="DVK29" s="911"/>
      <c r="DVL29" s="911"/>
      <c r="DVM29" s="911"/>
      <c r="DVN29" s="915"/>
      <c r="DVO29" s="914"/>
      <c r="DVP29" s="914"/>
      <c r="DVQ29" s="914"/>
      <c r="DVR29" s="914"/>
      <c r="DVS29" s="914"/>
      <c r="DVT29" s="914"/>
      <c r="DVU29" s="914"/>
      <c r="DVV29" s="911"/>
      <c r="DVW29" s="911"/>
      <c r="DVX29" s="911"/>
      <c r="DVY29" s="915"/>
      <c r="DVZ29" s="914"/>
      <c r="DWA29" s="914"/>
      <c r="DWB29" s="914"/>
      <c r="DWC29" s="914"/>
      <c r="DWD29" s="914"/>
      <c r="DWE29" s="914"/>
      <c r="DWF29" s="914"/>
      <c r="DWG29" s="911"/>
      <c r="DWH29" s="911"/>
      <c r="DWI29" s="911"/>
      <c r="DWJ29" s="915"/>
      <c r="DWK29" s="914"/>
      <c r="DWL29" s="914"/>
      <c r="DWM29" s="914"/>
      <c r="DWN29" s="914"/>
      <c r="DWO29" s="914"/>
      <c r="DWP29" s="914"/>
      <c r="DWQ29" s="914"/>
      <c r="DWR29" s="911"/>
      <c r="DWS29" s="911"/>
      <c r="DWT29" s="911"/>
      <c r="DWU29" s="915"/>
      <c r="DWV29" s="914"/>
      <c r="DWW29" s="914"/>
      <c r="DWX29" s="914"/>
      <c r="DWY29" s="914"/>
      <c r="DWZ29" s="914"/>
      <c r="DXA29" s="914"/>
      <c r="DXB29" s="914"/>
      <c r="DXC29" s="911"/>
      <c r="DXD29" s="911"/>
      <c r="DXE29" s="911"/>
      <c r="DXF29" s="915"/>
      <c r="DXG29" s="914"/>
      <c r="DXH29" s="914"/>
      <c r="DXI29" s="914"/>
      <c r="DXJ29" s="914"/>
      <c r="DXK29" s="914"/>
      <c r="DXL29" s="914"/>
      <c r="DXM29" s="914"/>
      <c r="DXN29" s="911"/>
      <c r="DXO29" s="911"/>
      <c r="DXP29" s="911"/>
      <c r="DXQ29" s="915"/>
      <c r="DXR29" s="914"/>
      <c r="DXS29" s="914"/>
      <c r="DXT29" s="914"/>
      <c r="DXU29" s="914"/>
      <c r="DXV29" s="914"/>
      <c r="DXW29" s="914"/>
      <c r="DXX29" s="914"/>
      <c r="DXY29" s="911"/>
      <c r="DXZ29" s="911"/>
      <c r="DYA29" s="911"/>
      <c r="DYB29" s="915"/>
      <c r="DYC29" s="914"/>
      <c r="DYD29" s="914"/>
      <c r="DYE29" s="914"/>
      <c r="DYF29" s="914"/>
      <c r="DYG29" s="914"/>
      <c r="DYH29" s="914"/>
      <c r="DYI29" s="914"/>
      <c r="DYJ29" s="911"/>
      <c r="DYK29" s="911"/>
      <c r="DYL29" s="911"/>
      <c r="DYM29" s="915"/>
      <c r="DYN29" s="914"/>
      <c r="DYO29" s="914"/>
      <c r="DYP29" s="914"/>
      <c r="DYQ29" s="914"/>
      <c r="DYR29" s="914"/>
      <c r="DYS29" s="914"/>
      <c r="DYT29" s="914"/>
      <c r="DYU29" s="911"/>
      <c r="DYV29" s="911"/>
      <c r="DYW29" s="911"/>
      <c r="DYX29" s="915"/>
      <c r="DYY29" s="914"/>
      <c r="DYZ29" s="914"/>
      <c r="DZA29" s="914"/>
      <c r="DZB29" s="914"/>
      <c r="DZC29" s="914"/>
      <c r="DZD29" s="914"/>
      <c r="DZE29" s="914"/>
      <c r="DZF29" s="911"/>
      <c r="DZG29" s="911"/>
      <c r="DZH29" s="911"/>
      <c r="DZI29" s="915"/>
      <c r="DZJ29" s="914"/>
      <c r="DZK29" s="914"/>
      <c r="DZL29" s="914"/>
      <c r="DZM29" s="914"/>
      <c r="DZN29" s="914"/>
      <c r="DZO29" s="914"/>
      <c r="DZP29" s="914"/>
      <c r="DZQ29" s="911"/>
      <c r="DZR29" s="911"/>
      <c r="DZS29" s="911"/>
      <c r="DZT29" s="915"/>
      <c r="DZU29" s="914"/>
      <c r="DZV29" s="914"/>
      <c r="DZW29" s="914"/>
      <c r="DZX29" s="914"/>
      <c r="DZY29" s="914"/>
      <c r="DZZ29" s="914"/>
      <c r="EAA29" s="914"/>
      <c r="EAB29" s="911"/>
      <c r="EAC29" s="911"/>
      <c r="EAD29" s="911"/>
      <c r="EAE29" s="915"/>
      <c r="EAF29" s="914"/>
      <c r="EAG29" s="914"/>
      <c r="EAH29" s="914"/>
      <c r="EAI29" s="914"/>
      <c r="EAJ29" s="914"/>
      <c r="EAK29" s="914"/>
      <c r="EAL29" s="914"/>
      <c r="EAM29" s="911"/>
      <c r="EAN29" s="911"/>
      <c r="EAO29" s="911"/>
      <c r="EAP29" s="915"/>
      <c r="EAQ29" s="914"/>
      <c r="EAR29" s="914"/>
      <c r="EAS29" s="914"/>
      <c r="EAT29" s="914"/>
      <c r="EAU29" s="914"/>
      <c r="EAV29" s="914"/>
      <c r="EAW29" s="914"/>
      <c r="EAX29" s="911"/>
      <c r="EAY29" s="911"/>
      <c r="EAZ29" s="911"/>
      <c r="EBA29" s="915"/>
      <c r="EBB29" s="914"/>
      <c r="EBC29" s="914"/>
      <c r="EBD29" s="914"/>
      <c r="EBE29" s="914"/>
      <c r="EBF29" s="914"/>
      <c r="EBG29" s="914"/>
      <c r="EBH29" s="914"/>
      <c r="EBI29" s="911"/>
      <c r="EBJ29" s="911"/>
      <c r="EBK29" s="911"/>
      <c r="EBL29" s="915"/>
      <c r="EBM29" s="914"/>
      <c r="EBN29" s="914"/>
      <c r="EBO29" s="914"/>
      <c r="EBP29" s="914"/>
      <c r="EBQ29" s="914"/>
      <c r="EBR29" s="914"/>
      <c r="EBS29" s="914"/>
      <c r="EBT29" s="911"/>
      <c r="EBU29" s="911"/>
      <c r="EBV29" s="911"/>
      <c r="EBW29" s="915"/>
      <c r="EBX29" s="914"/>
      <c r="EBY29" s="914"/>
      <c r="EBZ29" s="914"/>
      <c r="ECA29" s="914"/>
      <c r="ECB29" s="914"/>
      <c r="ECC29" s="914"/>
      <c r="ECD29" s="914"/>
      <c r="ECE29" s="911"/>
      <c r="ECF29" s="911"/>
      <c r="ECG29" s="911"/>
      <c r="ECH29" s="915"/>
      <c r="ECI29" s="914"/>
      <c r="ECJ29" s="914"/>
      <c r="ECK29" s="914"/>
      <c r="ECL29" s="914"/>
      <c r="ECM29" s="914"/>
      <c r="ECN29" s="914"/>
      <c r="ECO29" s="914"/>
      <c r="ECP29" s="911"/>
      <c r="ECQ29" s="911"/>
      <c r="ECR29" s="911"/>
      <c r="ECS29" s="915"/>
      <c r="ECT29" s="914"/>
      <c r="ECU29" s="914"/>
      <c r="ECV29" s="914"/>
      <c r="ECW29" s="914"/>
      <c r="ECX29" s="914"/>
      <c r="ECY29" s="914"/>
      <c r="ECZ29" s="914"/>
      <c r="EDA29" s="911"/>
      <c r="EDB29" s="911"/>
      <c r="EDC29" s="911"/>
      <c r="EDD29" s="915"/>
      <c r="EDE29" s="914"/>
      <c r="EDF29" s="914"/>
      <c r="EDG29" s="914"/>
      <c r="EDH29" s="914"/>
      <c r="EDI29" s="914"/>
      <c r="EDJ29" s="914"/>
      <c r="EDK29" s="914"/>
      <c r="EDL29" s="911"/>
      <c r="EDM29" s="911"/>
      <c r="EDN29" s="911"/>
      <c r="EDO29" s="915"/>
      <c r="EDP29" s="914"/>
      <c r="EDQ29" s="914"/>
      <c r="EDR29" s="914"/>
      <c r="EDS29" s="914"/>
      <c r="EDT29" s="914"/>
      <c r="EDU29" s="914"/>
      <c r="EDV29" s="914"/>
      <c r="EDW29" s="911"/>
      <c r="EDX29" s="911"/>
      <c r="EDY29" s="911"/>
      <c r="EDZ29" s="915"/>
      <c r="EEA29" s="914"/>
      <c r="EEB29" s="914"/>
      <c r="EEC29" s="914"/>
      <c r="EED29" s="914"/>
      <c r="EEE29" s="914"/>
      <c r="EEF29" s="914"/>
      <c r="EEG29" s="914"/>
      <c r="EEH29" s="911"/>
      <c r="EEI29" s="911"/>
      <c r="EEJ29" s="911"/>
      <c r="EEK29" s="915"/>
      <c r="EEL29" s="914"/>
      <c r="EEM29" s="914"/>
      <c r="EEN29" s="914"/>
      <c r="EEO29" s="914"/>
      <c r="EEP29" s="914"/>
      <c r="EEQ29" s="914"/>
      <c r="EER29" s="914"/>
      <c r="EES29" s="911"/>
      <c r="EET29" s="911"/>
      <c r="EEU29" s="911"/>
      <c r="EEV29" s="915"/>
      <c r="EEW29" s="914"/>
      <c r="EEX29" s="914"/>
      <c r="EEY29" s="914"/>
      <c r="EEZ29" s="914"/>
      <c r="EFA29" s="914"/>
      <c r="EFB29" s="914"/>
      <c r="EFC29" s="914"/>
      <c r="EFD29" s="911"/>
      <c r="EFE29" s="911"/>
      <c r="EFF29" s="911"/>
      <c r="EFG29" s="915"/>
      <c r="EFH29" s="914"/>
      <c r="EFI29" s="914"/>
      <c r="EFJ29" s="914"/>
      <c r="EFK29" s="914"/>
      <c r="EFL29" s="914"/>
      <c r="EFM29" s="914"/>
      <c r="EFN29" s="914"/>
      <c r="EFO29" s="911"/>
      <c r="EFP29" s="911"/>
      <c r="EFQ29" s="911"/>
      <c r="EFR29" s="915"/>
      <c r="EFS29" s="914"/>
      <c r="EFT29" s="914"/>
      <c r="EFU29" s="914"/>
      <c r="EFV29" s="914"/>
      <c r="EFW29" s="914"/>
      <c r="EFX29" s="914"/>
      <c r="EFY29" s="914"/>
      <c r="EFZ29" s="911"/>
      <c r="EGA29" s="911"/>
      <c r="EGB29" s="911"/>
      <c r="EGC29" s="915"/>
      <c r="EGD29" s="914"/>
      <c r="EGE29" s="914"/>
      <c r="EGF29" s="914"/>
      <c r="EGG29" s="914"/>
      <c r="EGH29" s="914"/>
      <c r="EGI29" s="914"/>
      <c r="EGJ29" s="914"/>
      <c r="EGK29" s="911"/>
      <c r="EGL29" s="911"/>
      <c r="EGM29" s="911"/>
      <c r="EGN29" s="915"/>
      <c r="EGO29" s="914"/>
      <c r="EGP29" s="914"/>
      <c r="EGQ29" s="914"/>
      <c r="EGR29" s="914"/>
      <c r="EGS29" s="914"/>
      <c r="EGT29" s="914"/>
      <c r="EGU29" s="914"/>
      <c r="EGV29" s="911"/>
      <c r="EGW29" s="911"/>
      <c r="EGX29" s="911"/>
      <c r="EGY29" s="915"/>
      <c r="EGZ29" s="914"/>
      <c r="EHA29" s="914"/>
      <c r="EHB29" s="914"/>
      <c r="EHC29" s="914"/>
      <c r="EHD29" s="914"/>
      <c r="EHE29" s="914"/>
      <c r="EHF29" s="914"/>
      <c r="EHG29" s="911"/>
      <c r="EHH29" s="911"/>
      <c r="EHI29" s="911"/>
      <c r="EHJ29" s="915"/>
      <c r="EHK29" s="914"/>
      <c r="EHL29" s="914"/>
      <c r="EHM29" s="914"/>
      <c r="EHN29" s="914"/>
      <c r="EHO29" s="914"/>
      <c r="EHP29" s="914"/>
      <c r="EHQ29" s="914"/>
      <c r="EHR29" s="911"/>
      <c r="EHS29" s="911"/>
      <c r="EHT29" s="911"/>
      <c r="EHU29" s="915"/>
      <c r="EHV29" s="914"/>
      <c r="EHW29" s="914"/>
      <c r="EHX29" s="914"/>
      <c r="EHY29" s="914"/>
      <c r="EHZ29" s="914"/>
      <c r="EIA29" s="914"/>
      <c r="EIB29" s="914"/>
      <c r="EIC29" s="911"/>
      <c r="EID29" s="911"/>
      <c r="EIE29" s="911"/>
      <c r="EIF29" s="915"/>
      <c r="EIG29" s="914"/>
      <c r="EIH29" s="914"/>
      <c r="EII29" s="914"/>
      <c r="EIJ29" s="914"/>
      <c r="EIK29" s="914"/>
      <c r="EIL29" s="914"/>
      <c r="EIM29" s="914"/>
      <c r="EIN29" s="911"/>
      <c r="EIO29" s="911"/>
      <c r="EIP29" s="911"/>
      <c r="EIQ29" s="915"/>
      <c r="EIR29" s="914"/>
      <c r="EIS29" s="914"/>
      <c r="EIT29" s="914"/>
      <c r="EIU29" s="914"/>
      <c r="EIV29" s="914"/>
      <c r="EIW29" s="914"/>
      <c r="EIX29" s="914"/>
      <c r="EIY29" s="911"/>
      <c r="EIZ29" s="911"/>
      <c r="EJA29" s="911"/>
      <c r="EJB29" s="915"/>
      <c r="EJC29" s="914"/>
      <c r="EJD29" s="914"/>
      <c r="EJE29" s="914"/>
      <c r="EJF29" s="914"/>
      <c r="EJG29" s="914"/>
      <c r="EJH29" s="914"/>
      <c r="EJI29" s="914"/>
      <c r="EJJ29" s="911"/>
      <c r="EJK29" s="911"/>
      <c r="EJL29" s="911"/>
      <c r="EJM29" s="915"/>
      <c r="EJN29" s="914"/>
      <c r="EJO29" s="914"/>
      <c r="EJP29" s="914"/>
      <c r="EJQ29" s="914"/>
      <c r="EJR29" s="914"/>
      <c r="EJS29" s="914"/>
      <c r="EJT29" s="914"/>
      <c r="EJU29" s="911"/>
      <c r="EJV29" s="911"/>
      <c r="EJW29" s="911"/>
      <c r="EJX29" s="915"/>
      <c r="EJY29" s="914"/>
      <c r="EJZ29" s="914"/>
      <c r="EKA29" s="914"/>
      <c r="EKB29" s="914"/>
      <c r="EKC29" s="914"/>
      <c r="EKD29" s="914"/>
      <c r="EKE29" s="914"/>
      <c r="EKF29" s="911"/>
      <c r="EKG29" s="911"/>
      <c r="EKH29" s="911"/>
      <c r="EKI29" s="915"/>
      <c r="EKJ29" s="914"/>
      <c r="EKK29" s="914"/>
      <c r="EKL29" s="914"/>
      <c r="EKM29" s="914"/>
      <c r="EKN29" s="914"/>
      <c r="EKO29" s="914"/>
      <c r="EKP29" s="914"/>
      <c r="EKQ29" s="911"/>
      <c r="EKR29" s="911"/>
      <c r="EKS29" s="911"/>
      <c r="EKT29" s="915"/>
      <c r="EKU29" s="914"/>
      <c r="EKV29" s="914"/>
      <c r="EKW29" s="914"/>
      <c r="EKX29" s="914"/>
      <c r="EKY29" s="914"/>
      <c r="EKZ29" s="914"/>
      <c r="ELA29" s="914"/>
      <c r="ELB29" s="911"/>
      <c r="ELC29" s="911"/>
      <c r="ELD29" s="911"/>
      <c r="ELE29" s="915"/>
      <c r="ELF29" s="914"/>
      <c r="ELG29" s="914"/>
      <c r="ELH29" s="914"/>
      <c r="ELI29" s="914"/>
      <c r="ELJ29" s="914"/>
      <c r="ELK29" s="914"/>
      <c r="ELL29" s="914"/>
      <c r="ELM29" s="911"/>
      <c r="ELN29" s="911"/>
      <c r="ELO29" s="911"/>
      <c r="ELP29" s="915"/>
      <c r="ELQ29" s="914"/>
      <c r="ELR29" s="914"/>
      <c r="ELS29" s="914"/>
      <c r="ELT29" s="914"/>
      <c r="ELU29" s="914"/>
      <c r="ELV29" s="914"/>
      <c r="ELW29" s="914"/>
      <c r="ELX29" s="911"/>
      <c r="ELY29" s="911"/>
      <c r="ELZ29" s="911"/>
      <c r="EMA29" s="915"/>
      <c r="EMB29" s="914"/>
      <c r="EMC29" s="914"/>
      <c r="EMD29" s="914"/>
      <c r="EME29" s="914"/>
      <c r="EMF29" s="914"/>
      <c r="EMG29" s="914"/>
      <c r="EMH29" s="914"/>
      <c r="EMI29" s="911"/>
      <c r="EMJ29" s="911"/>
      <c r="EMK29" s="911"/>
      <c r="EML29" s="915"/>
      <c r="EMM29" s="914"/>
      <c r="EMN29" s="914"/>
      <c r="EMO29" s="914"/>
      <c r="EMP29" s="914"/>
      <c r="EMQ29" s="914"/>
      <c r="EMR29" s="914"/>
      <c r="EMS29" s="914"/>
      <c r="EMT29" s="911"/>
      <c r="EMU29" s="911"/>
      <c r="EMV29" s="911"/>
      <c r="EMW29" s="915"/>
      <c r="EMX29" s="914"/>
      <c r="EMY29" s="914"/>
      <c r="EMZ29" s="914"/>
      <c r="ENA29" s="914"/>
      <c r="ENB29" s="914"/>
      <c r="ENC29" s="914"/>
      <c r="END29" s="914"/>
      <c r="ENE29" s="911"/>
      <c r="ENF29" s="911"/>
      <c r="ENG29" s="911"/>
      <c r="ENH29" s="915"/>
      <c r="ENI29" s="914"/>
      <c r="ENJ29" s="914"/>
      <c r="ENK29" s="914"/>
      <c r="ENL29" s="914"/>
      <c r="ENM29" s="914"/>
      <c r="ENN29" s="914"/>
      <c r="ENO29" s="914"/>
      <c r="ENP29" s="911"/>
      <c r="ENQ29" s="911"/>
      <c r="ENR29" s="911"/>
      <c r="ENS29" s="915"/>
      <c r="ENT29" s="914"/>
      <c r="ENU29" s="914"/>
      <c r="ENV29" s="914"/>
      <c r="ENW29" s="914"/>
      <c r="ENX29" s="914"/>
      <c r="ENY29" s="914"/>
      <c r="ENZ29" s="914"/>
      <c r="EOA29" s="911"/>
      <c r="EOB29" s="911"/>
      <c r="EOC29" s="911"/>
      <c r="EOD29" s="915"/>
      <c r="EOE29" s="914"/>
      <c r="EOF29" s="914"/>
      <c r="EOG29" s="914"/>
      <c r="EOH29" s="914"/>
      <c r="EOI29" s="914"/>
      <c r="EOJ29" s="914"/>
      <c r="EOK29" s="914"/>
      <c r="EOL29" s="911"/>
      <c r="EOM29" s="911"/>
      <c r="EON29" s="911"/>
      <c r="EOO29" s="915"/>
      <c r="EOP29" s="914"/>
      <c r="EOQ29" s="914"/>
      <c r="EOR29" s="914"/>
      <c r="EOS29" s="914"/>
      <c r="EOT29" s="914"/>
      <c r="EOU29" s="914"/>
      <c r="EOV29" s="914"/>
      <c r="EOW29" s="911"/>
      <c r="EOX29" s="911"/>
      <c r="EOY29" s="911"/>
      <c r="EOZ29" s="915"/>
      <c r="EPA29" s="914"/>
      <c r="EPB29" s="914"/>
      <c r="EPC29" s="914"/>
      <c r="EPD29" s="914"/>
      <c r="EPE29" s="914"/>
      <c r="EPF29" s="914"/>
      <c r="EPG29" s="914"/>
      <c r="EPH29" s="911"/>
      <c r="EPI29" s="911"/>
      <c r="EPJ29" s="911"/>
      <c r="EPK29" s="915"/>
      <c r="EPL29" s="914"/>
      <c r="EPM29" s="914"/>
      <c r="EPN29" s="914"/>
      <c r="EPO29" s="914"/>
      <c r="EPP29" s="914"/>
      <c r="EPQ29" s="914"/>
      <c r="EPR29" s="914"/>
      <c r="EPS29" s="911"/>
      <c r="EPT29" s="911"/>
      <c r="EPU29" s="911"/>
      <c r="EPV29" s="915"/>
      <c r="EPW29" s="914"/>
      <c r="EPX29" s="914"/>
      <c r="EPY29" s="914"/>
      <c r="EPZ29" s="914"/>
      <c r="EQA29" s="914"/>
      <c r="EQB29" s="914"/>
      <c r="EQC29" s="914"/>
      <c r="EQD29" s="911"/>
      <c r="EQE29" s="911"/>
      <c r="EQF29" s="911"/>
      <c r="EQG29" s="915"/>
      <c r="EQH29" s="914"/>
      <c r="EQI29" s="914"/>
      <c r="EQJ29" s="914"/>
      <c r="EQK29" s="914"/>
      <c r="EQL29" s="914"/>
      <c r="EQM29" s="914"/>
      <c r="EQN29" s="914"/>
      <c r="EQO29" s="911"/>
      <c r="EQP29" s="911"/>
      <c r="EQQ29" s="911"/>
      <c r="EQR29" s="915"/>
      <c r="EQS29" s="914"/>
      <c r="EQT29" s="914"/>
      <c r="EQU29" s="914"/>
      <c r="EQV29" s="914"/>
      <c r="EQW29" s="914"/>
      <c r="EQX29" s="914"/>
      <c r="EQY29" s="914"/>
      <c r="EQZ29" s="911"/>
      <c r="ERA29" s="911"/>
      <c r="ERB29" s="911"/>
      <c r="ERC29" s="915"/>
      <c r="ERD29" s="914"/>
      <c r="ERE29" s="914"/>
      <c r="ERF29" s="914"/>
      <c r="ERG29" s="914"/>
      <c r="ERH29" s="914"/>
      <c r="ERI29" s="914"/>
      <c r="ERJ29" s="914"/>
      <c r="ERK29" s="911"/>
      <c r="ERL29" s="911"/>
      <c r="ERM29" s="911"/>
      <c r="ERN29" s="915"/>
      <c r="ERO29" s="914"/>
      <c r="ERP29" s="914"/>
      <c r="ERQ29" s="914"/>
      <c r="ERR29" s="914"/>
      <c r="ERS29" s="914"/>
      <c r="ERT29" s="914"/>
      <c r="ERU29" s="914"/>
      <c r="ERV29" s="911"/>
      <c r="ERW29" s="911"/>
      <c r="ERX29" s="911"/>
      <c r="ERY29" s="915"/>
      <c r="ERZ29" s="914"/>
      <c r="ESA29" s="914"/>
      <c r="ESB29" s="914"/>
      <c r="ESC29" s="914"/>
      <c r="ESD29" s="914"/>
      <c r="ESE29" s="914"/>
      <c r="ESF29" s="914"/>
      <c r="ESG29" s="911"/>
      <c r="ESH29" s="911"/>
      <c r="ESI29" s="911"/>
      <c r="ESJ29" s="915"/>
      <c r="ESK29" s="914"/>
      <c r="ESL29" s="914"/>
      <c r="ESM29" s="914"/>
      <c r="ESN29" s="914"/>
      <c r="ESO29" s="914"/>
      <c r="ESP29" s="914"/>
      <c r="ESQ29" s="914"/>
      <c r="ESR29" s="911"/>
      <c r="ESS29" s="911"/>
      <c r="EST29" s="911"/>
      <c r="ESU29" s="915"/>
      <c r="ESV29" s="914"/>
      <c r="ESW29" s="914"/>
      <c r="ESX29" s="914"/>
      <c r="ESY29" s="914"/>
      <c r="ESZ29" s="914"/>
      <c r="ETA29" s="914"/>
      <c r="ETB29" s="914"/>
      <c r="ETC29" s="911"/>
      <c r="ETD29" s="911"/>
      <c r="ETE29" s="911"/>
      <c r="ETF29" s="915"/>
      <c r="ETG29" s="914"/>
      <c r="ETH29" s="914"/>
      <c r="ETI29" s="914"/>
      <c r="ETJ29" s="914"/>
      <c r="ETK29" s="914"/>
      <c r="ETL29" s="914"/>
      <c r="ETM29" s="914"/>
      <c r="ETN29" s="911"/>
      <c r="ETO29" s="911"/>
      <c r="ETP29" s="911"/>
      <c r="ETQ29" s="915"/>
      <c r="ETR29" s="914"/>
      <c r="ETS29" s="914"/>
      <c r="ETT29" s="914"/>
      <c r="ETU29" s="914"/>
      <c r="ETV29" s="914"/>
      <c r="ETW29" s="914"/>
      <c r="ETX29" s="914"/>
      <c r="ETY29" s="911"/>
      <c r="ETZ29" s="911"/>
      <c r="EUA29" s="911"/>
      <c r="EUB29" s="915"/>
      <c r="EUC29" s="914"/>
      <c r="EUD29" s="914"/>
      <c r="EUE29" s="914"/>
      <c r="EUF29" s="914"/>
      <c r="EUG29" s="914"/>
      <c r="EUH29" s="914"/>
      <c r="EUI29" s="914"/>
      <c r="EUJ29" s="911"/>
      <c r="EUK29" s="911"/>
      <c r="EUL29" s="911"/>
      <c r="EUM29" s="915"/>
      <c r="EUN29" s="914"/>
      <c r="EUO29" s="914"/>
      <c r="EUP29" s="914"/>
      <c r="EUQ29" s="914"/>
      <c r="EUR29" s="914"/>
      <c r="EUS29" s="914"/>
      <c r="EUT29" s="914"/>
      <c r="EUU29" s="911"/>
      <c r="EUV29" s="911"/>
      <c r="EUW29" s="911"/>
      <c r="EUX29" s="915"/>
      <c r="EUY29" s="914"/>
      <c r="EUZ29" s="914"/>
      <c r="EVA29" s="914"/>
      <c r="EVB29" s="914"/>
      <c r="EVC29" s="914"/>
      <c r="EVD29" s="914"/>
      <c r="EVE29" s="914"/>
      <c r="EVF29" s="911"/>
      <c r="EVG29" s="911"/>
      <c r="EVH29" s="911"/>
      <c r="EVI29" s="915"/>
      <c r="EVJ29" s="914"/>
      <c r="EVK29" s="914"/>
      <c r="EVL29" s="914"/>
      <c r="EVM29" s="914"/>
      <c r="EVN29" s="914"/>
      <c r="EVO29" s="914"/>
      <c r="EVP29" s="914"/>
      <c r="EVQ29" s="911"/>
      <c r="EVR29" s="911"/>
      <c r="EVS29" s="911"/>
      <c r="EVT29" s="915"/>
      <c r="EVU29" s="914"/>
      <c r="EVV29" s="914"/>
      <c r="EVW29" s="914"/>
      <c r="EVX29" s="914"/>
      <c r="EVY29" s="914"/>
      <c r="EVZ29" s="914"/>
      <c r="EWA29" s="914"/>
      <c r="EWB29" s="911"/>
      <c r="EWC29" s="911"/>
      <c r="EWD29" s="911"/>
      <c r="EWE29" s="915"/>
      <c r="EWF29" s="914"/>
      <c r="EWG29" s="914"/>
      <c r="EWH29" s="914"/>
      <c r="EWI29" s="914"/>
      <c r="EWJ29" s="914"/>
      <c r="EWK29" s="914"/>
      <c r="EWL29" s="914"/>
      <c r="EWM29" s="911"/>
      <c r="EWN29" s="911"/>
      <c r="EWO29" s="911"/>
      <c r="EWP29" s="915"/>
      <c r="EWQ29" s="914"/>
      <c r="EWR29" s="914"/>
      <c r="EWS29" s="914"/>
      <c r="EWT29" s="914"/>
      <c r="EWU29" s="914"/>
      <c r="EWV29" s="914"/>
      <c r="EWW29" s="914"/>
      <c r="EWX29" s="911"/>
      <c r="EWY29" s="911"/>
      <c r="EWZ29" s="911"/>
      <c r="EXA29" s="915"/>
      <c r="EXB29" s="914"/>
      <c r="EXC29" s="914"/>
      <c r="EXD29" s="914"/>
      <c r="EXE29" s="914"/>
      <c r="EXF29" s="914"/>
      <c r="EXG29" s="914"/>
      <c r="EXH29" s="914"/>
      <c r="EXI29" s="911"/>
      <c r="EXJ29" s="911"/>
      <c r="EXK29" s="911"/>
      <c r="EXL29" s="915"/>
      <c r="EXM29" s="914"/>
      <c r="EXN29" s="914"/>
      <c r="EXO29" s="914"/>
      <c r="EXP29" s="914"/>
      <c r="EXQ29" s="914"/>
      <c r="EXR29" s="914"/>
      <c r="EXS29" s="914"/>
      <c r="EXT29" s="911"/>
      <c r="EXU29" s="911"/>
      <c r="EXV29" s="911"/>
      <c r="EXW29" s="915"/>
      <c r="EXX29" s="914"/>
      <c r="EXY29" s="914"/>
      <c r="EXZ29" s="914"/>
      <c r="EYA29" s="914"/>
      <c r="EYB29" s="914"/>
      <c r="EYC29" s="914"/>
      <c r="EYD29" s="914"/>
      <c r="EYE29" s="911"/>
      <c r="EYF29" s="911"/>
      <c r="EYG29" s="911"/>
      <c r="EYH29" s="915"/>
      <c r="EYI29" s="914"/>
      <c r="EYJ29" s="914"/>
      <c r="EYK29" s="914"/>
      <c r="EYL29" s="914"/>
      <c r="EYM29" s="914"/>
      <c r="EYN29" s="914"/>
      <c r="EYO29" s="914"/>
      <c r="EYP29" s="911"/>
      <c r="EYQ29" s="911"/>
      <c r="EYR29" s="911"/>
      <c r="EYS29" s="915"/>
      <c r="EYT29" s="914"/>
      <c r="EYU29" s="914"/>
      <c r="EYV29" s="914"/>
      <c r="EYW29" s="914"/>
      <c r="EYX29" s="914"/>
      <c r="EYY29" s="914"/>
      <c r="EYZ29" s="914"/>
      <c r="EZA29" s="911"/>
      <c r="EZB29" s="911"/>
      <c r="EZC29" s="911"/>
      <c r="EZD29" s="915"/>
      <c r="EZE29" s="914"/>
      <c r="EZF29" s="914"/>
      <c r="EZG29" s="914"/>
      <c r="EZH29" s="914"/>
      <c r="EZI29" s="914"/>
      <c r="EZJ29" s="914"/>
      <c r="EZK29" s="914"/>
      <c r="EZL29" s="911"/>
      <c r="EZM29" s="911"/>
      <c r="EZN29" s="911"/>
      <c r="EZO29" s="915"/>
      <c r="EZP29" s="914"/>
      <c r="EZQ29" s="914"/>
      <c r="EZR29" s="914"/>
      <c r="EZS29" s="914"/>
      <c r="EZT29" s="914"/>
      <c r="EZU29" s="914"/>
      <c r="EZV29" s="914"/>
      <c r="EZW29" s="911"/>
      <c r="EZX29" s="911"/>
      <c r="EZY29" s="911"/>
      <c r="EZZ29" s="915"/>
      <c r="FAA29" s="914"/>
      <c r="FAB29" s="914"/>
      <c r="FAC29" s="914"/>
      <c r="FAD29" s="914"/>
      <c r="FAE29" s="914"/>
      <c r="FAF29" s="914"/>
      <c r="FAG29" s="914"/>
      <c r="FAH29" s="911"/>
      <c r="FAI29" s="911"/>
      <c r="FAJ29" s="911"/>
      <c r="FAK29" s="915"/>
      <c r="FAL29" s="914"/>
      <c r="FAM29" s="914"/>
      <c r="FAN29" s="914"/>
      <c r="FAO29" s="914"/>
      <c r="FAP29" s="914"/>
      <c r="FAQ29" s="914"/>
      <c r="FAR29" s="914"/>
      <c r="FAS29" s="911"/>
      <c r="FAT29" s="911"/>
      <c r="FAU29" s="911"/>
      <c r="FAV29" s="915"/>
      <c r="FAW29" s="914"/>
      <c r="FAX29" s="914"/>
      <c r="FAY29" s="914"/>
      <c r="FAZ29" s="914"/>
      <c r="FBA29" s="914"/>
      <c r="FBB29" s="914"/>
      <c r="FBC29" s="914"/>
      <c r="FBD29" s="911"/>
      <c r="FBE29" s="911"/>
      <c r="FBF29" s="911"/>
      <c r="FBG29" s="915"/>
      <c r="FBH29" s="914"/>
      <c r="FBI29" s="914"/>
      <c r="FBJ29" s="914"/>
      <c r="FBK29" s="914"/>
      <c r="FBL29" s="914"/>
      <c r="FBM29" s="914"/>
      <c r="FBN29" s="914"/>
      <c r="FBO29" s="911"/>
      <c r="FBP29" s="911"/>
      <c r="FBQ29" s="911"/>
      <c r="FBR29" s="915"/>
      <c r="FBS29" s="914"/>
      <c r="FBT29" s="914"/>
      <c r="FBU29" s="914"/>
      <c r="FBV29" s="914"/>
      <c r="FBW29" s="914"/>
      <c r="FBX29" s="914"/>
      <c r="FBY29" s="914"/>
      <c r="FBZ29" s="911"/>
      <c r="FCA29" s="911"/>
      <c r="FCB29" s="911"/>
      <c r="FCC29" s="915"/>
      <c r="FCD29" s="914"/>
      <c r="FCE29" s="914"/>
      <c r="FCF29" s="914"/>
      <c r="FCG29" s="914"/>
      <c r="FCH29" s="914"/>
      <c r="FCI29" s="914"/>
      <c r="FCJ29" s="914"/>
      <c r="FCK29" s="911"/>
      <c r="FCL29" s="911"/>
      <c r="FCM29" s="911"/>
      <c r="FCN29" s="915"/>
      <c r="FCO29" s="914"/>
      <c r="FCP29" s="914"/>
      <c r="FCQ29" s="914"/>
      <c r="FCR29" s="914"/>
      <c r="FCS29" s="914"/>
      <c r="FCT29" s="914"/>
      <c r="FCU29" s="914"/>
      <c r="FCV29" s="911"/>
      <c r="FCW29" s="911"/>
      <c r="FCX29" s="911"/>
      <c r="FCY29" s="915"/>
      <c r="FCZ29" s="914"/>
      <c r="FDA29" s="914"/>
      <c r="FDB29" s="914"/>
      <c r="FDC29" s="914"/>
      <c r="FDD29" s="914"/>
      <c r="FDE29" s="914"/>
      <c r="FDF29" s="914"/>
      <c r="FDG29" s="911"/>
      <c r="FDH29" s="911"/>
      <c r="FDI29" s="911"/>
      <c r="FDJ29" s="915"/>
      <c r="FDK29" s="914"/>
      <c r="FDL29" s="914"/>
      <c r="FDM29" s="914"/>
      <c r="FDN29" s="914"/>
      <c r="FDO29" s="914"/>
      <c r="FDP29" s="914"/>
      <c r="FDQ29" s="914"/>
      <c r="FDR29" s="911"/>
      <c r="FDS29" s="911"/>
      <c r="FDT29" s="911"/>
      <c r="FDU29" s="915"/>
      <c r="FDV29" s="914"/>
      <c r="FDW29" s="914"/>
      <c r="FDX29" s="914"/>
      <c r="FDY29" s="914"/>
      <c r="FDZ29" s="914"/>
      <c r="FEA29" s="914"/>
      <c r="FEB29" s="914"/>
      <c r="FEC29" s="911"/>
      <c r="FED29" s="911"/>
      <c r="FEE29" s="911"/>
      <c r="FEF29" s="915"/>
      <c r="FEG29" s="914"/>
      <c r="FEH29" s="914"/>
      <c r="FEI29" s="914"/>
      <c r="FEJ29" s="914"/>
      <c r="FEK29" s="914"/>
      <c r="FEL29" s="914"/>
      <c r="FEM29" s="914"/>
      <c r="FEN29" s="911"/>
      <c r="FEO29" s="911"/>
      <c r="FEP29" s="911"/>
      <c r="FEQ29" s="915"/>
      <c r="FER29" s="914"/>
      <c r="FES29" s="914"/>
      <c r="FET29" s="914"/>
      <c r="FEU29" s="914"/>
      <c r="FEV29" s="914"/>
      <c r="FEW29" s="914"/>
      <c r="FEX29" s="914"/>
      <c r="FEY29" s="911"/>
      <c r="FEZ29" s="911"/>
      <c r="FFA29" s="911"/>
      <c r="FFB29" s="915"/>
      <c r="FFC29" s="914"/>
      <c r="FFD29" s="914"/>
      <c r="FFE29" s="914"/>
      <c r="FFF29" s="914"/>
      <c r="FFG29" s="914"/>
      <c r="FFH29" s="914"/>
      <c r="FFI29" s="914"/>
      <c r="FFJ29" s="911"/>
      <c r="FFK29" s="911"/>
      <c r="FFL29" s="911"/>
      <c r="FFM29" s="915"/>
      <c r="FFN29" s="914"/>
      <c r="FFO29" s="914"/>
      <c r="FFP29" s="914"/>
      <c r="FFQ29" s="914"/>
      <c r="FFR29" s="914"/>
      <c r="FFS29" s="914"/>
      <c r="FFT29" s="914"/>
      <c r="FFU29" s="911"/>
      <c r="FFV29" s="911"/>
      <c r="FFW29" s="911"/>
      <c r="FFX29" s="915"/>
      <c r="FFY29" s="914"/>
      <c r="FFZ29" s="914"/>
      <c r="FGA29" s="914"/>
      <c r="FGB29" s="914"/>
      <c r="FGC29" s="914"/>
      <c r="FGD29" s="914"/>
      <c r="FGE29" s="914"/>
      <c r="FGF29" s="911"/>
      <c r="FGG29" s="911"/>
      <c r="FGH29" s="911"/>
      <c r="FGI29" s="915"/>
      <c r="FGJ29" s="914"/>
      <c r="FGK29" s="914"/>
      <c r="FGL29" s="914"/>
      <c r="FGM29" s="914"/>
      <c r="FGN29" s="914"/>
      <c r="FGO29" s="914"/>
      <c r="FGP29" s="914"/>
      <c r="FGQ29" s="911"/>
      <c r="FGR29" s="911"/>
      <c r="FGS29" s="911"/>
      <c r="FGT29" s="915"/>
      <c r="FGU29" s="914"/>
      <c r="FGV29" s="914"/>
      <c r="FGW29" s="914"/>
      <c r="FGX29" s="914"/>
      <c r="FGY29" s="914"/>
      <c r="FGZ29" s="914"/>
      <c r="FHA29" s="914"/>
      <c r="FHB29" s="911"/>
      <c r="FHC29" s="911"/>
      <c r="FHD29" s="911"/>
      <c r="FHE29" s="915"/>
      <c r="FHF29" s="914"/>
      <c r="FHG29" s="914"/>
      <c r="FHH29" s="914"/>
      <c r="FHI29" s="914"/>
      <c r="FHJ29" s="914"/>
      <c r="FHK29" s="914"/>
      <c r="FHL29" s="914"/>
      <c r="FHM29" s="911"/>
      <c r="FHN29" s="911"/>
      <c r="FHO29" s="911"/>
      <c r="FHP29" s="915"/>
      <c r="FHQ29" s="914"/>
      <c r="FHR29" s="914"/>
      <c r="FHS29" s="914"/>
      <c r="FHT29" s="914"/>
      <c r="FHU29" s="914"/>
      <c r="FHV29" s="914"/>
      <c r="FHW29" s="914"/>
      <c r="FHX29" s="911"/>
      <c r="FHY29" s="911"/>
      <c r="FHZ29" s="911"/>
      <c r="FIA29" s="915"/>
      <c r="FIB29" s="914"/>
      <c r="FIC29" s="914"/>
      <c r="FID29" s="914"/>
      <c r="FIE29" s="914"/>
      <c r="FIF29" s="914"/>
      <c r="FIG29" s="914"/>
      <c r="FIH29" s="914"/>
      <c r="FII29" s="911"/>
      <c r="FIJ29" s="911"/>
      <c r="FIK29" s="911"/>
      <c r="FIL29" s="915"/>
      <c r="FIM29" s="914"/>
      <c r="FIN29" s="914"/>
      <c r="FIO29" s="914"/>
      <c r="FIP29" s="914"/>
      <c r="FIQ29" s="914"/>
      <c r="FIR29" s="914"/>
      <c r="FIS29" s="914"/>
      <c r="FIT29" s="911"/>
      <c r="FIU29" s="911"/>
      <c r="FIV29" s="911"/>
      <c r="FIW29" s="915"/>
      <c r="FIX29" s="914"/>
      <c r="FIY29" s="914"/>
      <c r="FIZ29" s="914"/>
      <c r="FJA29" s="914"/>
      <c r="FJB29" s="914"/>
      <c r="FJC29" s="914"/>
      <c r="FJD29" s="914"/>
      <c r="FJE29" s="911"/>
      <c r="FJF29" s="911"/>
      <c r="FJG29" s="911"/>
      <c r="FJH29" s="915"/>
      <c r="FJI29" s="914"/>
      <c r="FJJ29" s="914"/>
      <c r="FJK29" s="914"/>
      <c r="FJL29" s="914"/>
      <c r="FJM29" s="914"/>
      <c r="FJN29" s="914"/>
      <c r="FJO29" s="914"/>
      <c r="FJP29" s="911"/>
      <c r="FJQ29" s="911"/>
      <c r="FJR29" s="911"/>
      <c r="FJS29" s="915"/>
      <c r="FJT29" s="914"/>
      <c r="FJU29" s="914"/>
      <c r="FJV29" s="914"/>
      <c r="FJW29" s="914"/>
      <c r="FJX29" s="914"/>
      <c r="FJY29" s="914"/>
      <c r="FJZ29" s="914"/>
      <c r="FKA29" s="911"/>
      <c r="FKB29" s="911"/>
      <c r="FKC29" s="911"/>
      <c r="FKD29" s="915"/>
      <c r="FKE29" s="914"/>
      <c r="FKF29" s="914"/>
      <c r="FKG29" s="914"/>
      <c r="FKH29" s="914"/>
      <c r="FKI29" s="914"/>
      <c r="FKJ29" s="914"/>
      <c r="FKK29" s="914"/>
      <c r="FKL29" s="911"/>
      <c r="FKM29" s="911"/>
      <c r="FKN29" s="911"/>
      <c r="FKO29" s="915"/>
      <c r="FKP29" s="914"/>
      <c r="FKQ29" s="914"/>
      <c r="FKR29" s="914"/>
      <c r="FKS29" s="914"/>
      <c r="FKT29" s="914"/>
      <c r="FKU29" s="914"/>
      <c r="FKV29" s="914"/>
      <c r="FKW29" s="911"/>
      <c r="FKX29" s="911"/>
      <c r="FKY29" s="911"/>
      <c r="FKZ29" s="915"/>
      <c r="FLA29" s="914"/>
      <c r="FLB29" s="914"/>
      <c r="FLC29" s="914"/>
      <c r="FLD29" s="914"/>
      <c r="FLE29" s="914"/>
      <c r="FLF29" s="914"/>
      <c r="FLG29" s="914"/>
      <c r="FLH29" s="911"/>
      <c r="FLI29" s="911"/>
      <c r="FLJ29" s="911"/>
      <c r="FLK29" s="915"/>
      <c r="FLL29" s="914"/>
      <c r="FLM29" s="914"/>
      <c r="FLN29" s="914"/>
      <c r="FLO29" s="914"/>
      <c r="FLP29" s="914"/>
      <c r="FLQ29" s="914"/>
      <c r="FLR29" s="914"/>
      <c r="FLS29" s="911"/>
      <c r="FLT29" s="911"/>
      <c r="FLU29" s="911"/>
      <c r="FLV29" s="915"/>
      <c r="FLW29" s="914"/>
      <c r="FLX29" s="914"/>
      <c r="FLY29" s="914"/>
      <c r="FLZ29" s="914"/>
      <c r="FMA29" s="914"/>
      <c r="FMB29" s="914"/>
      <c r="FMC29" s="914"/>
      <c r="FMD29" s="911"/>
      <c r="FME29" s="911"/>
      <c r="FMF29" s="911"/>
      <c r="FMG29" s="915"/>
      <c r="FMH29" s="914"/>
      <c r="FMI29" s="914"/>
      <c r="FMJ29" s="914"/>
      <c r="FMK29" s="914"/>
      <c r="FML29" s="914"/>
      <c r="FMM29" s="914"/>
      <c r="FMN29" s="914"/>
      <c r="FMO29" s="911"/>
      <c r="FMP29" s="911"/>
      <c r="FMQ29" s="911"/>
      <c r="FMR29" s="915"/>
      <c r="FMS29" s="914"/>
      <c r="FMT29" s="914"/>
      <c r="FMU29" s="914"/>
      <c r="FMV29" s="914"/>
      <c r="FMW29" s="914"/>
      <c r="FMX29" s="914"/>
      <c r="FMY29" s="914"/>
      <c r="FMZ29" s="911"/>
      <c r="FNA29" s="911"/>
      <c r="FNB29" s="911"/>
      <c r="FNC29" s="915"/>
      <c r="FND29" s="914"/>
      <c r="FNE29" s="914"/>
      <c r="FNF29" s="914"/>
      <c r="FNG29" s="914"/>
      <c r="FNH29" s="914"/>
      <c r="FNI29" s="914"/>
      <c r="FNJ29" s="914"/>
      <c r="FNK29" s="911"/>
      <c r="FNL29" s="911"/>
      <c r="FNM29" s="911"/>
      <c r="FNN29" s="915"/>
      <c r="FNO29" s="914"/>
      <c r="FNP29" s="914"/>
      <c r="FNQ29" s="914"/>
      <c r="FNR29" s="914"/>
      <c r="FNS29" s="914"/>
      <c r="FNT29" s="914"/>
      <c r="FNU29" s="914"/>
      <c r="FNV29" s="911"/>
      <c r="FNW29" s="911"/>
      <c r="FNX29" s="911"/>
      <c r="FNY29" s="915"/>
      <c r="FNZ29" s="914"/>
      <c r="FOA29" s="914"/>
      <c r="FOB29" s="914"/>
      <c r="FOC29" s="914"/>
      <c r="FOD29" s="914"/>
      <c r="FOE29" s="914"/>
      <c r="FOF29" s="914"/>
      <c r="FOG29" s="911"/>
      <c r="FOH29" s="911"/>
      <c r="FOI29" s="911"/>
      <c r="FOJ29" s="915"/>
      <c r="FOK29" s="914"/>
      <c r="FOL29" s="914"/>
      <c r="FOM29" s="914"/>
      <c r="FON29" s="914"/>
      <c r="FOO29" s="914"/>
      <c r="FOP29" s="914"/>
      <c r="FOQ29" s="914"/>
      <c r="FOR29" s="911"/>
      <c r="FOS29" s="911"/>
      <c r="FOT29" s="911"/>
      <c r="FOU29" s="915"/>
      <c r="FOV29" s="914"/>
      <c r="FOW29" s="914"/>
      <c r="FOX29" s="914"/>
      <c r="FOY29" s="914"/>
      <c r="FOZ29" s="914"/>
      <c r="FPA29" s="914"/>
      <c r="FPB29" s="914"/>
      <c r="FPC29" s="911"/>
      <c r="FPD29" s="911"/>
      <c r="FPE29" s="911"/>
      <c r="FPF29" s="915"/>
      <c r="FPG29" s="914"/>
      <c r="FPH29" s="914"/>
      <c r="FPI29" s="914"/>
      <c r="FPJ29" s="914"/>
      <c r="FPK29" s="914"/>
      <c r="FPL29" s="914"/>
      <c r="FPM29" s="914"/>
      <c r="FPN29" s="911"/>
      <c r="FPO29" s="911"/>
      <c r="FPP29" s="911"/>
      <c r="FPQ29" s="915"/>
      <c r="FPR29" s="914"/>
      <c r="FPS29" s="914"/>
      <c r="FPT29" s="914"/>
      <c r="FPU29" s="914"/>
      <c r="FPV29" s="914"/>
      <c r="FPW29" s="914"/>
      <c r="FPX29" s="914"/>
      <c r="FPY29" s="911"/>
      <c r="FPZ29" s="911"/>
      <c r="FQA29" s="911"/>
      <c r="FQB29" s="915"/>
      <c r="FQC29" s="914"/>
      <c r="FQD29" s="914"/>
      <c r="FQE29" s="914"/>
      <c r="FQF29" s="914"/>
      <c r="FQG29" s="914"/>
      <c r="FQH29" s="914"/>
      <c r="FQI29" s="914"/>
      <c r="FQJ29" s="911"/>
      <c r="FQK29" s="911"/>
      <c r="FQL29" s="911"/>
      <c r="FQM29" s="915"/>
      <c r="FQN29" s="914"/>
      <c r="FQO29" s="914"/>
      <c r="FQP29" s="914"/>
      <c r="FQQ29" s="914"/>
      <c r="FQR29" s="914"/>
      <c r="FQS29" s="914"/>
      <c r="FQT29" s="914"/>
      <c r="FQU29" s="911"/>
      <c r="FQV29" s="911"/>
      <c r="FQW29" s="911"/>
      <c r="FQX29" s="915"/>
      <c r="FQY29" s="914"/>
      <c r="FQZ29" s="914"/>
      <c r="FRA29" s="914"/>
      <c r="FRB29" s="914"/>
      <c r="FRC29" s="914"/>
      <c r="FRD29" s="914"/>
      <c r="FRE29" s="914"/>
      <c r="FRF29" s="911"/>
      <c r="FRG29" s="911"/>
      <c r="FRH29" s="911"/>
      <c r="FRI29" s="915"/>
      <c r="FRJ29" s="914"/>
      <c r="FRK29" s="914"/>
      <c r="FRL29" s="914"/>
      <c r="FRM29" s="914"/>
      <c r="FRN29" s="914"/>
      <c r="FRO29" s="914"/>
      <c r="FRP29" s="914"/>
      <c r="FRQ29" s="911"/>
      <c r="FRR29" s="911"/>
      <c r="FRS29" s="911"/>
      <c r="FRT29" s="915"/>
      <c r="FRU29" s="914"/>
      <c r="FRV29" s="914"/>
      <c r="FRW29" s="914"/>
      <c r="FRX29" s="914"/>
      <c r="FRY29" s="914"/>
      <c r="FRZ29" s="914"/>
      <c r="FSA29" s="914"/>
      <c r="FSB29" s="911"/>
      <c r="FSC29" s="911"/>
      <c r="FSD29" s="911"/>
      <c r="FSE29" s="915"/>
      <c r="FSF29" s="914"/>
      <c r="FSG29" s="914"/>
      <c r="FSH29" s="914"/>
      <c r="FSI29" s="914"/>
      <c r="FSJ29" s="914"/>
      <c r="FSK29" s="914"/>
      <c r="FSL29" s="914"/>
      <c r="FSM29" s="911"/>
      <c r="FSN29" s="911"/>
      <c r="FSO29" s="911"/>
      <c r="FSP29" s="915"/>
      <c r="FSQ29" s="914"/>
      <c r="FSR29" s="914"/>
      <c r="FSS29" s="914"/>
      <c r="FST29" s="914"/>
      <c r="FSU29" s="914"/>
      <c r="FSV29" s="914"/>
      <c r="FSW29" s="914"/>
      <c r="FSX29" s="911"/>
      <c r="FSY29" s="911"/>
      <c r="FSZ29" s="911"/>
      <c r="FTA29" s="915"/>
      <c r="FTB29" s="914"/>
      <c r="FTC29" s="914"/>
      <c r="FTD29" s="914"/>
      <c r="FTE29" s="914"/>
      <c r="FTF29" s="914"/>
      <c r="FTG29" s="914"/>
      <c r="FTH29" s="914"/>
      <c r="FTI29" s="911"/>
      <c r="FTJ29" s="911"/>
      <c r="FTK29" s="911"/>
      <c r="FTL29" s="915"/>
      <c r="FTM29" s="914"/>
      <c r="FTN29" s="914"/>
      <c r="FTO29" s="914"/>
      <c r="FTP29" s="914"/>
      <c r="FTQ29" s="914"/>
      <c r="FTR29" s="914"/>
      <c r="FTS29" s="914"/>
      <c r="FTT29" s="911"/>
      <c r="FTU29" s="911"/>
      <c r="FTV29" s="911"/>
      <c r="FTW29" s="915"/>
      <c r="FTX29" s="914"/>
      <c r="FTY29" s="914"/>
      <c r="FTZ29" s="914"/>
      <c r="FUA29" s="914"/>
      <c r="FUB29" s="914"/>
      <c r="FUC29" s="914"/>
      <c r="FUD29" s="914"/>
      <c r="FUE29" s="911"/>
      <c r="FUF29" s="911"/>
      <c r="FUG29" s="911"/>
      <c r="FUH29" s="915"/>
      <c r="FUI29" s="914"/>
      <c r="FUJ29" s="914"/>
      <c r="FUK29" s="914"/>
      <c r="FUL29" s="914"/>
      <c r="FUM29" s="914"/>
      <c r="FUN29" s="914"/>
      <c r="FUO29" s="914"/>
      <c r="FUP29" s="911"/>
      <c r="FUQ29" s="911"/>
      <c r="FUR29" s="911"/>
      <c r="FUS29" s="915"/>
      <c r="FUT29" s="914"/>
      <c r="FUU29" s="914"/>
      <c r="FUV29" s="914"/>
      <c r="FUW29" s="914"/>
      <c r="FUX29" s="914"/>
      <c r="FUY29" s="914"/>
      <c r="FUZ29" s="914"/>
      <c r="FVA29" s="911"/>
      <c r="FVB29" s="911"/>
      <c r="FVC29" s="911"/>
      <c r="FVD29" s="915"/>
      <c r="FVE29" s="914"/>
      <c r="FVF29" s="914"/>
      <c r="FVG29" s="914"/>
      <c r="FVH29" s="914"/>
      <c r="FVI29" s="914"/>
      <c r="FVJ29" s="914"/>
      <c r="FVK29" s="914"/>
      <c r="FVL29" s="911"/>
      <c r="FVM29" s="911"/>
      <c r="FVN29" s="911"/>
      <c r="FVO29" s="915"/>
      <c r="FVP29" s="914"/>
      <c r="FVQ29" s="914"/>
      <c r="FVR29" s="914"/>
      <c r="FVS29" s="914"/>
      <c r="FVT29" s="914"/>
      <c r="FVU29" s="914"/>
      <c r="FVV29" s="914"/>
      <c r="FVW29" s="911"/>
      <c r="FVX29" s="911"/>
      <c r="FVY29" s="911"/>
      <c r="FVZ29" s="915"/>
      <c r="FWA29" s="914"/>
      <c r="FWB29" s="914"/>
      <c r="FWC29" s="914"/>
      <c r="FWD29" s="914"/>
      <c r="FWE29" s="914"/>
      <c r="FWF29" s="914"/>
      <c r="FWG29" s="914"/>
      <c r="FWH29" s="911"/>
      <c r="FWI29" s="911"/>
      <c r="FWJ29" s="911"/>
      <c r="FWK29" s="915"/>
      <c r="FWL29" s="914"/>
      <c r="FWM29" s="914"/>
      <c r="FWN29" s="914"/>
      <c r="FWO29" s="914"/>
      <c r="FWP29" s="914"/>
      <c r="FWQ29" s="914"/>
      <c r="FWR29" s="914"/>
      <c r="FWS29" s="911"/>
      <c r="FWT29" s="911"/>
      <c r="FWU29" s="911"/>
      <c r="FWV29" s="915"/>
      <c r="FWW29" s="914"/>
      <c r="FWX29" s="914"/>
      <c r="FWY29" s="914"/>
      <c r="FWZ29" s="914"/>
      <c r="FXA29" s="914"/>
      <c r="FXB29" s="914"/>
      <c r="FXC29" s="914"/>
      <c r="FXD29" s="911"/>
      <c r="FXE29" s="911"/>
      <c r="FXF29" s="911"/>
      <c r="FXG29" s="915"/>
      <c r="FXH29" s="914"/>
      <c r="FXI29" s="914"/>
      <c r="FXJ29" s="914"/>
      <c r="FXK29" s="914"/>
      <c r="FXL29" s="914"/>
      <c r="FXM29" s="914"/>
      <c r="FXN29" s="914"/>
      <c r="FXO29" s="911"/>
      <c r="FXP29" s="911"/>
      <c r="FXQ29" s="911"/>
      <c r="FXR29" s="915"/>
      <c r="FXS29" s="914"/>
      <c r="FXT29" s="914"/>
      <c r="FXU29" s="914"/>
      <c r="FXV29" s="914"/>
      <c r="FXW29" s="914"/>
      <c r="FXX29" s="914"/>
      <c r="FXY29" s="914"/>
      <c r="FXZ29" s="911"/>
      <c r="FYA29" s="911"/>
      <c r="FYB29" s="911"/>
      <c r="FYC29" s="915"/>
      <c r="FYD29" s="914"/>
      <c r="FYE29" s="914"/>
      <c r="FYF29" s="914"/>
      <c r="FYG29" s="914"/>
      <c r="FYH29" s="914"/>
      <c r="FYI29" s="914"/>
      <c r="FYJ29" s="914"/>
      <c r="FYK29" s="911"/>
      <c r="FYL29" s="911"/>
      <c r="FYM29" s="911"/>
      <c r="FYN29" s="915"/>
      <c r="FYO29" s="914"/>
      <c r="FYP29" s="914"/>
      <c r="FYQ29" s="914"/>
      <c r="FYR29" s="914"/>
      <c r="FYS29" s="914"/>
      <c r="FYT29" s="914"/>
      <c r="FYU29" s="914"/>
      <c r="FYV29" s="911"/>
      <c r="FYW29" s="911"/>
      <c r="FYX29" s="911"/>
      <c r="FYY29" s="915"/>
      <c r="FYZ29" s="914"/>
      <c r="FZA29" s="914"/>
      <c r="FZB29" s="914"/>
      <c r="FZC29" s="914"/>
      <c r="FZD29" s="914"/>
      <c r="FZE29" s="914"/>
      <c r="FZF29" s="914"/>
      <c r="FZG29" s="911"/>
      <c r="FZH29" s="911"/>
      <c r="FZI29" s="911"/>
      <c r="FZJ29" s="915"/>
      <c r="FZK29" s="914"/>
      <c r="FZL29" s="914"/>
      <c r="FZM29" s="914"/>
      <c r="FZN29" s="914"/>
      <c r="FZO29" s="914"/>
      <c r="FZP29" s="914"/>
      <c r="FZQ29" s="914"/>
      <c r="FZR29" s="911"/>
      <c r="FZS29" s="911"/>
      <c r="FZT29" s="911"/>
      <c r="FZU29" s="915"/>
      <c r="FZV29" s="914"/>
      <c r="FZW29" s="914"/>
      <c r="FZX29" s="914"/>
      <c r="FZY29" s="914"/>
      <c r="FZZ29" s="914"/>
      <c r="GAA29" s="914"/>
      <c r="GAB29" s="914"/>
      <c r="GAC29" s="911"/>
      <c r="GAD29" s="911"/>
      <c r="GAE29" s="911"/>
      <c r="GAF29" s="915"/>
      <c r="GAG29" s="914"/>
      <c r="GAH29" s="914"/>
      <c r="GAI29" s="914"/>
      <c r="GAJ29" s="914"/>
      <c r="GAK29" s="914"/>
      <c r="GAL29" s="914"/>
      <c r="GAM29" s="914"/>
      <c r="GAN29" s="911"/>
      <c r="GAO29" s="911"/>
      <c r="GAP29" s="911"/>
      <c r="GAQ29" s="915"/>
      <c r="GAR29" s="914"/>
      <c r="GAS29" s="914"/>
      <c r="GAT29" s="914"/>
      <c r="GAU29" s="914"/>
      <c r="GAV29" s="914"/>
      <c r="GAW29" s="914"/>
      <c r="GAX29" s="914"/>
      <c r="GAY29" s="911"/>
      <c r="GAZ29" s="911"/>
      <c r="GBA29" s="911"/>
      <c r="GBB29" s="915"/>
      <c r="GBC29" s="914"/>
      <c r="GBD29" s="914"/>
      <c r="GBE29" s="914"/>
      <c r="GBF29" s="914"/>
      <c r="GBG29" s="914"/>
      <c r="GBH29" s="914"/>
      <c r="GBI29" s="914"/>
      <c r="GBJ29" s="911"/>
      <c r="GBK29" s="911"/>
      <c r="GBL29" s="911"/>
      <c r="GBM29" s="915"/>
      <c r="GBN29" s="914"/>
      <c r="GBO29" s="914"/>
      <c r="GBP29" s="914"/>
      <c r="GBQ29" s="914"/>
      <c r="GBR29" s="914"/>
      <c r="GBS29" s="914"/>
      <c r="GBT29" s="914"/>
      <c r="GBU29" s="911"/>
      <c r="GBV29" s="911"/>
      <c r="GBW29" s="911"/>
      <c r="GBX29" s="915"/>
      <c r="GBY29" s="914"/>
      <c r="GBZ29" s="914"/>
      <c r="GCA29" s="914"/>
      <c r="GCB29" s="914"/>
      <c r="GCC29" s="914"/>
      <c r="GCD29" s="914"/>
      <c r="GCE29" s="914"/>
      <c r="GCF29" s="911"/>
      <c r="GCG29" s="911"/>
      <c r="GCH29" s="911"/>
      <c r="GCI29" s="915"/>
      <c r="GCJ29" s="914"/>
      <c r="GCK29" s="914"/>
      <c r="GCL29" s="914"/>
      <c r="GCM29" s="914"/>
      <c r="GCN29" s="914"/>
      <c r="GCO29" s="914"/>
      <c r="GCP29" s="914"/>
      <c r="GCQ29" s="911"/>
      <c r="GCR29" s="911"/>
      <c r="GCS29" s="911"/>
      <c r="GCT29" s="915"/>
      <c r="GCU29" s="914"/>
      <c r="GCV29" s="914"/>
      <c r="GCW29" s="914"/>
      <c r="GCX29" s="914"/>
      <c r="GCY29" s="914"/>
      <c r="GCZ29" s="914"/>
      <c r="GDA29" s="914"/>
      <c r="GDB29" s="911"/>
      <c r="GDC29" s="911"/>
      <c r="GDD29" s="911"/>
      <c r="GDE29" s="915"/>
      <c r="GDF29" s="914"/>
      <c r="GDG29" s="914"/>
      <c r="GDH29" s="914"/>
      <c r="GDI29" s="914"/>
      <c r="GDJ29" s="914"/>
      <c r="GDK29" s="914"/>
      <c r="GDL29" s="914"/>
      <c r="GDM29" s="911"/>
      <c r="GDN29" s="911"/>
      <c r="GDO29" s="911"/>
      <c r="GDP29" s="915"/>
      <c r="GDQ29" s="914"/>
      <c r="GDR29" s="914"/>
      <c r="GDS29" s="914"/>
      <c r="GDT29" s="914"/>
      <c r="GDU29" s="914"/>
      <c r="GDV29" s="914"/>
      <c r="GDW29" s="914"/>
      <c r="GDX29" s="911"/>
      <c r="GDY29" s="911"/>
      <c r="GDZ29" s="911"/>
      <c r="GEA29" s="915"/>
      <c r="GEB29" s="914"/>
      <c r="GEC29" s="914"/>
      <c r="GED29" s="914"/>
      <c r="GEE29" s="914"/>
      <c r="GEF29" s="914"/>
      <c r="GEG29" s="914"/>
      <c r="GEH29" s="914"/>
      <c r="GEI29" s="911"/>
      <c r="GEJ29" s="911"/>
      <c r="GEK29" s="911"/>
      <c r="GEL29" s="915"/>
      <c r="GEM29" s="914"/>
      <c r="GEN29" s="914"/>
      <c r="GEO29" s="914"/>
      <c r="GEP29" s="914"/>
      <c r="GEQ29" s="914"/>
      <c r="GER29" s="914"/>
      <c r="GES29" s="914"/>
      <c r="GET29" s="911"/>
      <c r="GEU29" s="911"/>
      <c r="GEV29" s="911"/>
      <c r="GEW29" s="915"/>
      <c r="GEX29" s="914"/>
      <c r="GEY29" s="914"/>
      <c r="GEZ29" s="914"/>
      <c r="GFA29" s="914"/>
      <c r="GFB29" s="914"/>
      <c r="GFC29" s="914"/>
      <c r="GFD29" s="914"/>
      <c r="GFE29" s="911"/>
      <c r="GFF29" s="911"/>
      <c r="GFG29" s="911"/>
      <c r="GFH29" s="915"/>
      <c r="GFI29" s="914"/>
      <c r="GFJ29" s="914"/>
      <c r="GFK29" s="914"/>
      <c r="GFL29" s="914"/>
      <c r="GFM29" s="914"/>
      <c r="GFN29" s="914"/>
      <c r="GFO29" s="914"/>
      <c r="GFP29" s="911"/>
      <c r="GFQ29" s="911"/>
      <c r="GFR29" s="911"/>
      <c r="GFS29" s="915"/>
      <c r="GFT29" s="914"/>
      <c r="GFU29" s="914"/>
      <c r="GFV29" s="914"/>
      <c r="GFW29" s="914"/>
      <c r="GFX29" s="914"/>
      <c r="GFY29" s="914"/>
      <c r="GFZ29" s="914"/>
      <c r="GGA29" s="911"/>
      <c r="GGB29" s="911"/>
      <c r="GGC29" s="911"/>
      <c r="GGD29" s="915"/>
      <c r="GGE29" s="914"/>
      <c r="GGF29" s="914"/>
      <c r="GGG29" s="914"/>
      <c r="GGH29" s="914"/>
      <c r="GGI29" s="914"/>
      <c r="GGJ29" s="914"/>
      <c r="GGK29" s="914"/>
      <c r="GGL29" s="911"/>
      <c r="GGM29" s="911"/>
      <c r="GGN29" s="911"/>
      <c r="GGO29" s="915"/>
      <c r="GGP29" s="914"/>
      <c r="GGQ29" s="914"/>
      <c r="GGR29" s="914"/>
      <c r="GGS29" s="914"/>
      <c r="GGT29" s="914"/>
      <c r="GGU29" s="914"/>
      <c r="GGV29" s="914"/>
      <c r="GGW29" s="911"/>
      <c r="GGX29" s="911"/>
      <c r="GGY29" s="911"/>
      <c r="GGZ29" s="915"/>
      <c r="GHA29" s="914"/>
      <c r="GHB29" s="914"/>
      <c r="GHC29" s="914"/>
      <c r="GHD29" s="914"/>
      <c r="GHE29" s="914"/>
      <c r="GHF29" s="914"/>
      <c r="GHG29" s="914"/>
      <c r="GHH29" s="911"/>
      <c r="GHI29" s="911"/>
      <c r="GHJ29" s="911"/>
      <c r="GHK29" s="915"/>
      <c r="GHL29" s="914"/>
      <c r="GHM29" s="914"/>
      <c r="GHN29" s="914"/>
      <c r="GHO29" s="914"/>
      <c r="GHP29" s="914"/>
      <c r="GHQ29" s="914"/>
      <c r="GHR29" s="914"/>
      <c r="GHS29" s="911"/>
      <c r="GHT29" s="911"/>
      <c r="GHU29" s="911"/>
      <c r="GHV29" s="915"/>
      <c r="GHW29" s="914"/>
      <c r="GHX29" s="914"/>
      <c r="GHY29" s="914"/>
      <c r="GHZ29" s="914"/>
      <c r="GIA29" s="914"/>
      <c r="GIB29" s="914"/>
      <c r="GIC29" s="914"/>
      <c r="GID29" s="911"/>
      <c r="GIE29" s="911"/>
      <c r="GIF29" s="911"/>
      <c r="GIG29" s="915"/>
      <c r="GIH29" s="914"/>
      <c r="GII29" s="914"/>
      <c r="GIJ29" s="914"/>
      <c r="GIK29" s="914"/>
      <c r="GIL29" s="914"/>
      <c r="GIM29" s="914"/>
      <c r="GIN29" s="914"/>
      <c r="GIO29" s="911"/>
      <c r="GIP29" s="911"/>
      <c r="GIQ29" s="911"/>
      <c r="GIR29" s="915"/>
      <c r="GIS29" s="914"/>
      <c r="GIT29" s="914"/>
      <c r="GIU29" s="914"/>
      <c r="GIV29" s="914"/>
      <c r="GIW29" s="914"/>
      <c r="GIX29" s="914"/>
      <c r="GIY29" s="914"/>
      <c r="GIZ29" s="911"/>
      <c r="GJA29" s="911"/>
      <c r="GJB29" s="911"/>
      <c r="GJC29" s="915"/>
      <c r="GJD29" s="914"/>
      <c r="GJE29" s="914"/>
      <c r="GJF29" s="914"/>
      <c r="GJG29" s="914"/>
      <c r="GJH29" s="914"/>
      <c r="GJI29" s="914"/>
      <c r="GJJ29" s="914"/>
      <c r="GJK29" s="911"/>
      <c r="GJL29" s="911"/>
      <c r="GJM29" s="911"/>
      <c r="GJN29" s="915"/>
      <c r="GJO29" s="914"/>
      <c r="GJP29" s="914"/>
      <c r="GJQ29" s="914"/>
      <c r="GJR29" s="914"/>
      <c r="GJS29" s="914"/>
      <c r="GJT29" s="914"/>
      <c r="GJU29" s="914"/>
      <c r="GJV29" s="911"/>
      <c r="GJW29" s="911"/>
      <c r="GJX29" s="911"/>
      <c r="GJY29" s="915"/>
      <c r="GJZ29" s="914"/>
      <c r="GKA29" s="914"/>
      <c r="GKB29" s="914"/>
      <c r="GKC29" s="914"/>
      <c r="GKD29" s="914"/>
      <c r="GKE29" s="914"/>
      <c r="GKF29" s="914"/>
      <c r="GKG29" s="911"/>
      <c r="GKH29" s="911"/>
      <c r="GKI29" s="911"/>
      <c r="GKJ29" s="915"/>
      <c r="GKK29" s="914"/>
      <c r="GKL29" s="914"/>
      <c r="GKM29" s="914"/>
      <c r="GKN29" s="914"/>
      <c r="GKO29" s="914"/>
      <c r="GKP29" s="914"/>
      <c r="GKQ29" s="914"/>
      <c r="GKR29" s="911"/>
      <c r="GKS29" s="911"/>
      <c r="GKT29" s="911"/>
      <c r="GKU29" s="915"/>
      <c r="GKV29" s="914"/>
      <c r="GKW29" s="914"/>
      <c r="GKX29" s="914"/>
      <c r="GKY29" s="914"/>
      <c r="GKZ29" s="914"/>
      <c r="GLA29" s="914"/>
      <c r="GLB29" s="914"/>
      <c r="GLC29" s="911"/>
      <c r="GLD29" s="911"/>
      <c r="GLE29" s="911"/>
      <c r="GLF29" s="915"/>
      <c r="GLG29" s="914"/>
      <c r="GLH29" s="914"/>
      <c r="GLI29" s="914"/>
      <c r="GLJ29" s="914"/>
      <c r="GLK29" s="914"/>
      <c r="GLL29" s="914"/>
      <c r="GLM29" s="914"/>
      <c r="GLN29" s="911"/>
      <c r="GLO29" s="911"/>
      <c r="GLP29" s="911"/>
      <c r="GLQ29" s="915"/>
      <c r="GLR29" s="914"/>
      <c r="GLS29" s="914"/>
      <c r="GLT29" s="914"/>
      <c r="GLU29" s="914"/>
      <c r="GLV29" s="914"/>
      <c r="GLW29" s="914"/>
      <c r="GLX29" s="914"/>
      <c r="GLY29" s="911"/>
      <c r="GLZ29" s="911"/>
      <c r="GMA29" s="911"/>
      <c r="GMB29" s="915"/>
      <c r="GMC29" s="914"/>
      <c r="GMD29" s="914"/>
      <c r="GME29" s="914"/>
      <c r="GMF29" s="914"/>
      <c r="GMG29" s="914"/>
      <c r="GMH29" s="914"/>
      <c r="GMI29" s="914"/>
      <c r="GMJ29" s="911"/>
      <c r="GMK29" s="911"/>
      <c r="GML29" s="911"/>
      <c r="GMM29" s="915"/>
      <c r="GMN29" s="914"/>
      <c r="GMO29" s="914"/>
      <c r="GMP29" s="914"/>
      <c r="GMQ29" s="914"/>
      <c r="GMR29" s="914"/>
      <c r="GMS29" s="914"/>
      <c r="GMT29" s="914"/>
      <c r="GMU29" s="911"/>
      <c r="GMV29" s="911"/>
      <c r="GMW29" s="911"/>
      <c r="GMX29" s="915"/>
      <c r="GMY29" s="914"/>
      <c r="GMZ29" s="914"/>
      <c r="GNA29" s="914"/>
      <c r="GNB29" s="914"/>
      <c r="GNC29" s="914"/>
      <c r="GND29" s="914"/>
      <c r="GNE29" s="914"/>
      <c r="GNF29" s="911"/>
      <c r="GNG29" s="911"/>
      <c r="GNH29" s="911"/>
      <c r="GNI29" s="915"/>
      <c r="GNJ29" s="914"/>
      <c r="GNK29" s="914"/>
      <c r="GNL29" s="914"/>
      <c r="GNM29" s="914"/>
      <c r="GNN29" s="914"/>
      <c r="GNO29" s="914"/>
      <c r="GNP29" s="914"/>
      <c r="GNQ29" s="911"/>
      <c r="GNR29" s="911"/>
      <c r="GNS29" s="911"/>
      <c r="GNT29" s="915"/>
      <c r="GNU29" s="914"/>
      <c r="GNV29" s="914"/>
      <c r="GNW29" s="914"/>
      <c r="GNX29" s="914"/>
      <c r="GNY29" s="914"/>
      <c r="GNZ29" s="914"/>
      <c r="GOA29" s="914"/>
      <c r="GOB29" s="911"/>
      <c r="GOC29" s="911"/>
      <c r="GOD29" s="911"/>
      <c r="GOE29" s="915"/>
      <c r="GOF29" s="914"/>
      <c r="GOG29" s="914"/>
      <c r="GOH29" s="914"/>
      <c r="GOI29" s="914"/>
      <c r="GOJ29" s="914"/>
      <c r="GOK29" s="914"/>
      <c r="GOL29" s="914"/>
      <c r="GOM29" s="911"/>
      <c r="GON29" s="911"/>
      <c r="GOO29" s="911"/>
      <c r="GOP29" s="915"/>
      <c r="GOQ29" s="914"/>
      <c r="GOR29" s="914"/>
      <c r="GOS29" s="914"/>
      <c r="GOT29" s="914"/>
      <c r="GOU29" s="914"/>
      <c r="GOV29" s="914"/>
      <c r="GOW29" s="914"/>
      <c r="GOX29" s="911"/>
      <c r="GOY29" s="911"/>
      <c r="GOZ29" s="911"/>
      <c r="GPA29" s="915"/>
      <c r="GPB29" s="914"/>
      <c r="GPC29" s="914"/>
      <c r="GPD29" s="914"/>
      <c r="GPE29" s="914"/>
      <c r="GPF29" s="914"/>
      <c r="GPG29" s="914"/>
      <c r="GPH29" s="914"/>
      <c r="GPI29" s="911"/>
      <c r="GPJ29" s="911"/>
      <c r="GPK29" s="911"/>
      <c r="GPL29" s="915"/>
      <c r="GPM29" s="914"/>
      <c r="GPN29" s="914"/>
      <c r="GPO29" s="914"/>
      <c r="GPP29" s="914"/>
      <c r="GPQ29" s="914"/>
      <c r="GPR29" s="914"/>
      <c r="GPS29" s="914"/>
      <c r="GPT29" s="911"/>
      <c r="GPU29" s="911"/>
      <c r="GPV29" s="911"/>
      <c r="GPW29" s="915"/>
      <c r="GPX29" s="914"/>
      <c r="GPY29" s="914"/>
      <c r="GPZ29" s="914"/>
      <c r="GQA29" s="914"/>
      <c r="GQB29" s="914"/>
      <c r="GQC29" s="914"/>
      <c r="GQD29" s="914"/>
      <c r="GQE29" s="911"/>
      <c r="GQF29" s="911"/>
      <c r="GQG29" s="911"/>
      <c r="GQH29" s="915"/>
      <c r="GQI29" s="914"/>
      <c r="GQJ29" s="914"/>
      <c r="GQK29" s="914"/>
      <c r="GQL29" s="914"/>
      <c r="GQM29" s="914"/>
      <c r="GQN29" s="914"/>
      <c r="GQO29" s="914"/>
      <c r="GQP29" s="911"/>
      <c r="GQQ29" s="911"/>
      <c r="GQR29" s="911"/>
      <c r="GQS29" s="915"/>
      <c r="GQT29" s="914"/>
      <c r="GQU29" s="914"/>
      <c r="GQV29" s="914"/>
      <c r="GQW29" s="914"/>
      <c r="GQX29" s="914"/>
      <c r="GQY29" s="914"/>
      <c r="GQZ29" s="914"/>
      <c r="GRA29" s="911"/>
      <c r="GRB29" s="911"/>
      <c r="GRC29" s="911"/>
      <c r="GRD29" s="915"/>
      <c r="GRE29" s="914"/>
      <c r="GRF29" s="914"/>
      <c r="GRG29" s="914"/>
      <c r="GRH29" s="914"/>
      <c r="GRI29" s="914"/>
      <c r="GRJ29" s="914"/>
      <c r="GRK29" s="914"/>
      <c r="GRL29" s="911"/>
      <c r="GRM29" s="911"/>
      <c r="GRN29" s="911"/>
      <c r="GRO29" s="915"/>
      <c r="GRP29" s="914"/>
      <c r="GRQ29" s="914"/>
      <c r="GRR29" s="914"/>
      <c r="GRS29" s="914"/>
      <c r="GRT29" s="914"/>
      <c r="GRU29" s="914"/>
      <c r="GRV29" s="914"/>
      <c r="GRW29" s="911"/>
      <c r="GRX29" s="911"/>
      <c r="GRY29" s="911"/>
      <c r="GRZ29" s="915"/>
      <c r="GSA29" s="914"/>
      <c r="GSB29" s="914"/>
      <c r="GSC29" s="914"/>
      <c r="GSD29" s="914"/>
      <c r="GSE29" s="914"/>
      <c r="GSF29" s="914"/>
      <c r="GSG29" s="914"/>
      <c r="GSH29" s="911"/>
      <c r="GSI29" s="911"/>
      <c r="GSJ29" s="911"/>
      <c r="GSK29" s="915"/>
      <c r="GSL29" s="914"/>
      <c r="GSM29" s="914"/>
      <c r="GSN29" s="914"/>
      <c r="GSO29" s="914"/>
      <c r="GSP29" s="914"/>
      <c r="GSQ29" s="914"/>
      <c r="GSR29" s="914"/>
      <c r="GSS29" s="911"/>
      <c r="GST29" s="911"/>
      <c r="GSU29" s="911"/>
      <c r="GSV29" s="915"/>
      <c r="GSW29" s="914"/>
      <c r="GSX29" s="914"/>
      <c r="GSY29" s="914"/>
      <c r="GSZ29" s="914"/>
      <c r="GTA29" s="914"/>
      <c r="GTB29" s="914"/>
      <c r="GTC29" s="914"/>
      <c r="GTD29" s="911"/>
      <c r="GTE29" s="911"/>
      <c r="GTF29" s="911"/>
      <c r="GTG29" s="915"/>
      <c r="GTH29" s="914"/>
      <c r="GTI29" s="914"/>
      <c r="GTJ29" s="914"/>
      <c r="GTK29" s="914"/>
      <c r="GTL29" s="914"/>
      <c r="GTM29" s="914"/>
      <c r="GTN29" s="914"/>
      <c r="GTO29" s="911"/>
      <c r="GTP29" s="911"/>
      <c r="GTQ29" s="911"/>
      <c r="GTR29" s="915"/>
      <c r="GTS29" s="914"/>
      <c r="GTT29" s="914"/>
      <c r="GTU29" s="914"/>
      <c r="GTV29" s="914"/>
      <c r="GTW29" s="914"/>
      <c r="GTX29" s="914"/>
      <c r="GTY29" s="914"/>
      <c r="GTZ29" s="911"/>
      <c r="GUA29" s="911"/>
      <c r="GUB29" s="911"/>
      <c r="GUC29" s="915"/>
      <c r="GUD29" s="914"/>
      <c r="GUE29" s="914"/>
      <c r="GUF29" s="914"/>
      <c r="GUG29" s="914"/>
      <c r="GUH29" s="914"/>
      <c r="GUI29" s="914"/>
      <c r="GUJ29" s="914"/>
      <c r="GUK29" s="911"/>
      <c r="GUL29" s="911"/>
      <c r="GUM29" s="911"/>
      <c r="GUN29" s="915"/>
      <c r="GUO29" s="914"/>
      <c r="GUP29" s="914"/>
      <c r="GUQ29" s="914"/>
      <c r="GUR29" s="914"/>
      <c r="GUS29" s="914"/>
      <c r="GUT29" s="914"/>
      <c r="GUU29" s="914"/>
      <c r="GUV29" s="911"/>
      <c r="GUW29" s="911"/>
      <c r="GUX29" s="911"/>
      <c r="GUY29" s="915"/>
      <c r="GUZ29" s="914"/>
      <c r="GVA29" s="914"/>
      <c r="GVB29" s="914"/>
      <c r="GVC29" s="914"/>
      <c r="GVD29" s="914"/>
      <c r="GVE29" s="914"/>
      <c r="GVF29" s="914"/>
      <c r="GVG29" s="911"/>
      <c r="GVH29" s="911"/>
      <c r="GVI29" s="911"/>
      <c r="GVJ29" s="915"/>
      <c r="GVK29" s="914"/>
      <c r="GVL29" s="914"/>
      <c r="GVM29" s="914"/>
      <c r="GVN29" s="914"/>
      <c r="GVO29" s="914"/>
      <c r="GVP29" s="914"/>
      <c r="GVQ29" s="914"/>
      <c r="GVR29" s="911"/>
      <c r="GVS29" s="911"/>
      <c r="GVT29" s="911"/>
      <c r="GVU29" s="915"/>
      <c r="GVV29" s="914"/>
      <c r="GVW29" s="914"/>
      <c r="GVX29" s="914"/>
      <c r="GVY29" s="914"/>
      <c r="GVZ29" s="914"/>
      <c r="GWA29" s="914"/>
      <c r="GWB29" s="914"/>
      <c r="GWC29" s="911"/>
      <c r="GWD29" s="911"/>
      <c r="GWE29" s="911"/>
      <c r="GWF29" s="915"/>
      <c r="GWG29" s="914"/>
      <c r="GWH29" s="914"/>
      <c r="GWI29" s="914"/>
      <c r="GWJ29" s="914"/>
      <c r="GWK29" s="914"/>
      <c r="GWL29" s="914"/>
      <c r="GWM29" s="914"/>
      <c r="GWN29" s="911"/>
      <c r="GWO29" s="911"/>
      <c r="GWP29" s="911"/>
      <c r="GWQ29" s="915"/>
      <c r="GWR29" s="914"/>
      <c r="GWS29" s="914"/>
      <c r="GWT29" s="914"/>
      <c r="GWU29" s="914"/>
      <c r="GWV29" s="914"/>
      <c r="GWW29" s="914"/>
      <c r="GWX29" s="914"/>
      <c r="GWY29" s="911"/>
      <c r="GWZ29" s="911"/>
      <c r="GXA29" s="911"/>
      <c r="GXB29" s="915"/>
      <c r="GXC29" s="914"/>
      <c r="GXD29" s="914"/>
      <c r="GXE29" s="914"/>
      <c r="GXF29" s="914"/>
      <c r="GXG29" s="914"/>
      <c r="GXH29" s="914"/>
      <c r="GXI29" s="914"/>
      <c r="GXJ29" s="911"/>
      <c r="GXK29" s="911"/>
      <c r="GXL29" s="911"/>
      <c r="GXM29" s="915"/>
      <c r="GXN29" s="914"/>
      <c r="GXO29" s="914"/>
      <c r="GXP29" s="914"/>
      <c r="GXQ29" s="914"/>
      <c r="GXR29" s="914"/>
      <c r="GXS29" s="914"/>
      <c r="GXT29" s="914"/>
      <c r="GXU29" s="911"/>
      <c r="GXV29" s="911"/>
      <c r="GXW29" s="911"/>
      <c r="GXX29" s="915"/>
      <c r="GXY29" s="914"/>
      <c r="GXZ29" s="914"/>
      <c r="GYA29" s="914"/>
      <c r="GYB29" s="914"/>
      <c r="GYC29" s="914"/>
      <c r="GYD29" s="914"/>
      <c r="GYE29" s="914"/>
      <c r="GYF29" s="911"/>
      <c r="GYG29" s="911"/>
      <c r="GYH29" s="911"/>
      <c r="GYI29" s="915"/>
      <c r="GYJ29" s="914"/>
      <c r="GYK29" s="914"/>
      <c r="GYL29" s="914"/>
      <c r="GYM29" s="914"/>
      <c r="GYN29" s="914"/>
      <c r="GYO29" s="914"/>
      <c r="GYP29" s="914"/>
      <c r="GYQ29" s="911"/>
      <c r="GYR29" s="911"/>
      <c r="GYS29" s="911"/>
      <c r="GYT29" s="915"/>
      <c r="GYU29" s="914"/>
      <c r="GYV29" s="914"/>
      <c r="GYW29" s="914"/>
      <c r="GYX29" s="914"/>
      <c r="GYY29" s="914"/>
      <c r="GYZ29" s="914"/>
      <c r="GZA29" s="914"/>
      <c r="GZB29" s="911"/>
      <c r="GZC29" s="911"/>
      <c r="GZD29" s="911"/>
      <c r="GZE29" s="915"/>
      <c r="GZF29" s="914"/>
      <c r="GZG29" s="914"/>
      <c r="GZH29" s="914"/>
      <c r="GZI29" s="914"/>
      <c r="GZJ29" s="914"/>
      <c r="GZK29" s="914"/>
      <c r="GZL29" s="914"/>
      <c r="GZM29" s="911"/>
      <c r="GZN29" s="911"/>
      <c r="GZO29" s="911"/>
      <c r="GZP29" s="915"/>
      <c r="GZQ29" s="914"/>
      <c r="GZR29" s="914"/>
      <c r="GZS29" s="914"/>
      <c r="GZT29" s="914"/>
      <c r="GZU29" s="914"/>
      <c r="GZV29" s="914"/>
      <c r="GZW29" s="914"/>
      <c r="GZX29" s="911"/>
      <c r="GZY29" s="911"/>
      <c r="GZZ29" s="911"/>
      <c r="HAA29" s="915"/>
      <c r="HAB29" s="914"/>
      <c r="HAC29" s="914"/>
      <c r="HAD29" s="914"/>
      <c r="HAE29" s="914"/>
      <c r="HAF29" s="914"/>
      <c r="HAG29" s="914"/>
      <c r="HAH29" s="914"/>
      <c r="HAI29" s="911"/>
      <c r="HAJ29" s="911"/>
      <c r="HAK29" s="911"/>
      <c r="HAL29" s="915"/>
      <c r="HAM29" s="914"/>
      <c r="HAN29" s="914"/>
      <c r="HAO29" s="914"/>
      <c r="HAP29" s="914"/>
      <c r="HAQ29" s="914"/>
      <c r="HAR29" s="914"/>
      <c r="HAS29" s="914"/>
      <c r="HAT29" s="911"/>
      <c r="HAU29" s="911"/>
      <c r="HAV29" s="911"/>
      <c r="HAW29" s="915"/>
      <c r="HAX29" s="914"/>
      <c r="HAY29" s="914"/>
      <c r="HAZ29" s="914"/>
      <c r="HBA29" s="914"/>
      <c r="HBB29" s="914"/>
      <c r="HBC29" s="914"/>
      <c r="HBD29" s="914"/>
      <c r="HBE29" s="911"/>
      <c r="HBF29" s="911"/>
      <c r="HBG29" s="911"/>
      <c r="HBH29" s="915"/>
      <c r="HBI29" s="914"/>
      <c r="HBJ29" s="914"/>
      <c r="HBK29" s="914"/>
      <c r="HBL29" s="914"/>
      <c r="HBM29" s="914"/>
      <c r="HBN29" s="914"/>
      <c r="HBO29" s="914"/>
      <c r="HBP29" s="911"/>
      <c r="HBQ29" s="911"/>
      <c r="HBR29" s="911"/>
      <c r="HBS29" s="915"/>
      <c r="HBT29" s="914"/>
      <c r="HBU29" s="914"/>
      <c r="HBV29" s="914"/>
      <c r="HBW29" s="914"/>
      <c r="HBX29" s="914"/>
      <c r="HBY29" s="914"/>
      <c r="HBZ29" s="914"/>
      <c r="HCA29" s="911"/>
      <c r="HCB29" s="911"/>
      <c r="HCC29" s="911"/>
      <c r="HCD29" s="915"/>
      <c r="HCE29" s="914"/>
      <c r="HCF29" s="914"/>
      <c r="HCG29" s="914"/>
      <c r="HCH29" s="914"/>
      <c r="HCI29" s="914"/>
      <c r="HCJ29" s="914"/>
      <c r="HCK29" s="914"/>
      <c r="HCL29" s="911"/>
      <c r="HCM29" s="911"/>
      <c r="HCN29" s="911"/>
      <c r="HCO29" s="915"/>
      <c r="HCP29" s="914"/>
      <c r="HCQ29" s="914"/>
      <c r="HCR29" s="914"/>
      <c r="HCS29" s="914"/>
      <c r="HCT29" s="914"/>
      <c r="HCU29" s="914"/>
      <c r="HCV29" s="914"/>
      <c r="HCW29" s="911"/>
      <c r="HCX29" s="911"/>
      <c r="HCY29" s="911"/>
      <c r="HCZ29" s="915"/>
      <c r="HDA29" s="914"/>
      <c r="HDB29" s="914"/>
      <c r="HDC29" s="914"/>
      <c r="HDD29" s="914"/>
      <c r="HDE29" s="914"/>
      <c r="HDF29" s="914"/>
      <c r="HDG29" s="914"/>
      <c r="HDH29" s="911"/>
      <c r="HDI29" s="911"/>
      <c r="HDJ29" s="911"/>
      <c r="HDK29" s="915"/>
      <c r="HDL29" s="914"/>
      <c r="HDM29" s="914"/>
      <c r="HDN29" s="914"/>
      <c r="HDO29" s="914"/>
      <c r="HDP29" s="914"/>
      <c r="HDQ29" s="914"/>
      <c r="HDR29" s="914"/>
      <c r="HDS29" s="911"/>
      <c r="HDT29" s="911"/>
      <c r="HDU29" s="911"/>
      <c r="HDV29" s="915"/>
      <c r="HDW29" s="914"/>
      <c r="HDX29" s="914"/>
      <c r="HDY29" s="914"/>
      <c r="HDZ29" s="914"/>
      <c r="HEA29" s="914"/>
      <c r="HEB29" s="914"/>
      <c r="HEC29" s="914"/>
      <c r="HED29" s="911"/>
      <c r="HEE29" s="911"/>
      <c r="HEF29" s="911"/>
      <c r="HEG29" s="915"/>
      <c r="HEH29" s="914"/>
      <c r="HEI29" s="914"/>
      <c r="HEJ29" s="914"/>
      <c r="HEK29" s="914"/>
      <c r="HEL29" s="914"/>
      <c r="HEM29" s="914"/>
      <c r="HEN29" s="914"/>
      <c r="HEO29" s="911"/>
      <c r="HEP29" s="911"/>
      <c r="HEQ29" s="911"/>
      <c r="HER29" s="915"/>
      <c r="HES29" s="914"/>
      <c r="HET29" s="914"/>
      <c r="HEU29" s="914"/>
      <c r="HEV29" s="914"/>
      <c r="HEW29" s="914"/>
      <c r="HEX29" s="914"/>
      <c r="HEY29" s="914"/>
      <c r="HEZ29" s="911"/>
      <c r="HFA29" s="911"/>
      <c r="HFB29" s="911"/>
      <c r="HFC29" s="915"/>
      <c r="HFD29" s="914"/>
      <c r="HFE29" s="914"/>
      <c r="HFF29" s="914"/>
      <c r="HFG29" s="914"/>
      <c r="HFH29" s="914"/>
      <c r="HFI29" s="914"/>
      <c r="HFJ29" s="914"/>
      <c r="HFK29" s="911"/>
      <c r="HFL29" s="911"/>
      <c r="HFM29" s="911"/>
      <c r="HFN29" s="915"/>
      <c r="HFO29" s="914"/>
      <c r="HFP29" s="914"/>
      <c r="HFQ29" s="914"/>
      <c r="HFR29" s="914"/>
      <c r="HFS29" s="914"/>
      <c r="HFT29" s="914"/>
      <c r="HFU29" s="914"/>
      <c r="HFV29" s="911"/>
      <c r="HFW29" s="911"/>
      <c r="HFX29" s="911"/>
      <c r="HFY29" s="915"/>
      <c r="HFZ29" s="914"/>
      <c r="HGA29" s="914"/>
      <c r="HGB29" s="914"/>
      <c r="HGC29" s="914"/>
      <c r="HGD29" s="914"/>
      <c r="HGE29" s="914"/>
      <c r="HGF29" s="914"/>
      <c r="HGG29" s="911"/>
      <c r="HGH29" s="911"/>
      <c r="HGI29" s="911"/>
      <c r="HGJ29" s="915"/>
      <c r="HGK29" s="914"/>
      <c r="HGL29" s="914"/>
      <c r="HGM29" s="914"/>
      <c r="HGN29" s="914"/>
      <c r="HGO29" s="914"/>
      <c r="HGP29" s="914"/>
      <c r="HGQ29" s="914"/>
      <c r="HGR29" s="911"/>
      <c r="HGS29" s="911"/>
      <c r="HGT29" s="911"/>
      <c r="HGU29" s="915"/>
      <c r="HGV29" s="914"/>
      <c r="HGW29" s="914"/>
      <c r="HGX29" s="914"/>
      <c r="HGY29" s="914"/>
      <c r="HGZ29" s="914"/>
      <c r="HHA29" s="914"/>
      <c r="HHB29" s="914"/>
      <c r="HHC29" s="911"/>
      <c r="HHD29" s="911"/>
      <c r="HHE29" s="911"/>
      <c r="HHF29" s="915"/>
      <c r="HHG29" s="914"/>
      <c r="HHH29" s="914"/>
      <c r="HHI29" s="914"/>
      <c r="HHJ29" s="914"/>
      <c r="HHK29" s="914"/>
      <c r="HHL29" s="914"/>
      <c r="HHM29" s="914"/>
      <c r="HHN29" s="911"/>
      <c r="HHO29" s="911"/>
      <c r="HHP29" s="911"/>
      <c r="HHQ29" s="915"/>
      <c r="HHR29" s="914"/>
      <c r="HHS29" s="914"/>
      <c r="HHT29" s="914"/>
      <c r="HHU29" s="914"/>
      <c r="HHV29" s="914"/>
      <c r="HHW29" s="914"/>
      <c r="HHX29" s="914"/>
      <c r="HHY29" s="911"/>
      <c r="HHZ29" s="911"/>
      <c r="HIA29" s="911"/>
      <c r="HIB29" s="915"/>
      <c r="HIC29" s="914"/>
      <c r="HID29" s="914"/>
      <c r="HIE29" s="914"/>
      <c r="HIF29" s="914"/>
      <c r="HIG29" s="914"/>
      <c r="HIH29" s="914"/>
      <c r="HII29" s="914"/>
      <c r="HIJ29" s="911"/>
      <c r="HIK29" s="911"/>
      <c r="HIL29" s="911"/>
      <c r="HIM29" s="915"/>
      <c r="HIN29" s="914"/>
      <c r="HIO29" s="914"/>
      <c r="HIP29" s="914"/>
      <c r="HIQ29" s="914"/>
      <c r="HIR29" s="914"/>
      <c r="HIS29" s="914"/>
      <c r="HIT29" s="914"/>
      <c r="HIU29" s="911"/>
      <c r="HIV29" s="911"/>
      <c r="HIW29" s="911"/>
      <c r="HIX29" s="915"/>
      <c r="HIY29" s="914"/>
      <c r="HIZ29" s="914"/>
      <c r="HJA29" s="914"/>
      <c r="HJB29" s="914"/>
      <c r="HJC29" s="914"/>
      <c r="HJD29" s="914"/>
      <c r="HJE29" s="914"/>
      <c r="HJF29" s="911"/>
      <c r="HJG29" s="911"/>
      <c r="HJH29" s="911"/>
      <c r="HJI29" s="915"/>
      <c r="HJJ29" s="914"/>
      <c r="HJK29" s="914"/>
      <c r="HJL29" s="914"/>
      <c r="HJM29" s="914"/>
      <c r="HJN29" s="914"/>
      <c r="HJO29" s="914"/>
      <c r="HJP29" s="914"/>
      <c r="HJQ29" s="911"/>
      <c r="HJR29" s="911"/>
      <c r="HJS29" s="911"/>
      <c r="HJT29" s="915"/>
      <c r="HJU29" s="914"/>
      <c r="HJV29" s="914"/>
      <c r="HJW29" s="914"/>
      <c r="HJX29" s="914"/>
      <c r="HJY29" s="914"/>
      <c r="HJZ29" s="914"/>
      <c r="HKA29" s="914"/>
      <c r="HKB29" s="911"/>
      <c r="HKC29" s="911"/>
      <c r="HKD29" s="911"/>
      <c r="HKE29" s="915"/>
      <c r="HKF29" s="914"/>
      <c r="HKG29" s="914"/>
      <c r="HKH29" s="914"/>
      <c r="HKI29" s="914"/>
      <c r="HKJ29" s="914"/>
      <c r="HKK29" s="914"/>
      <c r="HKL29" s="914"/>
      <c r="HKM29" s="911"/>
      <c r="HKN29" s="911"/>
      <c r="HKO29" s="911"/>
      <c r="HKP29" s="915"/>
      <c r="HKQ29" s="914"/>
      <c r="HKR29" s="914"/>
      <c r="HKS29" s="914"/>
      <c r="HKT29" s="914"/>
      <c r="HKU29" s="914"/>
      <c r="HKV29" s="914"/>
      <c r="HKW29" s="914"/>
      <c r="HKX29" s="911"/>
      <c r="HKY29" s="911"/>
      <c r="HKZ29" s="911"/>
      <c r="HLA29" s="915"/>
      <c r="HLB29" s="914"/>
      <c r="HLC29" s="914"/>
      <c r="HLD29" s="914"/>
      <c r="HLE29" s="914"/>
      <c r="HLF29" s="914"/>
      <c r="HLG29" s="914"/>
      <c r="HLH29" s="914"/>
      <c r="HLI29" s="911"/>
      <c r="HLJ29" s="911"/>
      <c r="HLK29" s="911"/>
      <c r="HLL29" s="915"/>
      <c r="HLM29" s="914"/>
      <c r="HLN29" s="914"/>
      <c r="HLO29" s="914"/>
      <c r="HLP29" s="914"/>
      <c r="HLQ29" s="914"/>
      <c r="HLR29" s="914"/>
      <c r="HLS29" s="914"/>
      <c r="HLT29" s="911"/>
      <c r="HLU29" s="911"/>
      <c r="HLV29" s="911"/>
      <c r="HLW29" s="915"/>
      <c r="HLX29" s="914"/>
      <c r="HLY29" s="914"/>
      <c r="HLZ29" s="914"/>
      <c r="HMA29" s="914"/>
      <c r="HMB29" s="914"/>
      <c r="HMC29" s="914"/>
      <c r="HMD29" s="914"/>
      <c r="HME29" s="911"/>
      <c r="HMF29" s="911"/>
      <c r="HMG29" s="911"/>
      <c r="HMH29" s="915"/>
      <c r="HMI29" s="914"/>
      <c r="HMJ29" s="914"/>
      <c r="HMK29" s="914"/>
      <c r="HML29" s="914"/>
      <c r="HMM29" s="914"/>
      <c r="HMN29" s="914"/>
      <c r="HMO29" s="914"/>
      <c r="HMP29" s="911"/>
      <c r="HMQ29" s="911"/>
      <c r="HMR29" s="911"/>
      <c r="HMS29" s="915"/>
      <c r="HMT29" s="914"/>
      <c r="HMU29" s="914"/>
      <c r="HMV29" s="914"/>
      <c r="HMW29" s="914"/>
      <c r="HMX29" s="914"/>
      <c r="HMY29" s="914"/>
      <c r="HMZ29" s="914"/>
      <c r="HNA29" s="911"/>
      <c r="HNB29" s="911"/>
      <c r="HNC29" s="911"/>
      <c r="HND29" s="915"/>
      <c r="HNE29" s="914"/>
      <c r="HNF29" s="914"/>
      <c r="HNG29" s="914"/>
      <c r="HNH29" s="914"/>
      <c r="HNI29" s="914"/>
      <c r="HNJ29" s="914"/>
      <c r="HNK29" s="914"/>
      <c r="HNL29" s="911"/>
      <c r="HNM29" s="911"/>
      <c r="HNN29" s="911"/>
      <c r="HNO29" s="915"/>
      <c r="HNP29" s="914"/>
      <c r="HNQ29" s="914"/>
      <c r="HNR29" s="914"/>
      <c r="HNS29" s="914"/>
      <c r="HNT29" s="914"/>
      <c r="HNU29" s="914"/>
      <c r="HNV29" s="914"/>
      <c r="HNW29" s="911"/>
      <c r="HNX29" s="911"/>
      <c r="HNY29" s="911"/>
      <c r="HNZ29" s="915"/>
      <c r="HOA29" s="914"/>
      <c r="HOB29" s="914"/>
      <c r="HOC29" s="914"/>
      <c r="HOD29" s="914"/>
      <c r="HOE29" s="914"/>
      <c r="HOF29" s="914"/>
      <c r="HOG29" s="914"/>
      <c r="HOH29" s="911"/>
      <c r="HOI29" s="911"/>
      <c r="HOJ29" s="911"/>
      <c r="HOK29" s="915"/>
      <c r="HOL29" s="914"/>
      <c r="HOM29" s="914"/>
      <c r="HON29" s="914"/>
      <c r="HOO29" s="914"/>
      <c r="HOP29" s="914"/>
      <c r="HOQ29" s="914"/>
      <c r="HOR29" s="914"/>
      <c r="HOS29" s="911"/>
      <c r="HOT29" s="911"/>
      <c r="HOU29" s="911"/>
      <c r="HOV29" s="915"/>
      <c r="HOW29" s="914"/>
      <c r="HOX29" s="914"/>
      <c r="HOY29" s="914"/>
      <c r="HOZ29" s="914"/>
      <c r="HPA29" s="914"/>
      <c r="HPB29" s="914"/>
      <c r="HPC29" s="914"/>
      <c r="HPD29" s="911"/>
      <c r="HPE29" s="911"/>
      <c r="HPF29" s="911"/>
      <c r="HPG29" s="915"/>
      <c r="HPH29" s="914"/>
      <c r="HPI29" s="914"/>
      <c r="HPJ29" s="914"/>
      <c r="HPK29" s="914"/>
      <c r="HPL29" s="914"/>
      <c r="HPM29" s="914"/>
      <c r="HPN29" s="914"/>
      <c r="HPO29" s="911"/>
      <c r="HPP29" s="911"/>
      <c r="HPQ29" s="911"/>
      <c r="HPR29" s="915"/>
      <c r="HPS29" s="914"/>
      <c r="HPT29" s="914"/>
      <c r="HPU29" s="914"/>
      <c r="HPV29" s="914"/>
      <c r="HPW29" s="914"/>
      <c r="HPX29" s="914"/>
      <c r="HPY29" s="914"/>
      <c r="HPZ29" s="911"/>
      <c r="HQA29" s="911"/>
      <c r="HQB29" s="911"/>
      <c r="HQC29" s="915"/>
      <c r="HQD29" s="914"/>
      <c r="HQE29" s="914"/>
      <c r="HQF29" s="914"/>
      <c r="HQG29" s="914"/>
      <c r="HQH29" s="914"/>
      <c r="HQI29" s="914"/>
      <c r="HQJ29" s="914"/>
      <c r="HQK29" s="911"/>
      <c r="HQL29" s="911"/>
      <c r="HQM29" s="911"/>
      <c r="HQN29" s="915"/>
      <c r="HQO29" s="914"/>
      <c r="HQP29" s="914"/>
      <c r="HQQ29" s="914"/>
      <c r="HQR29" s="914"/>
      <c r="HQS29" s="914"/>
      <c r="HQT29" s="914"/>
      <c r="HQU29" s="914"/>
      <c r="HQV29" s="911"/>
      <c r="HQW29" s="911"/>
      <c r="HQX29" s="911"/>
      <c r="HQY29" s="915"/>
      <c r="HQZ29" s="914"/>
      <c r="HRA29" s="914"/>
      <c r="HRB29" s="914"/>
      <c r="HRC29" s="914"/>
      <c r="HRD29" s="914"/>
      <c r="HRE29" s="914"/>
      <c r="HRF29" s="914"/>
      <c r="HRG29" s="911"/>
      <c r="HRH29" s="911"/>
      <c r="HRI29" s="911"/>
      <c r="HRJ29" s="915"/>
      <c r="HRK29" s="914"/>
      <c r="HRL29" s="914"/>
      <c r="HRM29" s="914"/>
      <c r="HRN29" s="914"/>
      <c r="HRO29" s="914"/>
      <c r="HRP29" s="914"/>
      <c r="HRQ29" s="914"/>
      <c r="HRR29" s="911"/>
      <c r="HRS29" s="911"/>
      <c r="HRT29" s="911"/>
      <c r="HRU29" s="915"/>
      <c r="HRV29" s="914"/>
      <c r="HRW29" s="914"/>
      <c r="HRX29" s="914"/>
      <c r="HRY29" s="914"/>
      <c r="HRZ29" s="914"/>
      <c r="HSA29" s="914"/>
      <c r="HSB29" s="914"/>
      <c r="HSC29" s="911"/>
      <c r="HSD29" s="911"/>
      <c r="HSE29" s="911"/>
      <c r="HSF29" s="915"/>
      <c r="HSG29" s="914"/>
      <c r="HSH29" s="914"/>
      <c r="HSI29" s="914"/>
      <c r="HSJ29" s="914"/>
      <c r="HSK29" s="914"/>
      <c r="HSL29" s="914"/>
      <c r="HSM29" s="914"/>
      <c r="HSN29" s="911"/>
      <c r="HSO29" s="911"/>
      <c r="HSP29" s="911"/>
      <c r="HSQ29" s="915"/>
      <c r="HSR29" s="914"/>
      <c r="HSS29" s="914"/>
      <c r="HST29" s="914"/>
      <c r="HSU29" s="914"/>
      <c r="HSV29" s="914"/>
      <c r="HSW29" s="914"/>
      <c r="HSX29" s="914"/>
      <c r="HSY29" s="911"/>
      <c r="HSZ29" s="911"/>
      <c r="HTA29" s="911"/>
      <c r="HTB29" s="915"/>
      <c r="HTC29" s="914"/>
      <c r="HTD29" s="914"/>
      <c r="HTE29" s="914"/>
      <c r="HTF29" s="914"/>
      <c r="HTG29" s="914"/>
      <c r="HTH29" s="914"/>
      <c r="HTI29" s="914"/>
      <c r="HTJ29" s="911"/>
      <c r="HTK29" s="911"/>
      <c r="HTL29" s="911"/>
      <c r="HTM29" s="915"/>
      <c r="HTN29" s="914"/>
      <c r="HTO29" s="914"/>
      <c r="HTP29" s="914"/>
      <c r="HTQ29" s="914"/>
      <c r="HTR29" s="914"/>
      <c r="HTS29" s="914"/>
      <c r="HTT29" s="914"/>
      <c r="HTU29" s="911"/>
      <c r="HTV29" s="911"/>
      <c r="HTW29" s="911"/>
      <c r="HTX29" s="915"/>
      <c r="HTY29" s="914"/>
      <c r="HTZ29" s="914"/>
      <c r="HUA29" s="914"/>
      <c r="HUB29" s="914"/>
      <c r="HUC29" s="914"/>
      <c r="HUD29" s="914"/>
      <c r="HUE29" s="914"/>
      <c r="HUF29" s="911"/>
      <c r="HUG29" s="911"/>
      <c r="HUH29" s="911"/>
      <c r="HUI29" s="915"/>
      <c r="HUJ29" s="914"/>
      <c r="HUK29" s="914"/>
      <c r="HUL29" s="914"/>
      <c r="HUM29" s="914"/>
      <c r="HUN29" s="914"/>
      <c r="HUO29" s="914"/>
      <c r="HUP29" s="914"/>
      <c r="HUQ29" s="911"/>
      <c r="HUR29" s="911"/>
      <c r="HUS29" s="911"/>
      <c r="HUT29" s="915"/>
      <c r="HUU29" s="914"/>
      <c r="HUV29" s="914"/>
      <c r="HUW29" s="914"/>
      <c r="HUX29" s="914"/>
      <c r="HUY29" s="914"/>
      <c r="HUZ29" s="914"/>
      <c r="HVA29" s="914"/>
      <c r="HVB29" s="911"/>
      <c r="HVC29" s="911"/>
      <c r="HVD29" s="911"/>
      <c r="HVE29" s="915"/>
      <c r="HVF29" s="914"/>
      <c r="HVG29" s="914"/>
      <c r="HVH29" s="914"/>
      <c r="HVI29" s="914"/>
      <c r="HVJ29" s="914"/>
      <c r="HVK29" s="914"/>
      <c r="HVL29" s="914"/>
      <c r="HVM29" s="911"/>
      <c r="HVN29" s="911"/>
      <c r="HVO29" s="911"/>
      <c r="HVP29" s="915"/>
      <c r="HVQ29" s="914"/>
      <c r="HVR29" s="914"/>
      <c r="HVS29" s="914"/>
      <c r="HVT29" s="914"/>
      <c r="HVU29" s="914"/>
      <c r="HVV29" s="914"/>
      <c r="HVW29" s="914"/>
      <c r="HVX29" s="911"/>
      <c r="HVY29" s="911"/>
      <c r="HVZ29" s="911"/>
      <c r="HWA29" s="915"/>
      <c r="HWB29" s="914"/>
      <c r="HWC29" s="914"/>
      <c r="HWD29" s="914"/>
      <c r="HWE29" s="914"/>
      <c r="HWF29" s="914"/>
      <c r="HWG29" s="914"/>
      <c r="HWH29" s="914"/>
      <c r="HWI29" s="911"/>
      <c r="HWJ29" s="911"/>
      <c r="HWK29" s="911"/>
      <c r="HWL29" s="915"/>
      <c r="HWM29" s="914"/>
      <c r="HWN29" s="914"/>
      <c r="HWO29" s="914"/>
      <c r="HWP29" s="914"/>
      <c r="HWQ29" s="914"/>
      <c r="HWR29" s="914"/>
      <c r="HWS29" s="914"/>
      <c r="HWT29" s="911"/>
      <c r="HWU29" s="911"/>
      <c r="HWV29" s="911"/>
      <c r="HWW29" s="915"/>
      <c r="HWX29" s="914"/>
      <c r="HWY29" s="914"/>
      <c r="HWZ29" s="914"/>
      <c r="HXA29" s="914"/>
      <c r="HXB29" s="914"/>
      <c r="HXC29" s="914"/>
      <c r="HXD29" s="914"/>
      <c r="HXE29" s="911"/>
      <c r="HXF29" s="911"/>
      <c r="HXG29" s="911"/>
      <c r="HXH29" s="915"/>
      <c r="HXI29" s="914"/>
      <c r="HXJ29" s="914"/>
      <c r="HXK29" s="914"/>
      <c r="HXL29" s="914"/>
      <c r="HXM29" s="914"/>
      <c r="HXN29" s="914"/>
      <c r="HXO29" s="914"/>
      <c r="HXP29" s="911"/>
      <c r="HXQ29" s="911"/>
      <c r="HXR29" s="911"/>
      <c r="HXS29" s="915"/>
      <c r="HXT29" s="914"/>
      <c r="HXU29" s="914"/>
      <c r="HXV29" s="914"/>
      <c r="HXW29" s="914"/>
      <c r="HXX29" s="914"/>
      <c r="HXY29" s="914"/>
      <c r="HXZ29" s="914"/>
      <c r="HYA29" s="911"/>
      <c r="HYB29" s="911"/>
      <c r="HYC29" s="911"/>
      <c r="HYD29" s="915"/>
      <c r="HYE29" s="914"/>
      <c r="HYF29" s="914"/>
      <c r="HYG29" s="914"/>
      <c r="HYH29" s="914"/>
      <c r="HYI29" s="914"/>
      <c r="HYJ29" s="914"/>
      <c r="HYK29" s="914"/>
      <c r="HYL29" s="911"/>
      <c r="HYM29" s="911"/>
      <c r="HYN29" s="911"/>
      <c r="HYO29" s="915"/>
      <c r="HYP29" s="914"/>
      <c r="HYQ29" s="914"/>
      <c r="HYR29" s="914"/>
      <c r="HYS29" s="914"/>
      <c r="HYT29" s="914"/>
      <c r="HYU29" s="914"/>
      <c r="HYV29" s="914"/>
      <c r="HYW29" s="911"/>
      <c r="HYX29" s="911"/>
      <c r="HYY29" s="911"/>
      <c r="HYZ29" s="915"/>
      <c r="HZA29" s="914"/>
      <c r="HZB29" s="914"/>
      <c r="HZC29" s="914"/>
      <c r="HZD29" s="914"/>
      <c r="HZE29" s="914"/>
      <c r="HZF29" s="914"/>
      <c r="HZG29" s="914"/>
      <c r="HZH29" s="911"/>
      <c r="HZI29" s="911"/>
      <c r="HZJ29" s="911"/>
      <c r="HZK29" s="915"/>
      <c r="HZL29" s="914"/>
      <c r="HZM29" s="914"/>
      <c r="HZN29" s="914"/>
      <c r="HZO29" s="914"/>
      <c r="HZP29" s="914"/>
      <c r="HZQ29" s="914"/>
      <c r="HZR29" s="914"/>
      <c r="HZS29" s="911"/>
      <c r="HZT29" s="911"/>
      <c r="HZU29" s="911"/>
      <c r="HZV29" s="915"/>
      <c r="HZW29" s="914"/>
      <c r="HZX29" s="914"/>
      <c r="HZY29" s="914"/>
      <c r="HZZ29" s="914"/>
      <c r="IAA29" s="914"/>
      <c r="IAB29" s="914"/>
      <c r="IAC29" s="914"/>
      <c r="IAD29" s="911"/>
      <c r="IAE29" s="911"/>
      <c r="IAF29" s="911"/>
      <c r="IAG29" s="915"/>
      <c r="IAH29" s="914"/>
      <c r="IAI29" s="914"/>
      <c r="IAJ29" s="914"/>
      <c r="IAK29" s="914"/>
      <c r="IAL29" s="914"/>
      <c r="IAM29" s="914"/>
      <c r="IAN29" s="914"/>
      <c r="IAO29" s="911"/>
      <c r="IAP29" s="911"/>
      <c r="IAQ29" s="911"/>
      <c r="IAR29" s="915"/>
      <c r="IAS29" s="914"/>
      <c r="IAT29" s="914"/>
      <c r="IAU29" s="914"/>
      <c r="IAV29" s="914"/>
      <c r="IAW29" s="914"/>
      <c r="IAX29" s="914"/>
      <c r="IAY29" s="914"/>
      <c r="IAZ29" s="911"/>
      <c r="IBA29" s="911"/>
      <c r="IBB29" s="911"/>
      <c r="IBC29" s="915"/>
      <c r="IBD29" s="914"/>
      <c r="IBE29" s="914"/>
      <c r="IBF29" s="914"/>
      <c r="IBG29" s="914"/>
      <c r="IBH29" s="914"/>
      <c r="IBI29" s="914"/>
      <c r="IBJ29" s="914"/>
      <c r="IBK29" s="911"/>
      <c r="IBL29" s="911"/>
      <c r="IBM29" s="911"/>
      <c r="IBN29" s="915"/>
      <c r="IBO29" s="914"/>
      <c r="IBP29" s="914"/>
      <c r="IBQ29" s="914"/>
      <c r="IBR29" s="914"/>
      <c r="IBS29" s="914"/>
      <c r="IBT29" s="914"/>
      <c r="IBU29" s="914"/>
      <c r="IBV29" s="911"/>
      <c r="IBW29" s="911"/>
      <c r="IBX29" s="911"/>
      <c r="IBY29" s="915"/>
      <c r="IBZ29" s="914"/>
      <c r="ICA29" s="914"/>
      <c r="ICB29" s="914"/>
      <c r="ICC29" s="914"/>
      <c r="ICD29" s="914"/>
      <c r="ICE29" s="914"/>
      <c r="ICF29" s="914"/>
      <c r="ICG29" s="911"/>
      <c r="ICH29" s="911"/>
      <c r="ICI29" s="911"/>
      <c r="ICJ29" s="915"/>
      <c r="ICK29" s="914"/>
      <c r="ICL29" s="914"/>
      <c r="ICM29" s="914"/>
      <c r="ICN29" s="914"/>
      <c r="ICO29" s="914"/>
      <c r="ICP29" s="914"/>
      <c r="ICQ29" s="914"/>
      <c r="ICR29" s="911"/>
      <c r="ICS29" s="911"/>
      <c r="ICT29" s="911"/>
      <c r="ICU29" s="915"/>
      <c r="ICV29" s="914"/>
      <c r="ICW29" s="914"/>
      <c r="ICX29" s="914"/>
      <c r="ICY29" s="914"/>
      <c r="ICZ29" s="914"/>
      <c r="IDA29" s="914"/>
      <c r="IDB29" s="914"/>
      <c r="IDC29" s="911"/>
      <c r="IDD29" s="911"/>
      <c r="IDE29" s="911"/>
      <c r="IDF29" s="915"/>
      <c r="IDG29" s="914"/>
      <c r="IDH29" s="914"/>
      <c r="IDI29" s="914"/>
      <c r="IDJ29" s="914"/>
      <c r="IDK29" s="914"/>
      <c r="IDL29" s="914"/>
      <c r="IDM29" s="914"/>
      <c r="IDN29" s="911"/>
      <c r="IDO29" s="911"/>
      <c r="IDP29" s="911"/>
      <c r="IDQ29" s="915"/>
      <c r="IDR29" s="914"/>
      <c r="IDS29" s="914"/>
      <c r="IDT29" s="914"/>
      <c r="IDU29" s="914"/>
      <c r="IDV29" s="914"/>
      <c r="IDW29" s="914"/>
      <c r="IDX29" s="914"/>
      <c r="IDY29" s="911"/>
      <c r="IDZ29" s="911"/>
      <c r="IEA29" s="911"/>
      <c r="IEB29" s="915"/>
      <c r="IEC29" s="914"/>
      <c r="IED29" s="914"/>
      <c r="IEE29" s="914"/>
      <c r="IEF29" s="914"/>
      <c r="IEG29" s="914"/>
      <c r="IEH29" s="914"/>
      <c r="IEI29" s="914"/>
      <c r="IEJ29" s="911"/>
      <c r="IEK29" s="911"/>
      <c r="IEL29" s="911"/>
      <c r="IEM29" s="915"/>
      <c r="IEN29" s="914"/>
      <c r="IEO29" s="914"/>
      <c r="IEP29" s="914"/>
      <c r="IEQ29" s="914"/>
      <c r="IER29" s="914"/>
      <c r="IES29" s="914"/>
      <c r="IET29" s="914"/>
      <c r="IEU29" s="911"/>
      <c r="IEV29" s="911"/>
      <c r="IEW29" s="911"/>
      <c r="IEX29" s="915"/>
      <c r="IEY29" s="914"/>
      <c r="IEZ29" s="914"/>
      <c r="IFA29" s="914"/>
      <c r="IFB29" s="914"/>
      <c r="IFC29" s="914"/>
      <c r="IFD29" s="914"/>
      <c r="IFE29" s="914"/>
      <c r="IFF29" s="911"/>
      <c r="IFG29" s="911"/>
      <c r="IFH29" s="911"/>
      <c r="IFI29" s="915"/>
      <c r="IFJ29" s="914"/>
      <c r="IFK29" s="914"/>
      <c r="IFL29" s="914"/>
      <c r="IFM29" s="914"/>
      <c r="IFN29" s="914"/>
      <c r="IFO29" s="914"/>
      <c r="IFP29" s="914"/>
      <c r="IFQ29" s="911"/>
      <c r="IFR29" s="911"/>
      <c r="IFS29" s="911"/>
      <c r="IFT29" s="915"/>
      <c r="IFU29" s="914"/>
      <c r="IFV29" s="914"/>
      <c r="IFW29" s="914"/>
      <c r="IFX29" s="914"/>
      <c r="IFY29" s="914"/>
      <c r="IFZ29" s="914"/>
      <c r="IGA29" s="914"/>
      <c r="IGB29" s="911"/>
      <c r="IGC29" s="911"/>
      <c r="IGD29" s="911"/>
      <c r="IGE29" s="915"/>
      <c r="IGF29" s="914"/>
      <c r="IGG29" s="914"/>
      <c r="IGH29" s="914"/>
      <c r="IGI29" s="914"/>
      <c r="IGJ29" s="914"/>
      <c r="IGK29" s="914"/>
      <c r="IGL29" s="914"/>
      <c r="IGM29" s="911"/>
      <c r="IGN29" s="911"/>
      <c r="IGO29" s="911"/>
      <c r="IGP29" s="915"/>
      <c r="IGQ29" s="914"/>
      <c r="IGR29" s="914"/>
      <c r="IGS29" s="914"/>
      <c r="IGT29" s="914"/>
      <c r="IGU29" s="914"/>
      <c r="IGV29" s="914"/>
      <c r="IGW29" s="914"/>
      <c r="IGX29" s="911"/>
      <c r="IGY29" s="911"/>
      <c r="IGZ29" s="911"/>
      <c r="IHA29" s="915"/>
      <c r="IHB29" s="914"/>
      <c r="IHC29" s="914"/>
      <c r="IHD29" s="914"/>
      <c r="IHE29" s="914"/>
      <c r="IHF29" s="914"/>
      <c r="IHG29" s="914"/>
      <c r="IHH29" s="914"/>
      <c r="IHI29" s="911"/>
      <c r="IHJ29" s="911"/>
      <c r="IHK29" s="911"/>
      <c r="IHL29" s="915"/>
      <c r="IHM29" s="914"/>
      <c r="IHN29" s="914"/>
      <c r="IHO29" s="914"/>
      <c r="IHP29" s="914"/>
      <c r="IHQ29" s="914"/>
      <c r="IHR29" s="914"/>
      <c r="IHS29" s="914"/>
      <c r="IHT29" s="911"/>
      <c r="IHU29" s="911"/>
      <c r="IHV29" s="911"/>
      <c r="IHW29" s="915"/>
      <c r="IHX29" s="914"/>
      <c r="IHY29" s="914"/>
      <c r="IHZ29" s="914"/>
      <c r="IIA29" s="914"/>
      <c r="IIB29" s="914"/>
      <c r="IIC29" s="914"/>
      <c r="IID29" s="914"/>
      <c r="IIE29" s="911"/>
      <c r="IIF29" s="911"/>
      <c r="IIG29" s="911"/>
      <c r="IIH29" s="915"/>
      <c r="III29" s="914"/>
      <c r="IIJ29" s="914"/>
      <c r="IIK29" s="914"/>
      <c r="IIL29" s="914"/>
      <c r="IIM29" s="914"/>
      <c r="IIN29" s="914"/>
      <c r="IIO29" s="914"/>
      <c r="IIP29" s="911"/>
      <c r="IIQ29" s="911"/>
      <c r="IIR29" s="911"/>
      <c r="IIS29" s="915"/>
      <c r="IIT29" s="914"/>
      <c r="IIU29" s="914"/>
      <c r="IIV29" s="914"/>
      <c r="IIW29" s="914"/>
      <c r="IIX29" s="914"/>
      <c r="IIY29" s="914"/>
      <c r="IIZ29" s="914"/>
      <c r="IJA29" s="911"/>
      <c r="IJB29" s="911"/>
      <c r="IJC29" s="911"/>
      <c r="IJD29" s="915"/>
      <c r="IJE29" s="914"/>
      <c r="IJF29" s="914"/>
      <c r="IJG29" s="914"/>
      <c r="IJH29" s="914"/>
      <c r="IJI29" s="914"/>
      <c r="IJJ29" s="914"/>
      <c r="IJK29" s="914"/>
      <c r="IJL29" s="911"/>
      <c r="IJM29" s="911"/>
      <c r="IJN29" s="911"/>
      <c r="IJO29" s="915"/>
      <c r="IJP29" s="914"/>
      <c r="IJQ29" s="914"/>
      <c r="IJR29" s="914"/>
      <c r="IJS29" s="914"/>
      <c r="IJT29" s="914"/>
      <c r="IJU29" s="914"/>
      <c r="IJV29" s="914"/>
      <c r="IJW29" s="911"/>
      <c r="IJX29" s="911"/>
      <c r="IJY29" s="911"/>
      <c r="IJZ29" s="915"/>
      <c r="IKA29" s="914"/>
      <c r="IKB29" s="914"/>
      <c r="IKC29" s="914"/>
      <c r="IKD29" s="914"/>
      <c r="IKE29" s="914"/>
      <c r="IKF29" s="914"/>
      <c r="IKG29" s="914"/>
      <c r="IKH29" s="911"/>
      <c r="IKI29" s="911"/>
      <c r="IKJ29" s="911"/>
      <c r="IKK29" s="915"/>
      <c r="IKL29" s="914"/>
      <c r="IKM29" s="914"/>
      <c r="IKN29" s="914"/>
      <c r="IKO29" s="914"/>
      <c r="IKP29" s="914"/>
      <c r="IKQ29" s="914"/>
      <c r="IKR29" s="914"/>
      <c r="IKS29" s="911"/>
      <c r="IKT29" s="911"/>
      <c r="IKU29" s="911"/>
      <c r="IKV29" s="915"/>
      <c r="IKW29" s="914"/>
      <c r="IKX29" s="914"/>
      <c r="IKY29" s="914"/>
      <c r="IKZ29" s="914"/>
      <c r="ILA29" s="914"/>
      <c r="ILB29" s="914"/>
      <c r="ILC29" s="914"/>
      <c r="ILD29" s="911"/>
      <c r="ILE29" s="911"/>
      <c r="ILF29" s="911"/>
      <c r="ILG29" s="915"/>
      <c r="ILH29" s="914"/>
      <c r="ILI29" s="914"/>
      <c r="ILJ29" s="914"/>
      <c r="ILK29" s="914"/>
      <c r="ILL29" s="914"/>
      <c r="ILM29" s="914"/>
      <c r="ILN29" s="914"/>
      <c r="ILO29" s="911"/>
      <c r="ILP29" s="911"/>
      <c r="ILQ29" s="911"/>
      <c r="ILR29" s="915"/>
      <c r="ILS29" s="914"/>
      <c r="ILT29" s="914"/>
      <c r="ILU29" s="914"/>
      <c r="ILV29" s="914"/>
      <c r="ILW29" s="914"/>
      <c r="ILX29" s="914"/>
      <c r="ILY29" s="914"/>
      <c r="ILZ29" s="911"/>
      <c r="IMA29" s="911"/>
      <c r="IMB29" s="911"/>
      <c r="IMC29" s="915"/>
      <c r="IMD29" s="914"/>
      <c r="IME29" s="914"/>
      <c r="IMF29" s="914"/>
      <c r="IMG29" s="914"/>
      <c r="IMH29" s="914"/>
      <c r="IMI29" s="914"/>
      <c r="IMJ29" s="914"/>
      <c r="IMK29" s="911"/>
      <c r="IML29" s="911"/>
      <c r="IMM29" s="911"/>
      <c r="IMN29" s="915"/>
      <c r="IMO29" s="914"/>
      <c r="IMP29" s="914"/>
      <c r="IMQ29" s="914"/>
      <c r="IMR29" s="914"/>
      <c r="IMS29" s="914"/>
      <c r="IMT29" s="914"/>
      <c r="IMU29" s="914"/>
      <c r="IMV29" s="911"/>
      <c r="IMW29" s="911"/>
      <c r="IMX29" s="911"/>
      <c r="IMY29" s="915"/>
      <c r="IMZ29" s="914"/>
      <c r="INA29" s="914"/>
      <c r="INB29" s="914"/>
      <c r="INC29" s="914"/>
      <c r="IND29" s="914"/>
      <c r="INE29" s="914"/>
      <c r="INF29" s="914"/>
      <c r="ING29" s="911"/>
      <c r="INH29" s="911"/>
      <c r="INI29" s="911"/>
      <c r="INJ29" s="915"/>
      <c r="INK29" s="914"/>
      <c r="INL29" s="914"/>
      <c r="INM29" s="914"/>
      <c r="INN29" s="914"/>
      <c r="INO29" s="914"/>
      <c r="INP29" s="914"/>
      <c r="INQ29" s="914"/>
      <c r="INR29" s="911"/>
      <c r="INS29" s="911"/>
      <c r="INT29" s="911"/>
      <c r="INU29" s="915"/>
      <c r="INV29" s="914"/>
      <c r="INW29" s="914"/>
      <c r="INX29" s="914"/>
      <c r="INY29" s="914"/>
      <c r="INZ29" s="914"/>
      <c r="IOA29" s="914"/>
      <c r="IOB29" s="914"/>
      <c r="IOC29" s="911"/>
      <c r="IOD29" s="911"/>
      <c r="IOE29" s="911"/>
      <c r="IOF29" s="915"/>
      <c r="IOG29" s="914"/>
      <c r="IOH29" s="914"/>
      <c r="IOI29" s="914"/>
      <c r="IOJ29" s="914"/>
      <c r="IOK29" s="914"/>
      <c r="IOL29" s="914"/>
      <c r="IOM29" s="914"/>
      <c r="ION29" s="911"/>
      <c r="IOO29" s="911"/>
      <c r="IOP29" s="911"/>
      <c r="IOQ29" s="915"/>
      <c r="IOR29" s="914"/>
      <c r="IOS29" s="914"/>
      <c r="IOT29" s="914"/>
      <c r="IOU29" s="914"/>
      <c r="IOV29" s="914"/>
      <c r="IOW29" s="914"/>
      <c r="IOX29" s="914"/>
      <c r="IOY29" s="911"/>
      <c r="IOZ29" s="911"/>
      <c r="IPA29" s="911"/>
      <c r="IPB29" s="915"/>
      <c r="IPC29" s="914"/>
      <c r="IPD29" s="914"/>
      <c r="IPE29" s="914"/>
      <c r="IPF29" s="914"/>
      <c r="IPG29" s="914"/>
      <c r="IPH29" s="914"/>
      <c r="IPI29" s="914"/>
      <c r="IPJ29" s="911"/>
      <c r="IPK29" s="911"/>
      <c r="IPL29" s="911"/>
      <c r="IPM29" s="915"/>
      <c r="IPN29" s="914"/>
      <c r="IPO29" s="914"/>
      <c r="IPP29" s="914"/>
      <c r="IPQ29" s="914"/>
      <c r="IPR29" s="914"/>
      <c r="IPS29" s="914"/>
      <c r="IPT29" s="914"/>
      <c r="IPU29" s="911"/>
      <c r="IPV29" s="911"/>
      <c r="IPW29" s="911"/>
      <c r="IPX29" s="915"/>
      <c r="IPY29" s="914"/>
      <c r="IPZ29" s="914"/>
      <c r="IQA29" s="914"/>
      <c r="IQB29" s="914"/>
      <c r="IQC29" s="914"/>
      <c r="IQD29" s="914"/>
      <c r="IQE29" s="914"/>
      <c r="IQF29" s="911"/>
      <c r="IQG29" s="911"/>
      <c r="IQH29" s="911"/>
      <c r="IQI29" s="915"/>
      <c r="IQJ29" s="914"/>
      <c r="IQK29" s="914"/>
      <c r="IQL29" s="914"/>
      <c r="IQM29" s="914"/>
      <c r="IQN29" s="914"/>
      <c r="IQO29" s="914"/>
      <c r="IQP29" s="914"/>
      <c r="IQQ29" s="911"/>
      <c r="IQR29" s="911"/>
      <c r="IQS29" s="911"/>
      <c r="IQT29" s="915"/>
      <c r="IQU29" s="914"/>
      <c r="IQV29" s="914"/>
      <c r="IQW29" s="914"/>
      <c r="IQX29" s="914"/>
      <c r="IQY29" s="914"/>
      <c r="IQZ29" s="914"/>
      <c r="IRA29" s="914"/>
      <c r="IRB29" s="911"/>
      <c r="IRC29" s="911"/>
      <c r="IRD29" s="911"/>
      <c r="IRE29" s="915"/>
      <c r="IRF29" s="914"/>
      <c r="IRG29" s="914"/>
      <c r="IRH29" s="914"/>
      <c r="IRI29" s="914"/>
      <c r="IRJ29" s="914"/>
      <c r="IRK29" s="914"/>
      <c r="IRL29" s="914"/>
      <c r="IRM29" s="911"/>
      <c r="IRN29" s="911"/>
      <c r="IRO29" s="911"/>
      <c r="IRP29" s="915"/>
      <c r="IRQ29" s="914"/>
      <c r="IRR29" s="914"/>
      <c r="IRS29" s="914"/>
      <c r="IRT29" s="914"/>
      <c r="IRU29" s="914"/>
      <c r="IRV29" s="914"/>
      <c r="IRW29" s="914"/>
      <c r="IRX29" s="911"/>
      <c r="IRY29" s="911"/>
      <c r="IRZ29" s="911"/>
      <c r="ISA29" s="915"/>
      <c r="ISB29" s="914"/>
      <c r="ISC29" s="914"/>
      <c r="ISD29" s="914"/>
      <c r="ISE29" s="914"/>
      <c r="ISF29" s="914"/>
      <c r="ISG29" s="914"/>
      <c r="ISH29" s="914"/>
      <c r="ISI29" s="911"/>
      <c r="ISJ29" s="911"/>
      <c r="ISK29" s="911"/>
      <c r="ISL29" s="915"/>
      <c r="ISM29" s="914"/>
      <c r="ISN29" s="914"/>
      <c r="ISO29" s="914"/>
      <c r="ISP29" s="914"/>
      <c r="ISQ29" s="914"/>
      <c r="ISR29" s="914"/>
      <c r="ISS29" s="914"/>
      <c r="IST29" s="911"/>
      <c r="ISU29" s="911"/>
      <c r="ISV29" s="911"/>
      <c r="ISW29" s="915"/>
      <c r="ISX29" s="914"/>
      <c r="ISY29" s="914"/>
      <c r="ISZ29" s="914"/>
      <c r="ITA29" s="914"/>
      <c r="ITB29" s="914"/>
      <c r="ITC29" s="914"/>
      <c r="ITD29" s="914"/>
      <c r="ITE29" s="911"/>
      <c r="ITF29" s="911"/>
      <c r="ITG29" s="911"/>
      <c r="ITH29" s="915"/>
      <c r="ITI29" s="914"/>
      <c r="ITJ29" s="914"/>
      <c r="ITK29" s="914"/>
      <c r="ITL29" s="914"/>
      <c r="ITM29" s="914"/>
      <c r="ITN29" s="914"/>
      <c r="ITO29" s="914"/>
      <c r="ITP29" s="911"/>
      <c r="ITQ29" s="911"/>
      <c r="ITR29" s="911"/>
      <c r="ITS29" s="915"/>
      <c r="ITT29" s="914"/>
      <c r="ITU29" s="914"/>
      <c r="ITV29" s="914"/>
      <c r="ITW29" s="914"/>
      <c r="ITX29" s="914"/>
      <c r="ITY29" s="914"/>
      <c r="ITZ29" s="914"/>
      <c r="IUA29" s="911"/>
      <c r="IUB29" s="911"/>
      <c r="IUC29" s="911"/>
      <c r="IUD29" s="915"/>
      <c r="IUE29" s="914"/>
      <c r="IUF29" s="914"/>
      <c r="IUG29" s="914"/>
      <c r="IUH29" s="914"/>
      <c r="IUI29" s="914"/>
      <c r="IUJ29" s="914"/>
      <c r="IUK29" s="914"/>
      <c r="IUL29" s="911"/>
      <c r="IUM29" s="911"/>
      <c r="IUN29" s="911"/>
      <c r="IUO29" s="915"/>
      <c r="IUP29" s="914"/>
      <c r="IUQ29" s="914"/>
      <c r="IUR29" s="914"/>
      <c r="IUS29" s="914"/>
      <c r="IUT29" s="914"/>
      <c r="IUU29" s="914"/>
      <c r="IUV29" s="914"/>
      <c r="IUW29" s="911"/>
      <c r="IUX29" s="911"/>
      <c r="IUY29" s="911"/>
      <c r="IUZ29" s="915"/>
      <c r="IVA29" s="914"/>
      <c r="IVB29" s="914"/>
      <c r="IVC29" s="914"/>
      <c r="IVD29" s="914"/>
      <c r="IVE29" s="914"/>
      <c r="IVF29" s="914"/>
      <c r="IVG29" s="914"/>
      <c r="IVH29" s="911"/>
      <c r="IVI29" s="911"/>
      <c r="IVJ29" s="911"/>
      <c r="IVK29" s="915"/>
      <c r="IVL29" s="914"/>
      <c r="IVM29" s="914"/>
      <c r="IVN29" s="914"/>
      <c r="IVO29" s="914"/>
      <c r="IVP29" s="914"/>
      <c r="IVQ29" s="914"/>
      <c r="IVR29" s="914"/>
      <c r="IVS29" s="911"/>
      <c r="IVT29" s="911"/>
      <c r="IVU29" s="911"/>
      <c r="IVV29" s="915"/>
      <c r="IVW29" s="914"/>
      <c r="IVX29" s="914"/>
      <c r="IVY29" s="914"/>
      <c r="IVZ29" s="914"/>
      <c r="IWA29" s="914"/>
      <c r="IWB29" s="914"/>
      <c r="IWC29" s="914"/>
      <c r="IWD29" s="911"/>
      <c r="IWE29" s="911"/>
      <c r="IWF29" s="911"/>
      <c r="IWG29" s="915"/>
      <c r="IWH29" s="914"/>
      <c r="IWI29" s="914"/>
      <c r="IWJ29" s="914"/>
      <c r="IWK29" s="914"/>
      <c r="IWL29" s="914"/>
      <c r="IWM29" s="914"/>
      <c r="IWN29" s="914"/>
      <c r="IWO29" s="911"/>
      <c r="IWP29" s="911"/>
      <c r="IWQ29" s="911"/>
      <c r="IWR29" s="915"/>
      <c r="IWS29" s="914"/>
      <c r="IWT29" s="914"/>
      <c r="IWU29" s="914"/>
      <c r="IWV29" s="914"/>
      <c r="IWW29" s="914"/>
      <c r="IWX29" s="914"/>
      <c r="IWY29" s="914"/>
      <c r="IWZ29" s="911"/>
      <c r="IXA29" s="911"/>
      <c r="IXB29" s="911"/>
      <c r="IXC29" s="915"/>
      <c r="IXD29" s="914"/>
      <c r="IXE29" s="914"/>
      <c r="IXF29" s="914"/>
      <c r="IXG29" s="914"/>
      <c r="IXH29" s="914"/>
      <c r="IXI29" s="914"/>
      <c r="IXJ29" s="914"/>
      <c r="IXK29" s="911"/>
      <c r="IXL29" s="911"/>
      <c r="IXM29" s="911"/>
      <c r="IXN29" s="915"/>
      <c r="IXO29" s="914"/>
      <c r="IXP29" s="914"/>
      <c r="IXQ29" s="914"/>
      <c r="IXR29" s="914"/>
      <c r="IXS29" s="914"/>
      <c r="IXT29" s="914"/>
      <c r="IXU29" s="914"/>
      <c r="IXV29" s="911"/>
      <c r="IXW29" s="911"/>
      <c r="IXX29" s="911"/>
      <c r="IXY29" s="915"/>
      <c r="IXZ29" s="914"/>
      <c r="IYA29" s="914"/>
      <c r="IYB29" s="914"/>
      <c r="IYC29" s="914"/>
      <c r="IYD29" s="914"/>
      <c r="IYE29" s="914"/>
      <c r="IYF29" s="914"/>
      <c r="IYG29" s="911"/>
      <c r="IYH29" s="911"/>
      <c r="IYI29" s="911"/>
      <c r="IYJ29" s="915"/>
      <c r="IYK29" s="914"/>
      <c r="IYL29" s="914"/>
      <c r="IYM29" s="914"/>
      <c r="IYN29" s="914"/>
      <c r="IYO29" s="914"/>
      <c r="IYP29" s="914"/>
      <c r="IYQ29" s="914"/>
      <c r="IYR29" s="911"/>
      <c r="IYS29" s="911"/>
      <c r="IYT29" s="911"/>
      <c r="IYU29" s="915"/>
      <c r="IYV29" s="914"/>
      <c r="IYW29" s="914"/>
      <c r="IYX29" s="914"/>
      <c r="IYY29" s="914"/>
      <c r="IYZ29" s="914"/>
      <c r="IZA29" s="914"/>
      <c r="IZB29" s="914"/>
      <c r="IZC29" s="911"/>
      <c r="IZD29" s="911"/>
      <c r="IZE29" s="911"/>
      <c r="IZF29" s="915"/>
      <c r="IZG29" s="914"/>
      <c r="IZH29" s="914"/>
      <c r="IZI29" s="914"/>
      <c r="IZJ29" s="914"/>
      <c r="IZK29" s="914"/>
      <c r="IZL29" s="914"/>
      <c r="IZM29" s="914"/>
      <c r="IZN29" s="911"/>
      <c r="IZO29" s="911"/>
      <c r="IZP29" s="911"/>
      <c r="IZQ29" s="915"/>
      <c r="IZR29" s="914"/>
      <c r="IZS29" s="914"/>
      <c r="IZT29" s="914"/>
      <c r="IZU29" s="914"/>
      <c r="IZV29" s="914"/>
      <c r="IZW29" s="914"/>
      <c r="IZX29" s="914"/>
      <c r="IZY29" s="911"/>
      <c r="IZZ29" s="911"/>
      <c r="JAA29" s="911"/>
      <c r="JAB29" s="915"/>
      <c r="JAC29" s="914"/>
      <c r="JAD29" s="914"/>
      <c r="JAE29" s="914"/>
      <c r="JAF29" s="914"/>
      <c r="JAG29" s="914"/>
      <c r="JAH29" s="914"/>
      <c r="JAI29" s="914"/>
      <c r="JAJ29" s="911"/>
      <c r="JAK29" s="911"/>
      <c r="JAL29" s="911"/>
      <c r="JAM29" s="915"/>
      <c r="JAN29" s="914"/>
      <c r="JAO29" s="914"/>
      <c r="JAP29" s="914"/>
      <c r="JAQ29" s="914"/>
      <c r="JAR29" s="914"/>
      <c r="JAS29" s="914"/>
      <c r="JAT29" s="914"/>
      <c r="JAU29" s="911"/>
      <c r="JAV29" s="911"/>
      <c r="JAW29" s="911"/>
      <c r="JAX29" s="915"/>
      <c r="JAY29" s="914"/>
      <c r="JAZ29" s="914"/>
      <c r="JBA29" s="914"/>
      <c r="JBB29" s="914"/>
      <c r="JBC29" s="914"/>
      <c r="JBD29" s="914"/>
      <c r="JBE29" s="914"/>
      <c r="JBF29" s="911"/>
      <c r="JBG29" s="911"/>
      <c r="JBH29" s="911"/>
      <c r="JBI29" s="915"/>
      <c r="JBJ29" s="914"/>
      <c r="JBK29" s="914"/>
      <c r="JBL29" s="914"/>
      <c r="JBM29" s="914"/>
      <c r="JBN29" s="914"/>
      <c r="JBO29" s="914"/>
      <c r="JBP29" s="914"/>
      <c r="JBQ29" s="911"/>
      <c r="JBR29" s="911"/>
      <c r="JBS29" s="911"/>
      <c r="JBT29" s="915"/>
      <c r="JBU29" s="914"/>
      <c r="JBV29" s="914"/>
      <c r="JBW29" s="914"/>
      <c r="JBX29" s="914"/>
      <c r="JBY29" s="914"/>
      <c r="JBZ29" s="914"/>
      <c r="JCA29" s="914"/>
      <c r="JCB29" s="911"/>
      <c r="JCC29" s="911"/>
      <c r="JCD29" s="911"/>
      <c r="JCE29" s="915"/>
      <c r="JCF29" s="914"/>
      <c r="JCG29" s="914"/>
      <c r="JCH29" s="914"/>
      <c r="JCI29" s="914"/>
      <c r="JCJ29" s="914"/>
      <c r="JCK29" s="914"/>
      <c r="JCL29" s="914"/>
      <c r="JCM29" s="911"/>
      <c r="JCN29" s="911"/>
      <c r="JCO29" s="911"/>
      <c r="JCP29" s="915"/>
      <c r="JCQ29" s="914"/>
      <c r="JCR29" s="914"/>
      <c r="JCS29" s="914"/>
      <c r="JCT29" s="914"/>
      <c r="JCU29" s="914"/>
      <c r="JCV29" s="914"/>
      <c r="JCW29" s="914"/>
      <c r="JCX29" s="911"/>
      <c r="JCY29" s="911"/>
      <c r="JCZ29" s="911"/>
      <c r="JDA29" s="915"/>
      <c r="JDB29" s="914"/>
      <c r="JDC29" s="914"/>
      <c r="JDD29" s="914"/>
      <c r="JDE29" s="914"/>
      <c r="JDF29" s="914"/>
      <c r="JDG29" s="914"/>
      <c r="JDH29" s="914"/>
      <c r="JDI29" s="911"/>
      <c r="JDJ29" s="911"/>
      <c r="JDK29" s="911"/>
      <c r="JDL29" s="915"/>
      <c r="JDM29" s="914"/>
      <c r="JDN29" s="914"/>
      <c r="JDO29" s="914"/>
      <c r="JDP29" s="914"/>
      <c r="JDQ29" s="914"/>
      <c r="JDR29" s="914"/>
      <c r="JDS29" s="914"/>
      <c r="JDT29" s="911"/>
      <c r="JDU29" s="911"/>
      <c r="JDV29" s="911"/>
      <c r="JDW29" s="915"/>
      <c r="JDX29" s="914"/>
      <c r="JDY29" s="914"/>
      <c r="JDZ29" s="914"/>
      <c r="JEA29" s="914"/>
      <c r="JEB29" s="914"/>
      <c r="JEC29" s="914"/>
      <c r="JED29" s="914"/>
      <c r="JEE29" s="911"/>
      <c r="JEF29" s="911"/>
      <c r="JEG29" s="911"/>
      <c r="JEH29" s="915"/>
      <c r="JEI29" s="914"/>
      <c r="JEJ29" s="914"/>
      <c r="JEK29" s="914"/>
      <c r="JEL29" s="914"/>
      <c r="JEM29" s="914"/>
      <c r="JEN29" s="914"/>
      <c r="JEO29" s="914"/>
      <c r="JEP29" s="911"/>
      <c r="JEQ29" s="911"/>
      <c r="JER29" s="911"/>
      <c r="JES29" s="915"/>
      <c r="JET29" s="914"/>
      <c r="JEU29" s="914"/>
      <c r="JEV29" s="914"/>
      <c r="JEW29" s="914"/>
      <c r="JEX29" s="914"/>
      <c r="JEY29" s="914"/>
      <c r="JEZ29" s="914"/>
      <c r="JFA29" s="911"/>
      <c r="JFB29" s="911"/>
      <c r="JFC29" s="911"/>
      <c r="JFD29" s="915"/>
      <c r="JFE29" s="914"/>
      <c r="JFF29" s="914"/>
      <c r="JFG29" s="914"/>
      <c r="JFH29" s="914"/>
      <c r="JFI29" s="914"/>
      <c r="JFJ29" s="914"/>
      <c r="JFK29" s="914"/>
      <c r="JFL29" s="911"/>
      <c r="JFM29" s="911"/>
      <c r="JFN29" s="911"/>
      <c r="JFO29" s="915"/>
      <c r="JFP29" s="914"/>
      <c r="JFQ29" s="914"/>
      <c r="JFR29" s="914"/>
      <c r="JFS29" s="914"/>
      <c r="JFT29" s="914"/>
      <c r="JFU29" s="914"/>
      <c r="JFV29" s="914"/>
      <c r="JFW29" s="911"/>
      <c r="JFX29" s="911"/>
      <c r="JFY29" s="911"/>
      <c r="JFZ29" s="915"/>
      <c r="JGA29" s="914"/>
      <c r="JGB29" s="914"/>
      <c r="JGC29" s="914"/>
      <c r="JGD29" s="914"/>
      <c r="JGE29" s="914"/>
      <c r="JGF29" s="914"/>
      <c r="JGG29" s="914"/>
      <c r="JGH29" s="911"/>
      <c r="JGI29" s="911"/>
      <c r="JGJ29" s="911"/>
      <c r="JGK29" s="915"/>
      <c r="JGL29" s="914"/>
      <c r="JGM29" s="914"/>
      <c r="JGN29" s="914"/>
      <c r="JGO29" s="914"/>
      <c r="JGP29" s="914"/>
      <c r="JGQ29" s="914"/>
      <c r="JGR29" s="914"/>
      <c r="JGS29" s="911"/>
      <c r="JGT29" s="911"/>
      <c r="JGU29" s="911"/>
      <c r="JGV29" s="915"/>
      <c r="JGW29" s="914"/>
      <c r="JGX29" s="914"/>
      <c r="JGY29" s="914"/>
      <c r="JGZ29" s="914"/>
      <c r="JHA29" s="914"/>
      <c r="JHB29" s="914"/>
      <c r="JHC29" s="914"/>
      <c r="JHD29" s="911"/>
      <c r="JHE29" s="911"/>
      <c r="JHF29" s="911"/>
      <c r="JHG29" s="915"/>
      <c r="JHH29" s="914"/>
      <c r="JHI29" s="914"/>
      <c r="JHJ29" s="914"/>
      <c r="JHK29" s="914"/>
      <c r="JHL29" s="914"/>
      <c r="JHM29" s="914"/>
      <c r="JHN29" s="914"/>
      <c r="JHO29" s="911"/>
      <c r="JHP29" s="911"/>
      <c r="JHQ29" s="911"/>
      <c r="JHR29" s="915"/>
      <c r="JHS29" s="914"/>
      <c r="JHT29" s="914"/>
      <c r="JHU29" s="914"/>
      <c r="JHV29" s="914"/>
      <c r="JHW29" s="914"/>
      <c r="JHX29" s="914"/>
      <c r="JHY29" s="914"/>
      <c r="JHZ29" s="911"/>
      <c r="JIA29" s="911"/>
      <c r="JIB29" s="911"/>
      <c r="JIC29" s="915"/>
      <c r="JID29" s="914"/>
      <c r="JIE29" s="914"/>
      <c r="JIF29" s="914"/>
      <c r="JIG29" s="914"/>
      <c r="JIH29" s="914"/>
      <c r="JII29" s="914"/>
      <c r="JIJ29" s="914"/>
      <c r="JIK29" s="911"/>
      <c r="JIL29" s="911"/>
      <c r="JIM29" s="911"/>
      <c r="JIN29" s="915"/>
      <c r="JIO29" s="914"/>
      <c r="JIP29" s="914"/>
      <c r="JIQ29" s="914"/>
      <c r="JIR29" s="914"/>
      <c r="JIS29" s="914"/>
      <c r="JIT29" s="914"/>
      <c r="JIU29" s="914"/>
      <c r="JIV29" s="911"/>
      <c r="JIW29" s="911"/>
      <c r="JIX29" s="911"/>
      <c r="JIY29" s="915"/>
      <c r="JIZ29" s="914"/>
      <c r="JJA29" s="914"/>
      <c r="JJB29" s="914"/>
      <c r="JJC29" s="914"/>
      <c r="JJD29" s="914"/>
      <c r="JJE29" s="914"/>
      <c r="JJF29" s="914"/>
      <c r="JJG29" s="911"/>
      <c r="JJH29" s="911"/>
      <c r="JJI29" s="911"/>
      <c r="JJJ29" s="915"/>
      <c r="JJK29" s="914"/>
      <c r="JJL29" s="914"/>
      <c r="JJM29" s="914"/>
      <c r="JJN29" s="914"/>
      <c r="JJO29" s="914"/>
      <c r="JJP29" s="914"/>
      <c r="JJQ29" s="914"/>
      <c r="JJR29" s="911"/>
      <c r="JJS29" s="911"/>
      <c r="JJT29" s="911"/>
      <c r="JJU29" s="915"/>
      <c r="JJV29" s="914"/>
      <c r="JJW29" s="914"/>
      <c r="JJX29" s="914"/>
      <c r="JJY29" s="914"/>
      <c r="JJZ29" s="914"/>
      <c r="JKA29" s="914"/>
      <c r="JKB29" s="914"/>
      <c r="JKC29" s="911"/>
      <c r="JKD29" s="911"/>
      <c r="JKE29" s="911"/>
      <c r="JKF29" s="915"/>
      <c r="JKG29" s="914"/>
      <c r="JKH29" s="914"/>
      <c r="JKI29" s="914"/>
      <c r="JKJ29" s="914"/>
      <c r="JKK29" s="914"/>
      <c r="JKL29" s="914"/>
      <c r="JKM29" s="914"/>
      <c r="JKN29" s="911"/>
      <c r="JKO29" s="911"/>
      <c r="JKP29" s="911"/>
      <c r="JKQ29" s="915"/>
      <c r="JKR29" s="914"/>
      <c r="JKS29" s="914"/>
      <c r="JKT29" s="914"/>
      <c r="JKU29" s="914"/>
      <c r="JKV29" s="914"/>
      <c r="JKW29" s="914"/>
      <c r="JKX29" s="914"/>
      <c r="JKY29" s="911"/>
      <c r="JKZ29" s="911"/>
      <c r="JLA29" s="911"/>
      <c r="JLB29" s="915"/>
      <c r="JLC29" s="914"/>
      <c r="JLD29" s="914"/>
      <c r="JLE29" s="914"/>
      <c r="JLF29" s="914"/>
      <c r="JLG29" s="914"/>
      <c r="JLH29" s="914"/>
      <c r="JLI29" s="914"/>
      <c r="JLJ29" s="911"/>
      <c r="JLK29" s="911"/>
      <c r="JLL29" s="911"/>
      <c r="JLM29" s="915"/>
      <c r="JLN29" s="914"/>
      <c r="JLO29" s="914"/>
      <c r="JLP29" s="914"/>
      <c r="JLQ29" s="914"/>
      <c r="JLR29" s="914"/>
      <c r="JLS29" s="914"/>
      <c r="JLT29" s="914"/>
      <c r="JLU29" s="911"/>
      <c r="JLV29" s="911"/>
      <c r="JLW29" s="911"/>
      <c r="JLX29" s="915"/>
      <c r="JLY29" s="914"/>
      <c r="JLZ29" s="914"/>
      <c r="JMA29" s="914"/>
      <c r="JMB29" s="914"/>
      <c r="JMC29" s="914"/>
      <c r="JMD29" s="914"/>
      <c r="JME29" s="914"/>
      <c r="JMF29" s="911"/>
      <c r="JMG29" s="911"/>
      <c r="JMH29" s="911"/>
      <c r="JMI29" s="915"/>
      <c r="JMJ29" s="914"/>
      <c r="JMK29" s="914"/>
      <c r="JML29" s="914"/>
      <c r="JMM29" s="914"/>
      <c r="JMN29" s="914"/>
      <c r="JMO29" s="914"/>
      <c r="JMP29" s="914"/>
      <c r="JMQ29" s="911"/>
      <c r="JMR29" s="911"/>
      <c r="JMS29" s="911"/>
      <c r="JMT29" s="915"/>
      <c r="JMU29" s="914"/>
      <c r="JMV29" s="914"/>
      <c r="JMW29" s="914"/>
      <c r="JMX29" s="914"/>
      <c r="JMY29" s="914"/>
      <c r="JMZ29" s="914"/>
      <c r="JNA29" s="914"/>
      <c r="JNB29" s="911"/>
      <c r="JNC29" s="911"/>
      <c r="JND29" s="911"/>
      <c r="JNE29" s="915"/>
      <c r="JNF29" s="914"/>
      <c r="JNG29" s="914"/>
      <c r="JNH29" s="914"/>
      <c r="JNI29" s="914"/>
      <c r="JNJ29" s="914"/>
      <c r="JNK29" s="914"/>
      <c r="JNL29" s="914"/>
      <c r="JNM29" s="911"/>
      <c r="JNN29" s="911"/>
      <c r="JNO29" s="911"/>
      <c r="JNP29" s="915"/>
      <c r="JNQ29" s="914"/>
      <c r="JNR29" s="914"/>
      <c r="JNS29" s="914"/>
      <c r="JNT29" s="914"/>
      <c r="JNU29" s="914"/>
      <c r="JNV29" s="914"/>
      <c r="JNW29" s="914"/>
      <c r="JNX29" s="911"/>
      <c r="JNY29" s="911"/>
      <c r="JNZ29" s="911"/>
      <c r="JOA29" s="915"/>
      <c r="JOB29" s="914"/>
      <c r="JOC29" s="914"/>
      <c r="JOD29" s="914"/>
      <c r="JOE29" s="914"/>
      <c r="JOF29" s="914"/>
      <c r="JOG29" s="914"/>
      <c r="JOH29" s="914"/>
      <c r="JOI29" s="911"/>
      <c r="JOJ29" s="911"/>
      <c r="JOK29" s="911"/>
      <c r="JOL29" s="915"/>
      <c r="JOM29" s="914"/>
      <c r="JON29" s="914"/>
      <c r="JOO29" s="914"/>
      <c r="JOP29" s="914"/>
      <c r="JOQ29" s="914"/>
      <c r="JOR29" s="914"/>
      <c r="JOS29" s="914"/>
      <c r="JOT29" s="911"/>
      <c r="JOU29" s="911"/>
      <c r="JOV29" s="911"/>
      <c r="JOW29" s="915"/>
      <c r="JOX29" s="914"/>
      <c r="JOY29" s="914"/>
      <c r="JOZ29" s="914"/>
      <c r="JPA29" s="914"/>
      <c r="JPB29" s="914"/>
      <c r="JPC29" s="914"/>
      <c r="JPD29" s="914"/>
      <c r="JPE29" s="911"/>
      <c r="JPF29" s="911"/>
      <c r="JPG29" s="911"/>
      <c r="JPH29" s="915"/>
      <c r="JPI29" s="914"/>
      <c r="JPJ29" s="914"/>
      <c r="JPK29" s="914"/>
      <c r="JPL29" s="914"/>
      <c r="JPM29" s="914"/>
      <c r="JPN29" s="914"/>
      <c r="JPO29" s="914"/>
      <c r="JPP29" s="911"/>
      <c r="JPQ29" s="911"/>
      <c r="JPR29" s="911"/>
      <c r="JPS29" s="915"/>
      <c r="JPT29" s="914"/>
      <c r="JPU29" s="914"/>
      <c r="JPV29" s="914"/>
      <c r="JPW29" s="914"/>
      <c r="JPX29" s="914"/>
      <c r="JPY29" s="914"/>
      <c r="JPZ29" s="914"/>
      <c r="JQA29" s="911"/>
      <c r="JQB29" s="911"/>
      <c r="JQC29" s="911"/>
      <c r="JQD29" s="915"/>
      <c r="JQE29" s="914"/>
      <c r="JQF29" s="914"/>
      <c r="JQG29" s="914"/>
      <c r="JQH29" s="914"/>
      <c r="JQI29" s="914"/>
      <c r="JQJ29" s="914"/>
      <c r="JQK29" s="914"/>
      <c r="JQL29" s="911"/>
      <c r="JQM29" s="911"/>
      <c r="JQN29" s="911"/>
      <c r="JQO29" s="915"/>
      <c r="JQP29" s="914"/>
      <c r="JQQ29" s="914"/>
      <c r="JQR29" s="914"/>
      <c r="JQS29" s="914"/>
      <c r="JQT29" s="914"/>
      <c r="JQU29" s="914"/>
      <c r="JQV29" s="914"/>
      <c r="JQW29" s="911"/>
      <c r="JQX29" s="911"/>
      <c r="JQY29" s="911"/>
      <c r="JQZ29" s="915"/>
      <c r="JRA29" s="914"/>
      <c r="JRB29" s="914"/>
      <c r="JRC29" s="914"/>
      <c r="JRD29" s="914"/>
      <c r="JRE29" s="914"/>
      <c r="JRF29" s="914"/>
      <c r="JRG29" s="914"/>
      <c r="JRH29" s="911"/>
      <c r="JRI29" s="911"/>
      <c r="JRJ29" s="911"/>
      <c r="JRK29" s="915"/>
      <c r="JRL29" s="914"/>
      <c r="JRM29" s="914"/>
      <c r="JRN29" s="914"/>
      <c r="JRO29" s="914"/>
      <c r="JRP29" s="914"/>
      <c r="JRQ29" s="914"/>
      <c r="JRR29" s="914"/>
      <c r="JRS29" s="911"/>
      <c r="JRT29" s="911"/>
      <c r="JRU29" s="911"/>
      <c r="JRV29" s="915"/>
      <c r="JRW29" s="914"/>
      <c r="JRX29" s="914"/>
      <c r="JRY29" s="914"/>
      <c r="JRZ29" s="914"/>
      <c r="JSA29" s="914"/>
      <c r="JSB29" s="914"/>
      <c r="JSC29" s="914"/>
      <c r="JSD29" s="911"/>
      <c r="JSE29" s="911"/>
      <c r="JSF29" s="911"/>
      <c r="JSG29" s="915"/>
      <c r="JSH29" s="914"/>
      <c r="JSI29" s="914"/>
      <c r="JSJ29" s="914"/>
      <c r="JSK29" s="914"/>
      <c r="JSL29" s="914"/>
      <c r="JSM29" s="914"/>
      <c r="JSN29" s="914"/>
      <c r="JSO29" s="911"/>
      <c r="JSP29" s="911"/>
      <c r="JSQ29" s="911"/>
      <c r="JSR29" s="915"/>
      <c r="JSS29" s="914"/>
      <c r="JST29" s="914"/>
      <c r="JSU29" s="914"/>
      <c r="JSV29" s="914"/>
      <c r="JSW29" s="914"/>
      <c r="JSX29" s="914"/>
      <c r="JSY29" s="914"/>
      <c r="JSZ29" s="911"/>
      <c r="JTA29" s="911"/>
      <c r="JTB29" s="911"/>
      <c r="JTC29" s="915"/>
      <c r="JTD29" s="914"/>
      <c r="JTE29" s="914"/>
      <c r="JTF29" s="914"/>
      <c r="JTG29" s="914"/>
      <c r="JTH29" s="914"/>
      <c r="JTI29" s="914"/>
      <c r="JTJ29" s="914"/>
      <c r="JTK29" s="911"/>
      <c r="JTL29" s="911"/>
      <c r="JTM29" s="911"/>
      <c r="JTN29" s="915"/>
      <c r="JTO29" s="914"/>
      <c r="JTP29" s="914"/>
      <c r="JTQ29" s="914"/>
      <c r="JTR29" s="914"/>
      <c r="JTS29" s="914"/>
      <c r="JTT29" s="914"/>
      <c r="JTU29" s="914"/>
      <c r="JTV29" s="911"/>
      <c r="JTW29" s="911"/>
      <c r="JTX29" s="911"/>
      <c r="JTY29" s="915"/>
      <c r="JTZ29" s="914"/>
      <c r="JUA29" s="914"/>
      <c r="JUB29" s="914"/>
      <c r="JUC29" s="914"/>
      <c r="JUD29" s="914"/>
      <c r="JUE29" s="914"/>
      <c r="JUF29" s="914"/>
      <c r="JUG29" s="911"/>
      <c r="JUH29" s="911"/>
      <c r="JUI29" s="911"/>
      <c r="JUJ29" s="915"/>
      <c r="JUK29" s="914"/>
      <c r="JUL29" s="914"/>
      <c r="JUM29" s="914"/>
      <c r="JUN29" s="914"/>
      <c r="JUO29" s="914"/>
      <c r="JUP29" s="914"/>
      <c r="JUQ29" s="914"/>
      <c r="JUR29" s="911"/>
      <c r="JUS29" s="911"/>
      <c r="JUT29" s="911"/>
      <c r="JUU29" s="915"/>
      <c r="JUV29" s="914"/>
      <c r="JUW29" s="914"/>
      <c r="JUX29" s="914"/>
      <c r="JUY29" s="914"/>
      <c r="JUZ29" s="914"/>
      <c r="JVA29" s="914"/>
      <c r="JVB29" s="914"/>
      <c r="JVC29" s="911"/>
      <c r="JVD29" s="911"/>
      <c r="JVE29" s="911"/>
      <c r="JVF29" s="915"/>
      <c r="JVG29" s="914"/>
      <c r="JVH29" s="914"/>
      <c r="JVI29" s="914"/>
      <c r="JVJ29" s="914"/>
      <c r="JVK29" s="914"/>
      <c r="JVL29" s="914"/>
      <c r="JVM29" s="914"/>
      <c r="JVN29" s="911"/>
      <c r="JVO29" s="911"/>
      <c r="JVP29" s="911"/>
      <c r="JVQ29" s="915"/>
      <c r="JVR29" s="914"/>
      <c r="JVS29" s="914"/>
      <c r="JVT29" s="914"/>
      <c r="JVU29" s="914"/>
      <c r="JVV29" s="914"/>
      <c r="JVW29" s="914"/>
      <c r="JVX29" s="914"/>
      <c r="JVY29" s="911"/>
      <c r="JVZ29" s="911"/>
      <c r="JWA29" s="911"/>
      <c r="JWB29" s="915"/>
      <c r="JWC29" s="914"/>
      <c r="JWD29" s="914"/>
      <c r="JWE29" s="914"/>
      <c r="JWF29" s="914"/>
      <c r="JWG29" s="914"/>
      <c r="JWH29" s="914"/>
      <c r="JWI29" s="914"/>
      <c r="JWJ29" s="911"/>
      <c r="JWK29" s="911"/>
      <c r="JWL29" s="911"/>
      <c r="JWM29" s="915"/>
      <c r="JWN29" s="914"/>
      <c r="JWO29" s="914"/>
      <c r="JWP29" s="914"/>
      <c r="JWQ29" s="914"/>
      <c r="JWR29" s="914"/>
      <c r="JWS29" s="914"/>
      <c r="JWT29" s="914"/>
      <c r="JWU29" s="911"/>
      <c r="JWV29" s="911"/>
      <c r="JWW29" s="911"/>
      <c r="JWX29" s="915"/>
      <c r="JWY29" s="914"/>
      <c r="JWZ29" s="914"/>
      <c r="JXA29" s="914"/>
      <c r="JXB29" s="914"/>
      <c r="JXC29" s="914"/>
      <c r="JXD29" s="914"/>
      <c r="JXE29" s="914"/>
      <c r="JXF29" s="911"/>
      <c r="JXG29" s="911"/>
      <c r="JXH29" s="911"/>
      <c r="JXI29" s="915"/>
      <c r="JXJ29" s="914"/>
      <c r="JXK29" s="914"/>
      <c r="JXL29" s="914"/>
      <c r="JXM29" s="914"/>
      <c r="JXN29" s="914"/>
      <c r="JXO29" s="914"/>
      <c r="JXP29" s="914"/>
      <c r="JXQ29" s="911"/>
      <c r="JXR29" s="911"/>
      <c r="JXS29" s="911"/>
      <c r="JXT29" s="915"/>
      <c r="JXU29" s="914"/>
      <c r="JXV29" s="914"/>
      <c r="JXW29" s="914"/>
      <c r="JXX29" s="914"/>
      <c r="JXY29" s="914"/>
      <c r="JXZ29" s="914"/>
      <c r="JYA29" s="914"/>
      <c r="JYB29" s="911"/>
      <c r="JYC29" s="911"/>
      <c r="JYD29" s="911"/>
      <c r="JYE29" s="915"/>
      <c r="JYF29" s="914"/>
      <c r="JYG29" s="914"/>
      <c r="JYH29" s="914"/>
      <c r="JYI29" s="914"/>
      <c r="JYJ29" s="914"/>
      <c r="JYK29" s="914"/>
      <c r="JYL29" s="914"/>
      <c r="JYM29" s="911"/>
      <c r="JYN29" s="911"/>
      <c r="JYO29" s="911"/>
      <c r="JYP29" s="915"/>
      <c r="JYQ29" s="914"/>
      <c r="JYR29" s="914"/>
      <c r="JYS29" s="914"/>
      <c r="JYT29" s="914"/>
      <c r="JYU29" s="914"/>
      <c r="JYV29" s="914"/>
      <c r="JYW29" s="914"/>
      <c r="JYX29" s="911"/>
      <c r="JYY29" s="911"/>
      <c r="JYZ29" s="911"/>
      <c r="JZA29" s="915"/>
      <c r="JZB29" s="914"/>
      <c r="JZC29" s="914"/>
      <c r="JZD29" s="914"/>
      <c r="JZE29" s="914"/>
      <c r="JZF29" s="914"/>
      <c r="JZG29" s="914"/>
      <c r="JZH29" s="914"/>
      <c r="JZI29" s="911"/>
      <c r="JZJ29" s="911"/>
      <c r="JZK29" s="911"/>
      <c r="JZL29" s="915"/>
      <c r="JZM29" s="914"/>
      <c r="JZN29" s="914"/>
      <c r="JZO29" s="914"/>
      <c r="JZP29" s="914"/>
      <c r="JZQ29" s="914"/>
      <c r="JZR29" s="914"/>
      <c r="JZS29" s="914"/>
      <c r="JZT29" s="911"/>
      <c r="JZU29" s="911"/>
      <c r="JZV29" s="911"/>
      <c r="JZW29" s="915"/>
      <c r="JZX29" s="914"/>
      <c r="JZY29" s="914"/>
      <c r="JZZ29" s="914"/>
      <c r="KAA29" s="914"/>
      <c r="KAB29" s="914"/>
      <c r="KAC29" s="914"/>
      <c r="KAD29" s="914"/>
      <c r="KAE29" s="911"/>
      <c r="KAF29" s="911"/>
      <c r="KAG29" s="911"/>
      <c r="KAH29" s="915"/>
      <c r="KAI29" s="914"/>
      <c r="KAJ29" s="914"/>
      <c r="KAK29" s="914"/>
      <c r="KAL29" s="914"/>
      <c r="KAM29" s="914"/>
      <c r="KAN29" s="914"/>
      <c r="KAO29" s="914"/>
      <c r="KAP29" s="911"/>
      <c r="KAQ29" s="911"/>
      <c r="KAR29" s="911"/>
      <c r="KAS29" s="915"/>
      <c r="KAT29" s="914"/>
      <c r="KAU29" s="914"/>
      <c r="KAV29" s="914"/>
      <c r="KAW29" s="914"/>
      <c r="KAX29" s="914"/>
      <c r="KAY29" s="914"/>
      <c r="KAZ29" s="914"/>
      <c r="KBA29" s="911"/>
      <c r="KBB29" s="911"/>
      <c r="KBC29" s="911"/>
      <c r="KBD29" s="915"/>
      <c r="KBE29" s="914"/>
      <c r="KBF29" s="914"/>
      <c r="KBG29" s="914"/>
      <c r="KBH29" s="914"/>
      <c r="KBI29" s="914"/>
      <c r="KBJ29" s="914"/>
      <c r="KBK29" s="914"/>
      <c r="KBL29" s="911"/>
      <c r="KBM29" s="911"/>
      <c r="KBN29" s="911"/>
      <c r="KBO29" s="915"/>
      <c r="KBP29" s="914"/>
      <c r="KBQ29" s="914"/>
      <c r="KBR29" s="914"/>
      <c r="KBS29" s="914"/>
      <c r="KBT29" s="914"/>
      <c r="KBU29" s="914"/>
      <c r="KBV29" s="914"/>
      <c r="KBW29" s="911"/>
      <c r="KBX29" s="911"/>
      <c r="KBY29" s="911"/>
      <c r="KBZ29" s="915"/>
      <c r="KCA29" s="914"/>
      <c r="KCB29" s="914"/>
      <c r="KCC29" s="914"/>
      <c r="KCD29" s="914"/>
      <c r="KCE29" s="914"/>
      <c r="KCF29" s="914"/>
      <c r="KCG29" s="914"/>
      <c r="KCH29" s="911"/>
      <c r="KCI29" s="911"/>
      <c r="KCJ29" s="911"/>
      <c r="KCK29" s="915"/>
      <c r="KCL29" s="914"/>
      <c r="KCM29" s="914"/>
      <c r="KCN29" s="914"/>
      <c r="KCO29" s="914"/>
      <c r="KCP29" s="914"/>
      <c r="KCQ29" s="914"/>
      <c r="KCR29" s="914"/>
      <c r="KCS29" s="911"/>
      <c r="KCT29" s="911"/>
      <c r="KCU29" s="911"/>
      <c r="KCV29" s="915"/>
      <c r="KCW29" s="914"/>
      <c r="KCX29" s="914"/>
      <c r="KCY29" s="914"/>
      <c r="KCZ29" s="914"/>
      <c r="KDA29" s="914"/>
      <c r="KDB29" s="914"/>
      <c r="KDC29" s="914"/>
      <c r="KDD29" s="911"/>
      <c r="KDE29" s="911"/>
      <c r="KDF29" s="911"/>
      <c r="KDG29" s="915"/>
      <c r="KDH29" s="914"/>
      <c r="KDI29" s="914"/>
      <c r="KDJ29" s="914"/>
      <c r="KDK29" s="914"/>
      <c r="KDL29" s="914"/>
      <c r="KDM29" s="914"/>
      <c r="KDN29" s="914"/>
      <c r="KDO29" s="911"/>
      <c r="KDP29" s="911"/>
      <c r="KDQ29" s="911"/>
      <c r="KDR29" s="915"/>
      <c r="KDS29" s="914"/>
      <c r="KDT29" s="914"/>
      <c r="KDU29" s="914"/>
      <c r="KDV29" s="914"/>
      <c r="KDW29" s="914"/>
      <c r="KDX29" s="914"/>
      <c r="KDY29" s="914"/>
      <c r="KDZ29" s="911"/>
      <c r="KEA29" s="911"/>
      <c r="KEB29" s="911"/>
      <c r="KEC29" s="915"/>
      <c r="KED29" s="914"/>
      <c r="KEE29" s="914"/>
      <c r="KEF29" s="914"/>
      <c r="KEG29" s="914"/>
      <c r="KEH29" s="914"/>
      <c r="KEI29" s="914"/>
      <c r="KEJ29" s="914"/>
      <c r="KEK29" s="911"/>
      <c r="KEL29" s="911"/>
      <c r="KEM29" s="911"/>
      <c r="KEN29" s="915"/>
      <c r="KEO29" s="914"/>
      <c r="KEP29" s="914"/>
      <c r="KEQ29" s="914"/>
      <c r="KER29" s="914"/>
      <c r="KES29" s="914"/>
      <c r="KET29" s="914"/>
      <c r="KEU29" s="914"/>
      <c r="KEV29" s="911"/>
      <c r="KEW29" s="911"/>
      <c r="KEX29" s="911"/>
      <c r="KEY29" s="915"/>
      <c r="KEZ29" s="914"/>
      <c r="KFA29" s="914"/>
      <c r="KFB29" s="914"/>
      <c r="KFC29" s="914"/>
      <c r="KFD29" s="914"/>
      <c r="KFE29" s="914"/>
      <c r="KFF29" s="914"/>
      <c r="KFG29" s="911"/>
      <c r="KFH29" s="911"/>
      <c r="KFI29" s="911"/>
      <c r="KFJ29" s="915"/>
      <c r="KFK29" s="914"/>
      <c r="KFL29" s="914"/>
      <c r="KFM29" s="914"/>
      <c r="KFN29" s="914"/>
      <c r="KFO29" s="914"/>
      <c r="KFP29" s="914"/>
      <c r="KFQ29" s="914"/>
      <c r="KFR29" s="911"/>
      <c r="KFS29" s="911"/>
      <c r="KFT29" s="911"/>
      <c r="KFU29" s="915"/>
      <c r="KFV29" s="914"/>
      <c r="KFW29" s="914"/>
      <c r="KFX29" s="914"/>
      <c r="KFY29" s="914"/>
      <c r="KFZ29" s="914"/>
      <c r="KGA29" s="914"/>
      <c r="KGB29" s="914"/>
      <c r="KGC29" s="911"/>
      <c r="KGD29" s="911"/>
      <c r="KGE29" s="911"/>
      <c r="KGF29" s="915"/>
      <c r="KGG29" s="914"/>
      <c r="KGH29" s="914"/>
      <c r="KGI29" s="914"/>
      <c r="KGJ29" s="914"/>
      <c r="KGK29" s="914"/>
      <c r="KGL29" s="914"/>
      <c r="KGM29" s="914"/>
      <c r="KGN29" s="911"/>
      <c r="KGO29" s="911"/>
      <c r="KGP29" s="911"/>
      <c r="KGQ29" s="915"/>
      <c r="KGR29" s="914"/>
      <c r="KGS29" s="914"/>
      <c r="KGT29" s="914"/>
      <c r="KGU29" s="914"/>
      <c r="KGV29" s="914"/>
      <c r="KGW29" s="914"/>
      <c r="KGX29" s="914"/>
      <c r="KGY29" s="911"/>
      <c r="KGZ29" s="911"/>
      <c r="KHA29" s="911"/>
      <c r="KHB29" s="915"/>
      <c r="KHC29" s="914"/>
      <c r="KHD29" s="914"/>
      <c r="KHE29" s="914"/>
      <c r="KHF29" s="914"/>
      <c r="KHG29" s="914"/>
      <c r="KHH29" s="914"/>
      <c r="KHI29" s="914"/>
      <c r="KHJ29" s="911"/>
      <c r="KHK29" s="911"/>
      <c r="KHL29" s="911"/>
      <c r="KHM29" s="915"/>
      <c r="KHN29" s="914"/>
      <c r="KHO29" s="914"/>
      <c r="KHP29" s="914"/>
      <c r="KHQ29" s="914"/>
      <c r="KHR29" s="914"/>
      <c r="KHS29" s="914"/>
      <c r="KHT29" s="914"/>
      <c r="KHU29" s="911"/>
      <c r="KHV29" s="911"/>
      <c r="KHW29" s="911"/>
      <c r="KHX29" s="915"/>
      <c r="KHY29" s="914"/>
      <c r="KHZ29" s="914"/>
      <c r="KIA29" s="914"/>
      <c r="KIB29" s="914"/>
      <c r="KIC29" s="914"/>
      <c r="KID29" s="914"/>
      <c r="KIE29" s="914"/>
      <c r="KIF29" s="911"/>
      <c r="KIG29" s="911"/>
      <c r="KIH29" s="911"/>
      <c r="KII29" s="915"/>
      <c r="KIJ29" s="914"/>
      <c r="KIK29" s="914"/>
      <c r="KIL29" s="914"/>
      <c r="KIM29" s="914"/>
      <c r="KIN29" s="914"/>
      <c r="KIO29" s="914"/>
      <c r="KIP29" s="914"/>
      <c r="KIQ29" s="911"/>
      <c r="KIR29" s="911"/>
      <c r="KIS29" s="911"/>
      <c r="KIT29" s="915"/>
      <c r="KIU29" s="914"/>
      <c r="KIV29" s="914"/>
      <c r="KIW29" s="914"/>
      <c r="KIX29" s="914"/>
      <c r="KIY29" s="914"/>
      <c r="KIZ29" s="914"/>
      <c r="KJA29" s="914"/>
      <c r="KJB29" s="911"/>
      <c r="KJC29" s="911"/>
      <c r="KJD29" s="911"/>
      <c r="KJE29" s="915"/>
      <c r="KJF29" s="914"/>
      <c r="KJG29" s="914"/>
      <c r="KJH29" s="914"/>
      <c r="KJI29" s="914"/>
      <c r="KJJ29" s="914"/>
      <c r="KJK29" s="914"/>
      <c r="KJL29" s="914"/>
      <c r="KJM29" s="911"/>
      <c r="KJN29" s="911"/>
      <c r="KJO29" s="911"/>
      <c r="KJP29" s="915"/>
      <c r="KJQ29" s="914"/>
      <c r="KJR29" s="914"/>
      <c r="KJS29" s="914"/>
      <c r="KJT29" s="914"/>
      <c r="KJU29" s="914"/>
      <c r="KJV29" s="914"/>
      <c r="KJW29" s="914"/>
      <c r="KJX29" s="911"/>
      <c r="KJY29" s="911"/>
      <c r="KJZ29" s="911"/>
      <c r="KKA29" s="915"/>
      <c r="KKB29" s="914"/>
      <c r="KKC29" s="914"/>
      <c r="KKD29" s="914"/>
      <c r="KKE29" s="914"/>
      <c r="KKF29" s="914"/>
      <c r="KKG29" s="914"/>
      <c r="KKH29" s="914"/>
      <c r="KKI29" s="911"/>
      <c r="KKJ29" s="911"/>
      <c r="KKK29" s="911"/>
      <c r="KKL29" s="915"/>
      <c r="KKM29" s="914"/>
      <c r="KKN29" s="914"/>
      <c r="KKO29" s="914"/>
      <c r="KKP29" s="914"/>
      <c r="KKQ29" s="914"/>
      <c r="KKR29" s="914"/>
      <c r="KKS29" s="914"/>
      <c r="KKT29" s="911"/>
      <c r="KKU29" s="911"/>
      <c r="KKV29" s="911"/>
      <c r="KKW29" s="915"/>
      <c r="KKX29" s="914"/>
      <c r="KKY29" s="914"/>
      <c r="KKZ29" s="914"/>
      <c r="KLA29" s="914"/>
      <c r="KLB29" s="914"/>
      <c r="KLC29" s="914"/>
      <c r="KLD29" s="914"/>
      <c r="KLE29" s="911"/>
      <c r="KLF29" s="911"/>
      <c r="KLG29" s="911"/>
      <c r="KLH29" s="915"/>
      <c r="KLI29" s="914"/>
      <c r="KLJ29" s="914"/>
      <c r="KLK29" s="914"/>
      <c r="KLL29" s="914"/>
      <c r="KLM29" s="914"/>
      <c r="KLN29" s="914"/>
      <c r="KLO29" s="914"/>
      <c r="KLP29" s="911"/>
      <c r="KLQ29" s="911"/>
      <c r="KLR29" s="911"/>
      <c r="KLS29" s="915"/>
      <c r="KLT29" s="914"/>
      <c r="KLU29" s="914"/>
      <c r="KLV29" s="914"/>
      <c r="KLW29" s="914"/>
      <c r="KLX29" s="914"/>
      <c r="KLY29" s="914"/>
      <c r="KLZ29" s="914"/>
      <c r="KMA29" s="911"/>
      <c r="KMB29" s="911"/>
      <c r="KMC29" s="911"/>
      <c r="KMD29" s="915"/>
      <c r="KME29" s="914"/>
      <c r="KMF29" s="914"/>
      <c r="KMG29" s="914"/>
      <c r="KMH29" s="914"/>
      <c r="KMI29" s="914"/>
      <c r="KMJ29" s="914"/>
      <c r="KMK29" s="914"/>
      <c r="KML29" s="911"/>
      <c r="KMM29" s="911"/>
      <c r="KMN29" s="911"/>
      <c r="KMO29" s="915"/>
      <c r="KMP29" s="914"/>
      <c r="KMQ29" s="914"/>
      <c r="KMR29" s="914"/>
      <c r="KMS29" s="914"/>
      <c r="KMT29" s="914"/>
      <c r="KMU29" s="914"/>
      <c r="KMV29" s="914"/>
      <c r="KMW29" s="911"/>
      <c r="KMX29" s="911"/>
      <c r="KMY29" s="911"/>
      <c r="KMZ29" s="915"/>
      <c r="KNA29" s="914"/>
      <c r="KNB29" s="914"/>
      <c r="KNC29" s="914"/>
      <c r="KND29" s="914"/>
      <c r="KNE29" s="914"/>
      <c r="KNF29" s="914"/>
      <c r="KNG29" s="914"/>
      <c r="KNH29" s="911"/>
      <c r="KNI29" s="911"/>
      <c r="KNJ29" s="911"/>
      <c r="KNK29" s="915"/>
      <c r="KNL29" s="914"/>
      <c r="KNM29" s="914"/>
      <c r="KNN29" s="914"/>
      <c r="KNO29" s="914"/>
      <c r="KNP29" s="914"/>
      <c r="KNQ29" s="914"/>
      <c r="KNR29" s="914"/>
      <c r="KNS29" s="911"/>
      <c r="KNT29" s="911"/>
      <c r="KNU29" s="911"/>
      <c r="KNV29" s="915"/>
      <c r="KNW29" s="914"/>
      <c r="KNX29" s="914"/>
      <c r="KNY29" s="914"/>
      <c r="KNZ29" s="914"/>
      <c r="KOA29" s="914"/>
      <c r="KOB29" s="914"/>
      <c r="KOC29" s="914"/>
      <c r="KOD29" s="911"/>
      <c r="KOE29" s="911"/>
      <c r="KOF29" s="911"/>
      <c r="KOG29" s="915"/>
      <c r="KOH29" s="914"/>
      <c r="KOI29" s="914"/>
      <c r="KOJ29" s="914"/>
      <c r="KOK29" s="914"/>
      <c r="KOL29" s="914"/>
      <c r="KOM29" s="914"/>
      <c r="KON29" s="914"/>
      <c r="KOO29" s="911"/>
      <c r="KOP29" s="911"/>
      <c r="KOQ29" s="911"/>
      <c r="KOR29" s="915"/>
      <c r="KOS29" s="914"/>
      <c r="KOT29" s="914"/>
      <c r="KOU29" s="914"/>
      <c r="KOV29" s="914"/>
      <c r="KOW29" s="914"/>
      <c r="KOX29" s="914"/>
      <c r="KOY29" s="914"/>
      <c r="KOZ29" s="911"/>
      <c r="KPA29" s="911"/>
      <c r="KPB29" s="911"/>
      <c r="KPC29" s="915"/>
      <c r="KPD29" s="914"/>
      <c r="KPE29" s="914"/>
      <c r="KPF29" s="914"/>
      <c r="KPG29" s="914"/>
      <c r="KPH29" s="914"/>
      <c r="KPI29" s="914"/>
      <c r="KPJ29" s="914"/>
      <c r="KPK29" s="911"/>
      <c r="KPL29" s="911"/>
      <c r="KPM29" s="911"/>
      <c r="KPN29" s="915"/>
      <c r="KPO29" s="914"/>
      <c r="KPP29" s="914"/>
      <c r="KPQ29" s="914"/>
      <c r="KPR29" s="914"/>
      <c r="KPS29" s="914"/>
      <c r="KPT29" s="914"/>
      <c r="KPU29" s="914"/>
      <c r="KPV29" s="911"/>
      <c r="KPW29" s="911"/>
      <c r="KPX29" s="911"/>
      <c r="KPY29" s="915"/>
      <c r="KPZ29" s="914"/>
      <c r="KQA29" s="914"/>
      <c r="KQB29" s="914"/>
      <c r="KQC29" s="914"/>
      <c r="KQD29" s="914"/>
      <c r="KQE29" s="914"/>
      <c r="KQF29" s="914"/>
      <c r="KQG29" s="911"/>
      <c r="KQH29" s="911"/>
      <c r="KQI29" s="911"/>
      <c r="KQJ29" s="915"/>
      <c r="KQK29" s="914"/>
      <c r="KQL29" s="914"/>
      <c r="KQM29" s="914"/>
      <c r="KQN29" s="914"/>
      <c r="KQO29" s="914"/>
      <c r="KQP29" s="914"/>
      <c r="KQQ29" s="914"/>
      <c r="KQR29" s="911"/>
      <c r="KQS29" s="911"/>
      <c r="KQT29" s="911"/>
      <c r="KQU29" s="915"/>
      <c r="KQV29" s="914"/>
      <c r="KQW29" s="914"/>
      <c r="KQX29" s="914"/>
      <c r="KQY29" s="914"/>
      <c r="KQZ29" s="914"/>
      <c r="KRA29" s="914"/>
      <c r="KRB29" s="914"/>
      <c r="KRC29" s="911"/>
      <c r="KRD29" s="911"/>
      <c r="KRE29" s="911"/>
      <c r="KRF29" s="915"/>
      <c r="KRG29" s="914"/>
      <c r="KRH29" s="914"/>
      <c r="KRI29" s="914"/>
      <c r="KRJ29" s="914"/>
      <c r="KRK29" s="914"/>
      <c r="KRL29" s="914"/>
      <c r="KRM29" s="914"/>
      <c r="KRN29" s="911"/>
      <c r="KRO29" s="911"/>
      <c r="KRP29" s="911"/>
      <c r="KRQ29" s="915"/>
      <c r="KRR29" s="914"/>
      <c r="KRS29" s="914"/>
      <c r="KRT29" s="914"/>
      <c r="KRU29" s="914"/>
      <c r="KRV29" s="914"/>
      <c r="KRW29" s="914"/>
      <c r="KRX29" s="914"/>
      <c r="KRY29" s="911"/>
      <c r="KRZ29" s="911"/>
      <c r="KSA29" s="911"/>
      <c r="KSB29" s="915"/>
      <c r="KSC29" s="914"/>
      <c r="KSD29" s="914"/>
      <c r="KSE29" s="914"/>
      <c r="KSF29" s="914"/>
      <c r="KSG29" s="914"/>
      <c r="KSH29" s="914"/>
      <c r="KSI29" s="914"/>
      <c r="KSJ29" s="911"/>
      <c r="KSK29" s="911"/>
      <c r="KSL29" s="911"/>
      <c r="KSM29" s="915"/>
      <c r="KSN29" s="914"/>
      <c r="KSO29" s="914"/>
      <c r="KSP29" s="914"/>
      <c r="KSQ29" s="914"/>
      <c r="KSR29" s="914"/>
      <c r="KSS29" s="914"/>
      <c r="KST29" s="914"/>
      <c r="KSU29" s="911"/>
      <c r="KSV29" s="911"/>
      <c r="KSW29" s="911"/>
      <c r="KSX29" s="915"/>
      <c r="KSY29" s="914"/>
      <c r="KSZ29" s="914"/>
      <c r="KTA29" s="914"/>
      <c r="KTB29" s="914"/>
      <c r="KTC29" s="914"/>
      <c r="KTD29" s="914"/>
      <c r="KTE29" s="914"/>
      <c r="KTF29" s="911"/>
      <c r="KTG29" s="911"/>
      <c r="KTH29" s="911"/>
      <c r="KTI29" s="915"/>
      <c r="KTJ29" s="914"/>
      <c r="KTK29" s="914"/>
      <c r="KTL29" s="914"/>
      <c r="KTM29" s="914"/>
      <c r="KTN29" s="914"/>
      <c r="KTO29" s="914"/>
      <c r="KTP29" s="914"/>
      <c r="KTQ29" s="911"/>
      <c r="KTR29" s="911"/>
      <c r="KTS29" s="911"/>
      <c r="KTT29" s="915"/>
      <c r="KTU29" s="914"/>
      <c r="KTV29" s="914"/>
      <c r="KTW29" s="914"/>
      <c r="KTX29" s="914"/>
      <c r="KTY29" s="914"/>
      <c r="KTZ29" s="914"/>
      <c r="KUA29" s="914"/>
      <c r="KUB29" s="911"/>
      <c r="KUC29" s="911"/>
      <c r="KUD29" s="911"/>
      <c r="KUE29" s="915"/>
      <c r="KUF29" s="914"/>
      <c r="KUG29" s="914"/>
      <c r="KUH29" s="914"/>
      <c r="KUI29" s="914"/>
      <c r="KUJ29" s="914"/>
      <c r="KUK29" s="914"/>
      <c r="KUL29" s="914"/>
      <c r="KUM29" s="911"/>
      <c r="KUN29" s="911"/>
      <c r="KUO29" s="911"/>
      <c r="KUP29" s="915"/>
      <c r="KUQ29" s="914"/>
      <c r="KUR29" s="914"/>
      <c r="KUS29" s="914"/>
      <c r="KUT29" s="914"/>
      <c r="KUU29" s="914"/>
      <c r="KUV29" s="914"/>
      <c r="KUW29" s="914"/>
      <c r="KUX29" s="911"/>
      <c r="KUY29" s="911"/>
      <c r="KUZ29" s="911"/>
      <c r="KVA29" s="915"/>
      <c r="KVB29" s="914"/>
      <c r="KVC29" s="914"/>
      <c r="KVD29" s="914"/>
      <c r="KVE29" s="914"/>
      <c r="KVF29" s="914"/>
      <c r="KVG29" s="914"/>
      <c r="KVH29" s="914"/>
      <c r="KVI29" s="911"/>
      <c r="KVJ29" s="911"/>
      <c r="KVK29" s="911"/>
      <c r="KVL29" s="915"/>
      <c r="KVM29" s="914"/>
      <c r="KVN29" s="914"/>
      <c r="KVO29" s="914"/>
      <c r="KVP29" s="914"/>
      <c r="KVQ29" s="914"/>
      <c r="KVR29" s="914"/>
      <c r="KVS29" s="914"/>
      <c r="KVT29" s="911"/>
      <c r="KVU29" s="911"/>
      <c r="KVV29" s="911"/>
      <c r="KVW29" s="915"/>
      <c r="KVX29" s="914"/>
      <c r="KVY29" s="914"/>
      <c r="KVZ29" s="914"/>
      <c r="KWA29" s="914"/>
      <c r="KWB29" s="914"/>
      <c r="KWC29" s="914"/>
      <c r="KWD29" s="914"/>
      <c r="KWE29" s="911"/>
      <c r="KWF29" s="911"/>
      <c r="KWG29" s="911"/>
      <c r="KWH29" s="915"/>
      <c r="KWI29" s="914"/>
      <c r="KWJ29" s="914"/>
      <c r="KWK29" s="914"/>
      <c r="KWL29" s="914"/>
      <c r="KWM29" s="914"/>
      <c r="KWN29" s="914"/>
      <c r="KWO29" s="914"/>
      <c r="KWP29" s="911"/>
      <c r="KWQ29" s="911"/>
      <c r="KWR29" s="911"/>
      <c r="KWS29" s="915"/>
      <c r="KWT29" s="914"/>
      <c r="KWU29" s="914"/>
      <c r="KWV29" s="914"/>
      <c r="KWW29" s="914"/>
      <c r="KWX29" s="914"/>
      <c r="KWY29" s="914"/>
      <c r="KWZ29" s="914"/>
      <c r="KXA29" s="911"/>
      <c r="KXB29" s="911"/>
      <c r="KXC29" s="911"/>
      <c r="KXD29" s="915"/>
      <c r="KXE29" s="914"/>
      <c r="KXF29" s="914"/>
      <c r="KXG29" s="914"/>
      <c r="KXH29" s="914"/>
      <c r="KXI29" s="914"/>
      <c r="KXJ29" s="914"/>
      <c r="KXK29" s="914"/>
      <c r="KXL29" s="911"/>
      <c r="KXM29" s="911"/>
      <c r="KXN29" s="911"/>
      <c r="KXO29" s="915"/>
      <c r="KXP29" s="914"/>
      <c r="KXQ29" s="914"/>
      <c r="KXR29" s="914"/>
      <c r="KXS29" s="914"/>
      <c r="KXT29" s="914"/>
      <c r="KXU29" s="914"/>
      <c r="KXV29" s="914"/>
      <c r="KXW29" s="911"/>
      <c r="KXX29" s="911"/>
      <c r="KXY29" s="911"/>
      <c r="KXZ29" s="915"/>
      <c r="KYA29" s="914"/>
      <c r="KYB29" s="914"/>
      <c r="KYC29" s="914"/>
      <c r="KYD29" s="914"/>
      <c r="KYE29" s="914"/>
      <c r="KYF29" s="914"/>
      <c r="KYG29" s="914"/>
      <c r="KYH29" s="911"/>
      <c r="KYI29" s="911"/>
      <c r="KYJ29" s="911"/>
      <c r="KYK29" s="915"/>
      <c r="KYL29" s="914"/>
      <c r="KYM29" s="914"/>
      <c r="KYN29" s="914"/>
      <c r="KYO29" s="914"/>
      <c r="KYP29" s="914"/>
      <c r="KYQ29" s="914"/>
      <c r="KYR29" s="914"/>
      <c r="KYS29" s="911"/>
      <c r="KYT29" s="911"/>
      <c r="KYU29" s="911"/>
      <c r="KYV29" s="915"/>
      <c r="KYW29" s="914"/>
      <c r="KYX29" s="914"/>
      <c r="KYY29" s="914"/>
      <c r="KYZ29" s="914"/>
      <c r="KZA29" s="914"/>
      <c r="KZB29" s="914"/>
      <c r="KZC29" s="914"/>
      <c r="KZD29" s="911"/>
      <c r="KZE29" s="911"/>
      <c r="KZF29" s="911"/>
      <c r="KZG29" s="915"/>
      <c r="KZH29" s="914"/>
      <c r="KZI29" s="914"/>
      <c r="KZJ29" s="914"/>
      <c r="KZK29" s="914"/>
      <c r="KZL29" s="914"/>
      <c r="KZM29" s="914"/>
      <c r="KZN29" s="914"/>
      <c r="KZO29" s="911"/>
      <c r="KZP29" s="911"/>
      <c r="KZQ29" s="911"/>
      <c r="KZR29" s="915"/>
      <c r="KZS29" s="914"/>
      <c r="KZT29" s="914"/>
      <c r="KZU29" s="914"/>
      <c r="KZV29" s="914"/>
      <c r="KZW29" s="914"/>
      <c r="KZX29" s="914"/>
      <c r="KZY29" s="914"/>
      <c r="KZZ29" s="911"/>
      <c r="LAA29" s="911"/>
      <c r="LAB29" s="911"/>
      <c r="LAC29" s="915"/>
      <c r="LAD29" s="914"/>
      <c r="LAE29" s="914"/>
      <c r="LAF29" s="914"/>
      <c r="LAG29" s="914"/>
      <c r="LAH29" s="914"/>
      <c r="LAI29" s="914"/>
      <c r="LAJ29" s="914"/>
      <c r="LAK29" s="911"/>
      <c r="LAL29" s="911"/>
      <c r="LAM29" s="911"/>
      <c r="LAN29" s="915"/>
      <c r="LAO29" s="914"/>
      <c r="LAP29" s="914"/>
      <c r="LAQ29" s="914"/>
      <c r="LAR29" s="914"/>
      <c r="LAS29" s="914"/>
      <c r="LAT29" s="914"/>
      <c r="LAU29" s="914"/>
      <c r="LAV29" s="911"/>
      <c r="LAW29" s="911"/>
      <c r="LAX29" s="911"/>
      <c r="LAY29" s="915"/>
      <c r="LAZ29" s="914"/>
      <c r="LBA29" s="914"/>
      <c r="LBB29" s="914"/>
      <c r="LBC29" s="914"/>
      <c r="LBD29" s="914"/>
      <c r="LBE29" s="914"/>
      <c r="LBF29" s="914"/>
      <c r="LBG29" s="911"/>
      <c r="LBH29" s="911"/>
      <c r="LBI29" s="911"/>
      <c r="LBJ29" s="915"/>
      <c r="LBK29" s="914"/>
      <c r="LBL29" s="914"/>
      <c r="LBM29" s="914"/>
      <c r="LBN29" s="914"/>
      <c r="LBO29" s="914"/>
      <c r="LBP29" s="914"/>
      <c r="LBQ29" s="914"/>
      <c r="LBR29" s="911"/>
      <c r="LBS29" s="911"/>
      <c r="LBT29" s="911"/>
      <c r="LBU29" s="915"/>
      <c r="LBV29" s="914"/>
      <c r="LBW29" s="914"/>
      <c r="LBX29" s="914"/>
      <c r="LBY29" s="914"/>
      <c r="LBZ29" s="914"/>
      <c r="LCA29" s="914"/>
      <c r="LCB29" s="914"/>
      <c r="LCC29" s="911"/>
      <c r="LCD29" s="911"/>
      <c r="LCE29" s="911"/>
      <c r="LCF29" s="915"/>
      <c r="LCG29" s="914"/>
      <c r="LCH29" s="914"/>
      <c r="LCI29" s="914"/>
      <c r="LCJ29" s="914"/>
      <c r="LCK29" s="914"/>
      <c r="LCL29" s="914"/>
      <c r="LCM29" s="914"/>
      <c r="LCN29" s="911"/>
      <c r="LCO29" s="911"/>
      <c r="LCP29" s="911"/>
      <c r="LCQ29" s="915"/>
      <c r="LCR29" s="914"/>
      <c r="LCS29" s="914"/>
      <c r="LCT29" s="914"/>
      <c r="LCU29" s="914"/>
      <c r="LCV29" s="914"/>
      <c r="LCW29" s="914"/>
      <c r="LCX29" s="914"/>
      <c r="LCY29" s="911"/>
      <c r="LCZ29" s="911"/>
      <c r="LDA29" s="911"/>
      <c r="LDB29" s="915"/>
      <c r="LDC29" s="914"/>
      <c r="LDD29" s="914"/>
      <c r="LDE29" s="914"/>
      <c r="LDF29" s="914"/>
      <c r="LDG29" s="914"/>
      <c r="LDH29" s="914"/>
      <c r="LDI29" s="914"/>
      <c r="LDJ29" s="911"/>
      <c r="LDK29" s="911"/>
      <c r="LDL29" s="911"/>
      <c r="LDM29" s="915"/>
      <c r="LDN29" s="914"/>
      <c r="LDO29" s="914"/>
      <c r="LDP29" s="914"/>
      <c r="LDQ29" s="914"/>
      <c r="LDR29" s="914"/>
      <c r="LDS29" s="914"/>
      <c r="LDT29" s="914"/>
      <c r="LDU29" s="911"/>
      <c r="LDV29" s="911"/>
      <c r="LDW29" s="911"/>
      <c r="LDX29" s="915"/>
      <c r="LDY29" s="914"/>
      <c r="LDZ29" s="914"/>
      <c r="LEA29" s="914"/>
      <c r="LEB29" s="914"/>
      <c r="LEC29" s="914"/>
      <c r="LED29" s="914"/>
      <c r="LEE29" s="914"/>
      <c r="LEF29" s="911"/>
      <c r="LEG29" s="911"/>
      <c r="LEH29" s="911"/>
      <c r="LEI29" s="915"/>
      <c r="LEJ29" s="914"/>
      <c r="LEK29" s="914"/>
      <c r="LEL29" s="914"/>
      <c r="LEM29" s="914"/>
      <c r="LEN29" s="914"/>
      <c r="LEO29" s="914"/>
      <c r="LEP29" s="914"/>
      <c r="LEQ29" s="911"/>
      <c r="LER29" s="911"/>
      <c r="LES29" s="911"/>
      <c r="LET29" s="915"/>
      <c r="LEU29" s="914"/>
      <c r="LEV29" s="914"/>
      <c r="LEW29" s="914"/>
      <c r="LEX29" s="914"/>
      <c r="LEY29" s="914"/>
      <c r="LEZ29" s="914"/>
      <c r="LFA29" s="914"/>
      <c r="LFB29" s="911"/>
      <c r="LFC29" s="911"/>
      <c r="LFD29" s="911"/>
      <c r="LFE29" s="915"/>
      <c r="LFF29" s="914"/>
      <c r="LFG29" s="914"/>
      <c r="LFH29" s="914"/>
      <c r="LFI29" s="914"/>
      <c r="LFJ29" s="914"/>
      <c r="LFK29" s="914"/>
      <c r="LFL29" s="914"/>
      <c r="LFM29" s="911"/>
      <c r="LFN29" s="911"/>
      <c r="LFO29" s="911"/>
      <c r="LFP29" s="915"/>
      <c r="LFQ29" s="914"/>
      <c r="LFR29" s="914"/>
      <c r="LFS29" s="914"/>
      <c r="LFT29" s="914"/>
      <c r="LFU29" s="914"/>
      <c r="LFV29" s="914"/>
      <c r="LFW29" s="914"/>
      <c r="LFX29" s="911"/>
      <c r="LFY29" s="911"/>
      <c r="LFZ29" s="911"/>
      <c r="LGA29" s="915"/>
      <c r="LGB29" s="914"/>
      <c r="LGC29" s="914"/>
      <c r="LGD29" s="914"/>
      <c r="LGE29" s="914"/>
      <c r="LGF29" s="914"/>
      <c r="LGG29" s="914"/>
      <c r="LGH29" s="914"/>
      <c r="LGI29" s="911"/>
      <c r="LGJ29" s="911"/>
      <c r="LGK29" s="911"/>
      <c r="LGL29" s="915"/>
      <c r="LGM29" s="914"/>
      <c r="LGN29" s="914"/>
      <c r="LGO29" s="914"/>
      <c r="LGP29" s="914"/>
      <c r="LGQ29" s="914"/>
      <c r="LGR29" s="914"/>
      <c r="LGS29" s="914"/>
      <c r="LGT29" s="911"/>
      <c r="LGU29" s="911"/>
      <c r="LGV29" s="911"/>
      <c r="LGW29" s="915"/>
      <c r="LGX29" s="914"/>
      <c r="LGY29" s="914"/>
      <c r="LGZ29" s="914"/>
      <c r="LHA29" s="914"/>
      <c r="LHB29" s="914"/>
      <c r="LHC29" s="914"/>
      <c r="LHD29" s="914"/>
      <c r="LHE29" s="911"/>
      <c r="LHF29" s="911"/>
      <c r="LHG29" s="911"/>
      <c r="LHH29" s="915"/>
      <c r="LHI29" s="914"/>
      <c r="LHJ29" s="914"/>
      <c r="LHK29" s="914"/>
      <c r="LHL29" s="914"/>
      <c r="LHM29" s="914"/>
      <c r="LHN29" s="914"/>
      <c r="LHO29" s="914"/>
      <c r="LHP29" s="911"/>
      <c r="LHQ29" s="911"/>
      <c r="LHR29" s="911"/>
      <c r="LHS29" s="915"/>
      <c r="LHT29" s="914"/>
      <c r="LHU29" s="914"/>
      <c r="LHV29" s="914"/>
      <c r="LHW29" s="914"/>
      <c r="LHX29" s="914"/>
      <c r="LHY29" s="914"/>
      <c r="LHZ29" s="914"/>
      <c r="LIA29" s="911"/>
      <c r="LIB29" s="911"/>
      <c r="LIC29" s="911"/>
      <c r="LID29" s="915"/>
      <c r="LIE29" s="914"/>
      <c r="LIF29" s="914"/>
      <c r="LIG29" s="914"/>
      <c r="LIH29" s="914"/>
      <c r="LII29" s="914"/>
      <c r="LIJ29" s="914"/>
      <c r="LIK29" s="914"/>
      <c r="LIL29" s="911"/>
      <c r="LIM29" s="911"/>
      <c r="LIN29" s="911"/>
      <c r="LIO29" s="915"/>
      <c r="LIP29" s="914"/>
      <c r="LIQ29" s="914"/>
      <c r="LIR29" s="914"/>
      <c r="LIS29" s="914"/>
      <c r="LIT29" s="914"/>
      <c r="LIU29" s="914"/>
      <c r="LIV29" s="914"/>
      <c r="LIW29" s="911"/>
      <c r="LIX29" s="911"/>
      <c r="LIY29" s="911"/>
      <c r="LIZ29" s="915"/>
      <c r="LJA29" s="914"/>
      <c r="LJB29" s="914"/>
      <c r="LJC29" s="914"/>
      <c r="LJD29" s="914"/>
      <c r="LJE29" s="914"/>
      <c r="LJF29" s="914"/>
      <c r="LJG29" s="914"/>
      <c r="LJH29" s="911"/>
      <c r="LJI29" s="911"/>
      <c r="LJJ29" s="911"/>
      <c r="LJK29" s="915"/>
      <c r="LJL29" s="914"/>
      <c r="LJM29" s="914"/>
      <c r="LJN29" s="914"/>
      <c r="LJO29" s="914"/>
      <c r="LJP29" s="914"/>
      <c r="LJQ29" s="914"/>
      <c r="LJR29" s="914"/>
      <c r="LJS29" s="911"/>
      <c r="LJT29" s="911"/>
      <c r="LJU29" s="911"/>
      <c r="LJV29" s="915"/>
      <c r="LJW29" s="914"/>
      <c r="LJX29" s="914"/>
      <c r="LJY29" s="914"/>
      <c r="LJZ29" s="914"/>
      <c r="LKA29" s="914"/>
      <c r="LKB29" s="914"/>
      <c r="LKC29" s="914"/>
      <c r="LKD29" s="911"/>
      <c r="LKE29" s="911"/>
      <c r="LKF29" s="911"/>
      <c r="LKG29" s="915"/>
      <c r="LKH29" s="914"/>
      <c r="LKI29" s="914"/>
      <c r="LKJ29" s="914"/>
      <c r="LKK29" s="914"/>
      <c r="LKL29" s="914"/>
      <c r="LKM29" s="914"/>
      <c r="LKN29" s="914"/>
      <c r="LKO29" s="911"/>
      <c r="LKP29" s="911"/>
      <c r="LKQ29" s="911"/>
      <c r="LKR29" s="915"/>
      <c r="LKS29" s="914"/>
      <c r="LKT29" s="914"/>
      <c r="LKU29" s="914"/>
      <c r="LKV29" s="914"/>
      <c r="LKW29" s="914"/>
      <c r="LKX29" s="914"/>
      <c r="LKY29" s="914"/>
      <c r="LKZ29" s="911"/>
      <c r="LLA29" s="911"/>
      <c r="LLB29" s="911"/>
      <c r="LLC29" s="915"/>
      <c r="LLD29" s="914"/>
      <c r="LLE29" s="914"/>
      <c r="LLF29" s="914"/>
      <c r="LLG29" s="914"/>
      <c r="LLH29" s="914"/>
      <c r="LLI29" s="914"/>
      <c r="LLJ29" s="914"/>
      <c r="LLK29" s="911"/>
      <c r="LLL29" s="911"/>
      <c r="LLM29" s="911"/>
      <c r="LLN29" s="915"/>
      <c r="LLO29" s="914"/>
      <c r="LLP29" s="914"/>
      <c r="LLQ29" s="914"/>
      <c r="LLR29" s="914"/>
      <c r="LLS29" s="914"/>
      <c r="LLT29" s="914"/>
      <c r="LLU29" s="914"/>
      <c r="LLV29" s="911"/>
      <c r="LLW29" s="911"/>
      <c r="LLX29" s="911"/>
      <c r="LLY29" s="915"/>
      <c r="LLZ29" s="914"/>
      <c r="LMA29" s="914"/>
      <c r="LMB29" s="914"/>
      <c r="LMC29" s="914"/>
      <c r="LMD29" s="914"/>
      <c r="LME29" s="914"/>
      <c r="LMF29" s="914"/>
      <c r="LMG29" s="911"/>
      <c r="LMH29" s="911"/>
      <c r="LMI29" s="911"/>
      <c r="LMJ29" s="915"/>
      <c r="LMK29" s="914"/>
      <c r="LML29" s="914"/>
      <c r="LMM29" s="914"/>
      <c r="LMN29" s="914"/>
      <c r="LMO29" s="914"/>
      <c r="LMP29" s="914"/>
      <c r="LMQ29" s="914"/>
      <c r="LMR29" s="911"/>
      <c r="LMS29" s="911"/>
      <c r="LMT29" s="911"/>
      <c r="LMU29" s="915"/>
      <c r="LMV29" s="914"/>
      <c r="LMW29" s="914"/>
      <c r="LMX29" s="914"/>
      <c r="LMY29" s="914"/>
      <c r="LMZ29" s="914"/>
      <c r="LNA29" s="914"/>
      <c r="LNB29" s="914"/>
      <c r="LNC29" s="911"/>
      <c r="LND29" s="911"/>
      <c r="LNE29" s="911"/>
      <c r="LNF29" s="915"/>
      <c r="LNG29" s="914"/>
      <c r="LNH29" s="914"/>
      <c r="LNI29" s="914"/>
      <c r="LNJ29" s="914"/>
      <c r="LNK29" s="914"/>
      <c r="LNL29" s="914"/>
      <c r="LNM29" s="914"/>
      <c r="LNN29" s="911"/>
      <c r="LNO29" s="911"/>
      <c r="LNP29" s="911"/>
      <c r="LNQ29" s="915"/>
      <c r="LNR29" s="914"/>
      <c r="LNS29" s="914"/>
      <c r="LNT29" s="914"/>
      <c r="LNU29" s="914"/>
      <c r="LNV29" s="914"/>
      <c r="LNW29" s="914"/>
      <c r="LNX29" s="914"/>
      <c r="LNY29" s="911"/>
      <c r="LNZ29" s="911"/>
      <c r="LOA29" s="911"/>
      <c r="LOB29" s="915"/>
      <c r="LOC29" s="914"/>
      <c r="LOD29" s="914"/>
      <c r="LOE29" s="914"/>
      <c r="LOF29" s="914"/>
      <c r="LOG29" s="914"/>
      <c r="LOH29" s="914"/>
      <c r="LOI29" s="914"/>
      <c r="LOJ29" s="911"/>
      <c r="LOK29" s="911"/>
      <c r="LOL29" s="911"/>
      <c r="LOM29" s="915"/>
      <c r="LON29" s="914"/>
      <c r="LOO29" s="914"/>
      <c r="LOP29" s="914"/>
      <c r="LOQ29" s="914"/>
      <c r="LOR29" s="914"/>
      <c r="LOS29" s="914"/>
      <c r="LOT29" s="914"/>
      <c r="LOU29" s="911"/>
      <c r="LOV29" s="911"/>
      <c r="LOW29" s="911"/>
      <c r="LOX29" s="915"/>
      <c r="LOY29" s="914"/>
      <c r="LOZ29" s="914"/>
      <c r="LPA29" s="914"/>
      <c r="LPB29" s="914"/>
      <c r="LPC29" s="914"/>
      <c r="LPD29" s="914"/>
      <c r="LPE29" s="914"/>
      <c r="LPF29" s="911"/>
      <c r="LPG29" s="911"/>
      <c r="LPH29" s="911"/>
      <c r="LPI29" s="915"/>
      <c r="LPJ29" s="914"/>
      <c r="LPK29" s="914"/>
      <c r="LPL29" s="914"/>
      <c r="LPM29" s="914"/>
      <c r="LPN29" s="914"/>
      <c r="LPO29" s="914"/>
      <c r="LPP29" s="914"/>
      <c r="LPQ29" s="911"/>
      <c r="LPR29" s="911"/>
      <c r="LPS29" s="911"/>
      <c r="LPT29" s="915"/>
      <c r="LPU29" s="914"/>
      <c r="LPV29" s="914"/>
      <c r="LPW29" s="914"/>
      <c r="LPX29" s="914"/>
      <c r="LPY29" s="914"/>
      <c r="LPZ29" s="914"/>
      <c r="LQA29" s="914"/>
      <c r="LQB29" s="911"/>
      <c r="LQC29" s="911"/>
      <c r="LQD29" s="911"/>
      <c r="LQE29" s="915"/>
      <c r="LQF29" s="914"/>
      <c r="LQG29" s="914"/>
      <c r="LQH29" s="914"/>
      <c r="LQI29" s="914"/>
      <c r="LQJ29" s="914"/>
      <c r="LQK29" s="914"/>
      <c r="LQL29" s="914"/>
      <c r="LQM29" s="911"/>
      <c r="LQN29" s="911"/>
      <c r="LQO29" s="911"/>
      <c r="LQP29" s="915"/>
      <c r="LQQ29" s="914"/>
      <c r="LQR29" s="914"/>
      <c r="LQS29" s="914"/>
      <c r="LQT29" s="914"/>
      <c r="LQU29" s="914"/>
      <c r="LQV29" s="914"/>
      <c r="LQW29" s="914"/>
      <c r="LQX29" s="911"/>
      <c r="LQY29" s="911"/>
      <c r="LQZ29" s="911"/>
      <c r="LRA29" s="915"/>
      <c r="LRB29" s="914"/>
      <c r="LRC29" s="914"/>
      <c r="LRD29" s="914"/>
      <c r="LRE29" s="914"/>
      <c r="LRF29" s="914"/>
      <c r="LRG29" s="914"/>
      <c r="LRH29" s="914"/>
      <c r="LRI29" s="911"/>
      <c r="LRJ29" s="911"/>
      <c r="LRK29" s="911"/>
      <c r="LRL29" s="915"/>
      <c r="LRM29" s="914"/>
      <c r="LRN29" s="914"/>
      <c r="LRO29" s="914"/>
      <c r="LRP29" s="914"/>
      <c r="LRQ29" s="914"/>
      <c r="LRR29" s="914"/>
      <c r="LRS29" s="914"/>
      <c r="LRT29" s="911"/>
      <c r="LRU29" s="911"/>
      <c r="LRV29" s="911"/>
      <c r="LRW29" s="915"/>
      <c r="LRX29" s="914"/>
      <c r="LRY29" s="914"/>
      <c r="LRZ29" s="914"/>
      <c r="LSA29" s="914"/>
      <c r="LSB29" s="914"/>
      <c r="LSC29" s="914"/>
      <c r="LSD29" s="914"/>
      <c r="LSE29" s="911"/>
      <c r="LSF29" s="911"/>
      <c r="LSG29" s="911"/>
      <c r="LSH29" s="915"/>
      <c r="LSI29" s="914"/>
      <c r="LSJ29" s="914"/>
      <c r="LSK29" s="914"/>
      <c r="LSL29" s="914"/>
      <c r="LSM29" s="914"/>
      <c r="LSN29" s="914"/>
      <c r="LSO29" s="914"/>
      <c r="LSP29" s="911"/>
      <c r="LSQ29" s="911"/>
      <c r="LSR29" s="911"/>
      <c r="LSS29" s="915"/>
      <c r="LST29" s="914"/>
      <c r="LSU29" s="914"/>
      <c r="LSV29" s="914"/>
      <c r="LSW29" s="914"/>
      <c r="LSX29" s="914"/>
      <c r="LSY29" s="914"/>
      <c r="LSZ29" s="914"/>
      <c r="LTA29" s="911"/>
      <c r="LTB29" s="911"/>
      <c r="LTC29" s="911"/>
      <c r="LTD29" s="915"/>
      <c r="LTE29" s="914"/>
      <c r="LTF29" s="914"/>
      <c r="LTG29" s="914"/>
      <c r="LTH29" s="914"/>
      <c r="LTI29" s="914"/>
      <c r="LTJ29" s="914"/>
      <c r="LTK29" s="914"/>
      <c r="LTL29" s="911"/>
      <c r="LTM29" s="911"/>
      <c r="LTN29" s="911"/>
      <c r="LTO29" s="915"/>
      <c r="LTP29" s="914"/>
      <c r="LTQ29" s="914"/>
      <c r="LTR29" s="914"/>
      <c r="LTS29" s="914"/>
      <c r="LTT29" s="914"/>
      <c r="LTU29" s="914"/>
      <c r="LTV29" s="914"/>
      <c r="LTW29" s="911"/>
      <c r="LTX29" s="911"/>
      <c r="LTY29" s="911"/>
      <c r="LTZ29" s="915"/>
      <c r="LUA29" s="914"/>
      <c r="LUB29" s="914"/>
      <c r="LUC29" s="914"/>
      <c r="LUD29" s="914"/>
      <c r="LUE29" s="914"/>
      <c r="LUF29" s="914"/>
      <c r="LUG29" s="914"/>
      <c r="LUH29" s="911"/>
      <c r="LUI29" s="911"/>
      <c r="LUJ29" s="911"/>
      <c r="LUK29" s="915"/>
      <c r="LUL29" s="914"/>
      <c r="LUM29" s="914"/>
      <c r="LUN29" s="914"/>
      <c r="LUO29" s="914"/>
      <c r="LUP29" s="914"/>
      <c r="LUQ29" s="914"/>
      <c r="LUR29" s="914"/>
      <c r="LUS29" s="911"/>
      <c r="LUT29" s="911"/>
      <c r="LUU29" s="911"/>
      <c r="LUV29" s="915"/>
      <c r="LUW29" s="914"/>
      <c r="LUX29" s="914"/>
      <c r="LUY29" s="914"/>
      <c r="LUZ29" s="914"/>
      <c r="LVA29" s="914"/>
      <c r="LVB29" s="914"/>
      <c r="LVC29" s="914"/>
      <c r="LVD29" s="911"/>
      <c r="LVE29" s="911"/>
      <c r="LVF29" s="911"/>
      <c r="LVG29" s="915"/>
      <c r="LVH29" s="914"/>
      <c r="LVI29" s="914"/>
      <c r="LVJ29" s="914"/>
      <c r="LVK29" s="914"/>
      <c r="LVL29" s="914"/>
      <c r="LVM29" s="914"/>
      <c r="LVN29" s="914"/>
      <c r="LVO29" s="911"/>
      <c r="LVP29" s="911"/>
      <c r="LVQ29" s="911"/>
      <c r="LVR29" s="915"/>
      <c r="LVS29" s="914"/>
      <c r="LVT29" s="914"/>
      <c r="LVU29" s="914"/>
      <c r="LVV29" s="914"/>
      <c r="LVW29" s="914"/>
      <c r="LVX29" s="914"/>
      <c r="LVY29" s="914"/>
      <c r="LVZ29" s="911"/>
      <c r="LWA29" s="911"/>
      <c r="LWB29" s="911"/>
      <c r="LWC29" s="915"/>
      <c r="LWD29" s="914"/>
      <c r="LWE29" s="914"/>
      <c r="LWF29" s="914"/>
      <c r="LWG29" s="914"/>
      <c r="LWH29" s="914"/>
      <c r="LWI29" s="914"/>
      <c r="LWJ29" s="914"/>
      <c r="LWK29" s="911"/>
      <c r="LWL29" s="911"/>
      <c r="LWM29" s="911"/>
      <c r="LWN29" s="915"/>
      <c r="LWO29" s="914"/>
      <c r="LWP29" s="914"/>
      <c r="LWQ29" s="914"/>
      <c r="LWR29" s="914"/>
      <c r="LWS29" s="914"/>
      <c r="LWT29" s="914"/>
      <c r="LWU29" s="914"/>
      <c r="LWV29" s="911"/>
      <c r="LWW29" s="911"/>
      <c r="LWX29" s="911"/>
      <c r="LWY29" s="915"/>
      <c r="LWZ29" s="914"/>
      <c r="LXA29" s="914"/>
      <c r="LXB29" s="914"/>
      <c r="LXC29" s="914"/>
      <c r="LXD29" s="914"/>
      <c r="LXE29" s="914"/>
      <c r="LXF29" s="914"/>
      <c r="LXG29" s="911"/>
      <c r="LXH29" s="911"/>
      <c r="LXI29" s="911"/>
      <c r="LXJ29" s="915"/>
      <c r="LXK29" s="914"/>
      <c r="LXL29" s="914"/>
      <c r="LXM29" s="914"/>
      <c r="LXN29" s="914"/>
      <c r="LXO29" s="914"/>
      <c r="LXP29" s="914"/>
      <c r="LXQ29" s="914"/>
      <c r="LXR29" s="911"/>
      <c r="LXS29" s="911"/>
      <c r="LXT29" s="911"/>
      <c r="LXU29" s="915"/>
      <c r="LXV29" s="914"/>
      <c r="LXW29" s="914"/>
      <c r="LXX29" s="914"/>
      <c r="LXY29" s="914"/>
      <c r="LXZ29" s="914"/>
      <c r="LYA29" s="914"/>
      <c r="LYB29" s="914"/>
      <c r="LYC29" s="911"/>
      <c r="LYD29" s="911"/>
      <c r="LYE29" s="911"/>
      <c r="LYF29" s="915"/>
      <c r="LYG29" s="914"/>
      <c r="LYH29" s="914"/>
      <c r="LYI29" s="914"/>
      <c r="LYJ29" s="914"/>
      <c r="LYK29" s="914"/>
      <c r="LYL29" s="914"/>
      <c r="LYM29" s="914"/>
      <c r="LYN29" s="911"/>
      <c r="LYO29" s="911"/>
      <c r="LYP29" s="911"/>
      <c r="LYQ29" s="915"/>
      <c r="LYR29" s="914"/>
      <c r="LYS29" s="914"/>
      <c r="LYT29" s="914"/>
      <c r="LYU29" s="914"/>
      <c r="LYV29" s="914"/>
      <c r="LYW29" s="914"/>
      <c r="LYX29" s="914"/>
      <c r="LYY29" s="911"/>
      <c r="LYZ29" s="911"/>
      <c r="LZA29" s="911"/>
      <c r="LZB29" s="915"/>
      <c r="LZC29" s="914"/>
      <c r="LZD29" s="914"/>
      <c r="LZE29" s="914"/>
      <c r="LZF29" s="914"/>
      <c r="LZG29" s="914"/>
      <c r="LZH29" s="914"/>
      <c r="LZI29" s="914"/>
      <c r="LZJ29" s="911"/>
      <c r="LZK29" s="911"/>
      <c r="LZL29" s="911"/>
      <c r="LZM29" s="915"/>
      <c r="LZN29" s="914"/>
      <c r="LZO29" s="914"/>
      <c r="LZP29" s="914"/>
      <c r="LZQ29" s="914"/>
      <c r="LZR29" s="914"/>
      <c r="LZS29" s="914"/>
      <c r="LZT29" s="914"/>
      <c r="LZU29" s="911"/>
      <c r="LZV29" s="911"/>
      <c r="LZW29" s="911"/>
      <c r="LZX29" s="915"/>
      <c r="LZY29" s="914"/>
      <c r="LZZ29" s="914"/>
      <c r="MAA29" s="914"/>
      <c r="MAB29" s="914"/>
      <c r="MAC29" s="914"/>
      <c r="MAD29" s="914"/>
      <c r="MAE29" s="914"/>
      <c r="MAF29" s="911"/>
      <c r="MAG29" s="911"/>
      <c r="MAH29" s="911"/>
      <c r="MAI29" s="915"/>
      <c r="MAJ29" s="914"/>
      <c r="MAK29" s="914"/>
      <c r="MAL29" s="914"/>
      <c r="MAM29" s="914"/>
      <c r="MAN29" s="914"/>
      <c r="MAO29" s="914"/>
      <c r="MAP29" s="914"/>
      <c r="MAQ29" s="911"/>
      <c r="MAR29" s="911"/>
      <c r="MAS29" s="911"/>
      <c r="MAT29" s="915"/>
      <c r="MAU29" s="914"/>
      <c r="MAV29" s="914"/>
      <c r="MAW29" s="914"/>
      <c r="MAX29" s="914"/>
      <c r="MAY29" s="914"/>
      <c r="MAZ29" s="914"/>
      <c r="MBA29" s="914"/>
      <c r="MBB29" s="911"/>
      <c r="MBC29" s="911"/>
      <c r="MBD29" s="911"/>
      <c r="MBE29" s="915"/>
      <c r="MBF29" s="914"/>
      <c r="MBG29" s="914"/>
      <c r="MBH29" s="914"/>
      <c r="MBI29" s="914"/>
      <c r="MBJ29" s="914"/>
      <c r="MBK29" s="914"/>
      <c r="MBL29" s="914"/>
      <c r="MBM29" s="911"/>
      <c r="MBN29" s="911"/>
      <c r="MBO29" s="911"/>
      <c r="MBP29" s="915"/>
      <c r="MBQ29" s="914"/>
      <c r="MBR29" s="914"/>
      <c r="MBS29" s="914"/>
      <c r="MBT29" s="914"/>
      <c r="MBU29" s="914"/>
      <c r="MBV29" s="914"/>
      <c r="MBW29" s="914"/>
      <c r="MBX29" s="911"/>
      <c r="MBY29" s="911"/>
      <c r="MBZ29" s="911"/>
      <c r="MCA29" s="915"/>
      <c r="MCB29" s="914"/>
      <c r="MCC29" s="914"/>
      <c r="MCD29" s="914"/>
      <c r="MCE29" s="914"/>
      <c r="MCF29" s="914"/>
      <c r="MCG29" s="914"/>
      <c r="MCH29" s="914"/>
      <c r="MCI29" s="911"/>
      <c r="MCJ29" s="911"/>
      <c r="MCK29" s="911"/>
      <c r="MCL29" s="915"/>
      <c r="MCM29" s="914"/>
      <c r="MCN29" s="914"/>
      <c r="MCO29" s="914"/>
      <c r="MCP29" s="914"/>
      <c r="MCQ29" s="914"/>
      <c r="MCR29" s="914"/>
      <c r="MCS29" s="914"/>
      <c r="MCT29" s="911"/>
      <c r="MCU29" s="911"/>
      <c r="MCV29" s="911"/>
      <c r="MCW29" s="915"/>
      <c r="MCX29" s="914"/>
      <c r="MCY29" s="914"/>
      <c r="MCZ29" s="914"/>
      <c r="MDA29" s="914"/>
      <c r="MDB29" s="914"/>
      <c r="MDC29" s="914"/>
      <c r="MDD29" s="914"/>
      <c r="MDE29" s="911"/>
      <c r="MDF29" s="911"/>
      <c r="MDG29" s="911"/>
      <c r="MDH29" s="915"/>
      <c r="MDI29" s="914"/>
      <c r="MDJ29" s="914"/>
      <c r="MDK29" s="914"/>
      <c r="MDL29" s="914"/>
      <c r="MDM29" s="914"/>
      <c r="MDN29" s="914"/>
      <c r="MDO29" s="914"/>
      <c r="MDP29" s="911"/>
      <c r="MDQ29" s="911"/>
      <c r="MDR29" s="911"/>
      <c r="MDS29" s="915"/>
      <c r="MDT29" s="914"/>
      <c r="MDU29" s="914"/>
      <c r="MDV29" s="914"/>
      <c r="MDW29" s="914"/>
      <c r="MDX29" s="914"/>
      <c r="MDY29" s="914"/>
      <c r="MDZ29" s="914"/>
      <c r="MEA29" s="911"/>
      <c r="MEB29" s="911"/>
      <c r="MEC29" s="911"/>
      <c r="MED29" s="915"/>
      <c r="MEE29" s="914"/>
      <c r="MEF29" s="914"/>
      <c r="MEG29" s="914"/>
      <c r="MEH29" s="914"/>
      <c r="MEI29" s="914"/>
      <c r="MEJ29" s="914"/>
      <c r="MEK29" s="914"/>
      <c r="MEL29" s="911"/>
      <c r="MEM29" s="911"/>
      <c r="MEN29" s="911"/>
      <c r="MEO29" s="915"/>
      <c r="MEP29" s="914"/>
      <c r="MEQ29" s="914"/>
      <c r="MER29" s="914"/>
      <c r="MES29" s="914"/>
      <c r="MET29" s="914"/>
      <c r="MEU29" s="914"/>
      <c r="MEV29" s="914"/>
      <c r="MEW29" s="911"/>
      <c r="MEX29" s="911"/>
      <c r="MEY29" s="911"/>
      <c r="MEZ29" s="915"/>
      <c r="MFA29" s="914"/>
      <c r="MFB29" s="914"/>
      <c r="MFC29" s="914"/>
      <c r="MFD29" s="914"/>
      <c r="MFE29" s="914"/>
      <c r="MFF29" s="914"/>
      <c r="MFG29" s="914"/>
      <c r="MFH29" s="911"/>
      <c r="MFI29" s="911"/>
      <c r="MFJ29" s="911"/>
      <c r="MFK29" s="915"/>
      <c r="MFL29" s="914"/>
      <c r="MFM29" s="914"/>
      <c r="MFN29" s="914"/>
      <c r="MFO29" s="914"/>
      <c r="MFP29" s="914"/>
      <c r="MFQ29" s="914"/>
      <c r="MFR29" s="914"/>
      <c r="MFS29" s="911"/>
      <c r="MFT29" s="911"/>
      <c r="MFU29" s="911"/>
      <c r="MFV29" s="915"/>
      <c r="MFW29" s="914"/>
      <c r="MFX29" s="914"/>
      <c r="MFY29" s="914"/>
      <c r="MFZ29" s="914"/>
      <c r="MGA29" s="914"/>
      <c r="MGB29" s="914"/>
      <c r="MGC29" s="914"/>
      <c r="MGD29" s="911"/>
      <c r="MGE29" s="911"/>
      <c r="MGF29" s="911"/>
      <c r="MGG29" s="915"/>
      <c r="MGH29" s="914"/>
      <c r="MGI29" s="914"/>
      <c r="MGJ29" s="914"/>
      <c r="MGK29" s="914"/>
      <c r="MGL29" s="914"/>
      <c r="MGM29" s="914"/>
      <c r="MGN29" s="914"/>
      <c r="MGO29" s="911"/>
      <c r="MGP29" s="911"/>
      <c r="MGQ29" s="911"/>
      <c r="MGR29" s="915"/>
      <c r="MGS29" s="914"/>
      <c r="MGT29" s="914"/>
      <c r="MGU29" s="914"/>
      <c r="MGV29" s="914"/>
      <c r="MGW29" s="914"/>
      <c r="MGX29" s="914"/>
      <c r="MGY29" s="914"/>
      <c r="MGZ29" s="911"/>
      <c r="MHA29" s="911"/>
      <c r="MHB29" s="911"/>
      <c r="MHC29" s="915"/>
      <c r="MHD29" s="914"/>
      <c r="MHE29" s="914"/>
      <c r="MHF29" s="914"/>
      <c r="MHG29" s="914"/>
      <c r="MHH29" s="914"/>
      <c r="MHI29" s="914"/>
      <c r="MHJ29" s="914"/>
      <c r="MHK29" s="911"/>
      <c r="MHL29" s="911"/>
      <c r="MHM29" s="911"/>
      <c r="MHN29" s="915"/>
      <c r="MHO29" s="914"/>
      <c r="MHP29" s="914"/>
      <c r="MHQ29" s="914"/>
      <c r="MHR29" s="914"/>
      <c r="MHS29" s="914"/>
      <c r="MHT29" s="914"/>
      <c r="MHU29" s="914"/>
      <c r="MHV29" s="911"/>
      <c r="MHW29" s="911"/>
      <c r="MHX29" s="911"/>
      <c r="MHY29" s="915"/>
      <c r="MHZ29" s="914"/>
      <c r="MIA29" s="914"/>
      <c r="MIB29" s="914"/>
      <c r="MIC29" s="914"/>
      <c r="MID29" s="914"/>
      <c r="MIE29" s="914"/>
      <c r="MIF29" s="914"/>
      <c r="MIG29" s="911"/>
      <c r="MIH29" s="911"/>
      <c r="MII29" s="911"/>
      <c r="MIJ29" s="915"/>
      <c r="MIK29" s="914"/>
      <c r="MIL29" s="914"/>
      <c r="MIM29" s="914"/>
      <c r="MIN29" s="914"/>
      <c r="MIO29" s="914"/>
      <c r="MIP29" s="914"/>
      <c r="MIQ29" s="914"/>
      <c r="MIR29" s="911"/>
      <c r="MIS29" s="911"/>
      <c r="MIT29" s="911"/>
      <c r="MIU29" s="915"/>
      <c r="MIV29" s="914"/>
      <c r="MIW29" s="914"/>
      <c r="MIX29" s="914"/>
      <c r="MIY29" s="914"/>
      <c r="MIZ29" s="914"/>
      <c r="MJA29" s="914"/>
      <c r="MJB29" s="914"/>
      <c r="MJC29" s="911"/>
      <c r="MJD29" s="911"/>
      <c r="MJE29" s="911"/>
      <c r="MJF29" s="915"/>
      <c r="MJG29" s="914"/>
      <c r="MJH29" s="914"/>
      <c r="MJI29" s="914"/>
      <c r="MJJ29" s="914"/>
      <c r="MJK29" s="914"/>
      <c r="MJL29" s="914"/>
      <c r="MJM29" s="914"/>
      <c r="MJN29" s="911"/>
      <c r="MJO29" s="911"/>
      <c r="MJP29" s="911"/>
      <c r="MJQ29" s="915"/>
      <c r="MJR29" s="914"/>
      <c r="MJS29" s="914"/>
      <c r="MJT29" s="914"/>
      <c r="MJU29" s="914"/>
      <c r="MJV29" s="914"/>
      <c r="MJW29" s="914"/>
      <c r="MJX29" s="914"/>
      <c r="MJY29" s="911"/>
      <c r="MJZ29" s="911"/>
      <c r="MKA29" s="911"/>
      <c r="MKB29" s="915"/>
      <c r="MKC29" s="914"/>
      <c r="MKD29" s="914"/>
      <c r="MKE29" s="914"/>
      <c r="MKF29" s="914"/>
      <c r="MKG29" s="914"/>
      <c r="MKH29" s="914"/>
      <c r="MKI29" s="914"/>
      <c r="MKJ29" s="911"/>
      <c r="MKK29" s="911"/>
      <c r="MKL29" s="911"/>
      <c r="MKM29" s="915"/>
      <c r="MKN29" s="914"/>
      <c r="MKO29" s="914"/>
      <c r="MKP29" s="914"/>
      <c r="MKQ29" s="914"/>
      <c r="MKR29" s="914"/>
      <c r="MKS29" s="914"/>
      <c r="MKT29" s="914"/>
      <c r="MKU29" s="911"/>
      <c r="MKV29" s="911"/>
      <c r="MKW29" s="911"/>
      <c r="MKX29" s="915"/>
      <c r="MKY29" s="914"/>
      <c r="MKZ29" s="914"/>
      <c r="MLA29" s="914"/>
      <c r="MLB29" s="914"/>
      <c r="MLC29" s="914"/>
      <c r="MLD29" s="914"/>
      <c r="MLE29" s="914"/>
      <c r="MLF29" s="911"/>
      <c r="MLG29" s="911"/>
      <c r="MLH29" s="911"/>
      <c r="MLI29" s="915"/>
      <c r="MLJ29" s="914"/>
      <c r="MLK29" s="914"/>
      <c r="MLL29" s="914"/>
      <c r="MLM29" s="914"/>
      <c r="MLN29" s="914"/>
      <c r="MLO29" s="914"/>
      <c r="MLP29" s="914"/>
      <c r="MLQ29" s="911"/>
      <c r="MLR29" s="911"/>
      <c r="MLS29" s="911"/>
      <c r="MLT29" s="915"/>
      <c r="MLU29" s="914"/>
      <c r="MLV29" s="914"/>
      <c r="MLW29" s="914"/>
      <c r="MLX29" s="914"/>
      <c r="MLY29" s="914"/>
      <c r="MLZ29" s="914"/>
      <c r="MMA29" s="914"/>
      <c r="MMB29" s="911"/>
      <c r="MMC29" s="911"/>
      <c r="MMD29" s="911"/>
      <c r="MME29" s="915"/>
      <c r="MMF29" s="914"/>
      <c r="MMG29" s="914"/>
      <c r="MMH29" s="914"/>
      <c r="MMI29" s="914"/>
      <c r="MMJ29" s="914"/>
      <c r="MMK29" s="914"/>
      <c r="MML29" s="914"/>
      <c r="MMM29" s="911"/>
      <c r="MMN29" s="911"/>
      <c r="MMO29" s="911"/>
      <c r="MMP29" s="915"/>
      <c r="MMQ29" s="914"/>
      <c r="MMR29" s="914"/>
      <c r="MMS29" s="914"/>
      <c r="MMT29" s="914"/>
      <c r="MMU29" s="914"/>
      <c r="MMV29" s="914"/>
      <c r="MMW29" s="914"/>
      <c r="MMX29" s="911"/>
      <c r="MMY29" s="911"/>
      <c r="MMZ29" s="911"/>
      <c r="MNA29" s="915"/>
      <c r="MNB29" s="914"/>
      <c r="MNC29" s="914"/>
      <c r="MND29" s="914"/>
      <c r="MNE29" s="914"/>
      <c r="MNF29" s="914"/>
      <c r="MNG29" s="914"/>
      <c r="MNH29" s="914"/>
      <c r="MNI29" s="911"/>
      <c r="MNJ29" s="911"/>
      <c r="MNK29" s="911"/>
      <c r="MNL29" s="915"/>
      <c r="MNM29" s="914"/>
      <c r="MNN29" s="914"/>
      <c r="MNO29" s="914"/>
      <c r="MNP29" s="914"/>
      <c r="MNQ29" s="914"/>
      <c r="MNR29" s="914"/>
      <c r="MNS29" s="914"/>
      <c r="MNT29" s="911"/>
      <c r="MNU29" s="911"/>
      <c r="MNV29" s="911"/>
      <c r="MNW29" s="915"/>
      <c r="MNX29" s="914"/>
      <c r="MNY29" s="914"/>
      <c r="MNZ29" s="914"/>
      <c r="MOA29" s="914"/>
      <c r="MOB29" s="914"/>
      <c r="MOC29" s="914"/>
      <c r="MOD29" s="914"/>
      <c r="MOE29" s="911"/>
      <c r="MOF29" s="911"/>
      <c r="MOG29" s="911"/>
      <c r="MOH29" s="915"/>
      <c r="MOI29" s="914"/>
      <c r="MOJ29" s="914"/>
      <c r="MOK29" s="914"/>
      <c r="MOL29" s="914"/>
      <c r="MOM29" s="914"/>
      <c r="MON29" s="914"/>
      <c r="MOO29" s="914"/>
      <c r="MOP29" s="911"/>
      <c r="MOQ29" s="911"/>
      <c r="MOR29" s="911"/>
      <c r="MOS29" s="915"/>
      <c r="MOT29" s="914"/>
      <c r="MOU29" s="914"/>
      <c r="MOV29" s="914"/>
      <c r="MOW29" s="914"/>
      <c r="MOX29" s="914"/>
      <c r="MOY29" s="914"/>
      <c r="MOZ29" s="914"/>
      <c r="MPA29" s="911"/>
      <c r="MPB29" s="911"/>
      <c r="MPC29" s="911"/>
      <c r="MPD29" s="915"/>
      <c r="MPE29" s="914"/>
      <c r="MPF29" s="914"/>
      <c r="MPG29" s="914"/>
      <c r="MPH29" s="914"/>
      <c r="MPI29" s="914"/>
      <c r="MPJ29" s="914"/>
      <c r="MPK29" s="914"/>
      <c r="MPL29" s="911"/>
      <c r="MPM29" s="911"/>
      <c r="MPN29" s="911"/>
      <c r="MPO29" s="915"/>
      <c r="MPP29" s="914"/>
      <c r="MPQ29" s="914"/>
      <c r="MPR29" s="914"/>
      <c r="MPS29" s="914"/>
      <c r="MPT29" s="914"/>
      <c r="MPU29" s="914"/>
      <c r="MPV29" s="914"/>
      <c r="MPW29" s="911"/>
      <c r="MPX29" s="911"/>
      <c r="MPY29" s="911"/>
      <c r="MPZ29" s="915"/>
      <c r="MQA29" s="914"/>
      <c r="MQB29" s="914"/>
      <c r="MQC29" s="914"/>
      <c r="MQD29" s="914"/>
      <c r="MQE29" s="914"/>
      <c r="MQF29" s="914"/>
      <c r="MQG29" s="914"/>
      <c r="MQH29" s="911"/>
      <c r="MQI29" s="911"/>
      <c r="MQJ29" s="911"/>
      <c r="MQK29" s="915"/>
      <c r="MQL29" s="914"/>
      <c r="MQM29" s="914"/>
      <c r="MQN29" s="914"/>
      <c r="MQO29" s="914"/>
      <c r="MQP29" s="914"/>
      <c r="MQQ29" s="914"/>
      <c r="MQR29" s="914"/>
      <c r="MQS29" s="911"/>
      <c r="MQT29" s="911"/>
      <c r="MQU29" s="911"/>
      <c r="MQV29" s="915"/>
      <c r="MQW29" s="914"/>
      <c r="MQX29" s="914"/>
      <c r="MQY29" s="914"/>
      <c r="MQZ29" s="914"/>
      <c r="MRA29" s="914"/>
      <c r="MRB29" s="914"/>
      <c r="MRC29" s="914"/>
      <c r="MRD29" s="911"/>
      <c r="MRE29" s="911"/>
      <c r="MRF29" s="911"/>
      <c r="MRG29" s="915"/>
      <c r="MRH29" s="914"/>
      <c r="MRI29" s="914"/>
      <c r="MRJ29" s="914"/>
      <c r="MRK29" s="914"/>
      <c r="MRL29" s="914"/>
      <c r="MRM29" s="914"/>
      <c r="MRN29" s="914"/>
      <c r="MRO29" s="911"/>
      <c r="MRP29" s="911"/>
      <c r="MRQ29" s="911"/>
      <c r="MRR29" s="915"/>
      <c r="MRS29" s="914"/>
      <c r="MRT29" s="914"/>
      <c r="MRU29" s="914"/>
      <c r="MRV29" s="914"/>
      <c r="MRW29" s="914"/>
      <c r="MRX29" s="914"/>
      <c r="MRY29" s="914"/>
      <c r="MRZ29" s="911"/>
      <c r="MSA29" s="911"/>
      <c r="MSB29" s="911"/>
      <c r="MSC29" s="915"/>
      <c r="MSD29" s="914"/>
      <c r="MSE29" s="914"/>
      <c r="MSF29" s="914"/>
      <c r="MSG29" s="914"/>
      <c r="MSH29" s="914"/>
      <c r="MSI29" s="914"/>
      <c r="MSJ29" s="914"/>
      <c r="MSK29" s="911"/>
      <c r="MSL29" s="911"/>
      <c r="MSM29" s="911"/>
      <c r="MSN29" s="915"/>
      <c r="MSO29" s="914"/>
      <c r="MSP29" s="914"/>
      <c r="MSQ29" s="914"/>
      <c r="MSR29" s="914"/>
      <c r="MSS29" s="914"/>
      <c r="MST29" s="914"/>
      <c r="MSU29" s="914"/>
      <c r="MSV29" s="911"/>
      <c r="MSW29" s="911"/>
      <c r="MSX29" s="911"/>
      <c r="MSY29" s="915"/>
      <c r="MSZ29" s="914"/>
      <c r="MTA29" s="914"/>
      <c r="MTB29" s="914"/>
      <c r="MTC29" s="914"/>
      <c r="MTD29" s="914"/>
      <c r="MTE29" s="914"/>
      <c r="MTF29" s="914"/>
      <c r="MTG29" s="911"/>
      <c r="MTH29" s="911"/>
      <c r="MTI29" s="911"/>
      <c r="MTJ29" s="915"/>
      <c r="MTK29" s="914"/>
      <c r="MTL29" s="914"/>
      <c r="MTM29" s="914"/>
      <c r="MTN29" s="914"/>
      <c r="MTO29" s="914"/>
      <c r="MTP29" s="914"/>
      <c r="MTQ29" s="914"/>
      <c r="MTR29" s="911"/>
      <c r="MTS29" s="911"/>
      <c r="MTT29" s="911"/>
      <c r="MTU29" s="915"/>
      <c r="MTV29" s="914"/>
      <c r="MTW29" s="914"/>
      <c r="MTX29" s="914"/>
      <c r="MTY29" s="914"/>
      <c r="MTZ29" s="914"/>
      <c r="MUA29" s="914"/>
      <c r="MUB29" s="914"/>
      <c r="MUC29" s="911"/>
      <c r="MUD29" s="911"/>
      <c r="MUE29" s="911"/>
      <c r="MUF29" s="915"/>
      <c r="MUG29" s="914"/>
      <c r="MUH29" s="914"/>
      <c r="MUI29" s="914"/>
      <c r="MUJ29" s="914"/>
      <c r="MUK29" s="914"/>
      <c r="MUL29" s="914"/>
      <c r="MUM29" s="914"/>
      <c r="MUN29" s="911"/>
      <c r="MUO29" s="911"/>
      <c r="MUP29" s="911"/>
      <c r="MUQ29" s="915"/>
      <c r="MUR29" s="914"/>
      <c r="MUS29" s="914"/>
      <c r="MUT29" s="914"/>
      <c r="MUU29" s="914"/>
      <c r="MUV29" s="914"/>
      <c r="MUW29" s="914"/>
      <c r="MUX29" s="914"/>
      <c r="MUY29" s="911"/>
      <c r="MUZ29" s="911"/>
      <c r="MVA29" s="911"/>
      <c r="MVB29" s="915"/>
      <c r="MVC29" s="914"/>
      <c r="MVD29" s="914"/>
      <c r="MVE29" s="914"/>
      <c r="MVF29" s="914"/>
      <c r="MVG29" s="914"/>
      <c r="MVH29" s="914"/>
      <c r="MVI29" s="914"/>
      <c r="MVJ29" s="911"/>
      <c r="MVK29" s="911"/>
      <c r="MVL29" s="911"/>
      <c r="MVM29" s="915"/>
      <c r="MVN29" s="914"/>
      <c r="MVO29" s="914"/>
      <c r="MVP29" s="914"/>
      <c r="MVQ29" s="914"/>
      <c r="MVR29" s="914"/>
      <c r="MVS29" s="914"/>
      <c r="MVT29" s="914"/>
      <c r="MVU29" s="911"/>
      <c r="MVV29" s="911"/>
      <c r="MVW29" s="911"/>
      <c r="MVX29" s="915"/>
      <c r="MVY29" s="914"/>
      <c r="MVZ29" s="914"/>
      <c r="MWA29" s="914"/>
      <c r="MWB29" s="914"/>
      <c r="MWC29" s="914"/>
      <c r="MWD29" s="914"/>
      <c r="MWE29" s="914"/>
      <c r="MWF29" s="911"/>
      <c r="MWG29" s="911"/>
      <c r="MWH29" s="911"/>
      <c r="MWI29" s="915"/>
      <c r="MWJ29" s="914"/>
      <c r="MWK29" s="914"/>
      <c r="MWL29" s="914"/>
      <c r="MWM29" s="914"/>
      <c r="MWN29" s="914"/>
      <c r="MWO29" s="914"/>
      <c r="MWP29" s="914"/>
      <c r="MWQ29" s="911"/>
      <c r="MWR29" s="911"/>
      <c r="MWS29" s="911"/>
      <c r="MWT29" s="915"/>
      <c r="MWU29" s="914"/>
      <c r="MWV29" s="914"/>
      <c r="MWW29" s="914"/>
      <c r="MWX29" s="914"/>
      <c r="MWY29" s="914"/>
      <c r="MWZ29" s="914"/>
      <c r="MXA29" s="914"/>
      <c r="MXB29" s="911"/>
      <c r="MXC29" s="911"/>
      <c r="MXD29" s="911"/>
      <c r="MXE29" s="915"/>
      <c r="MXF29" s="914"/>
      <c r="MXG29" s="914"/>
      <c r="MXH29" s="914"/>
      <c r="MXI29" s="914"/>
      <c r="MXJ29" s="914"/>
      <c r="MXK29" s="914"/>
      <c r="MXL29" s="914"/>
      <c r="MXM29" s="911"/>
      <c r="MXN29" s="911"/>
      <c r="MXO29" s="911"/>
      <c r="MXP29" s="915"/>
      <c r="MXQ29" s="914"/>
      <c r="MXR29" s="914"/>
      <c r="MXS29" s="914"/>
      <c r="MXT29" s="914"/>
      <c r="MXU29" s="914"/>
      <c r="MXV29" s="914"/>
      <c r="MXW29" s="914"/>
      <c r="MXX29" s="911"/>
      <c r="MXY29" s="911"/>
      <c r="MXZ29" s="911"/>
      <c r="MYA29" s="915"/>
      <c r="MYB29" s="914"/>
      <c r="MYC29" s="914"/>
      <c r="MYD29" s="914"/>
      <c r="MYE29" s="914"/>
      <c r="MYF29" s="914"/>
      <c r="MYG29" s="914"/>
      <c r="MYH29" s="914"/>
      <c r="MYI29" s="911"/>
      <c r="MYJ29" s="911"/>
      <c r="MYK29" s="911"/>
      <c r="MYL29" s="915"/>
      <c r="MYM29" s="914"/>
      <c r="MYN29" s="914"/>
      <c r="MYO29" s="914"/>
      <c r="MYP29" s="914"/>
      <c r="MYQ29" s="914"/>
      <c r="MYR29" s="914"/>
      <c r="MYS29" s="914"/>
      <c r="MYT29" s="911"/>
      <c r="MYU29" s="911"/>
      <c r="MYV29" s="911"/>
      <c r="MYW29" s="915"/>
      <c r="MYX29" s="914"/>
      <c r="MYY29" s="914"/>
      <c r="MYZ29" s="914"/>
      <c r="MZA29" s="914"/>
      <c r="MZB29" s="914"/>
      <c r="MZC29" s="914"/>
      <c r="MZD29" s="914"/>
      <c r="MZE29" s="911"/>
      <c r="MZF29" s="911"/>
      <c r="MZG29" s="911"/>
      <c r="MZH29" s="915"/>
      <c r="MZI29" s="914"/>
      <c r="MZJ29" s="914"/>
      <c r="MZK29" s="914"/>
      <c r="MZL29" s="914"/>
      <c r="MZM29" s="914"/>
      <c r="MZN29" s="914"/>
      <c r="MZO29" s="914"/>
      <c r="MZP29" s="911"/>
      <c r="MZQ29" s="911"/>
      <c r="MZR29" s="911"/>
      <c r="MZS29" s="915"/>
      <c r="MZT29" s="914"/>
      <c r="MZU29" s="914"/>
      <c r="MZV29" s="914"/>
      <c r="MZW29" s="914"/>
      <c r="MZX29" s="914"/>
      <c r="MZY29" s="914"/>
      <c r="MZZ29" s="914"/>
      <c r="NAA29" s="911"/>
      <c r="NAB29" s="911"/>
      <c r="NAC29" s="911"/>
      <c r="NAD29" s="915"/>
      <c r="NAE29" s="914"/>
      <c r="NAF29" s="914"/>
      <c r="NAG29" s="914"/>
      <c r="NAH29" s="914"/>
      <c r="NAI29" s="914"/>
      <c r="NAJ29" s="914"/>
      <c r="NAK29" s="914"/>
      <c r="NAL29" s="911"/>
      <c r="NAM29" s="911"/>
      <c r="NAN29" s="911"/>
      <c r="NAO29" s="915"/>
      <c r="NAP29" s="914"/>
      <c r="NAQ29" s="914"/>
      <c r="NAR29" s="914"/>
      <c r="NAS29" s="914"/>
      <c r="NAT29" s="914"/>
      <c r="NAU29" s="914"/>
      <c r="NAV29" s="914"/>
      <c r="NAW29" s="911"/>
      <c r="NAX29" s="911"/>
      <c r="NAY29" s="911"/>
      <c r="NAZ29" s="915"/>
      <c r="NBA29" s="914"/>
      <c r="NBB29" s="914"/>
      <c r="NBC29" s="914"/>
      <c r="NBD29" s="914"/>
      <c r="NBE29" s="914"/>
      <c r="NBF29" s="914"/>
      <c r="NBG29" s="914"/>
      <c r="NBH29" s="911"/>
      <c r="NBI29" s="911"/>
      <c r="NBJ29" s="911"/>
      <c r="NBK29" s="915"/>
      <c r="NBL29" s="914"/>
      <c r="NBM29" s="914"/>
      <c r="NBN29" s="914"/>
      <c r="NBO29" s="914"/>
      <c r="NBP29" s="914"/>
      <c r="NBQ29" s="914"/>
      <c r="NBR29" s="914"/>
      <c r="NBS29" s="911"/>
      <c r="NBT29" s="911"/>
      <c r="NBU29" s="911"/>
      <c r="NBV29" s="915"/>
      <c r="NBW29" s="914"/>
      <c r="NBX29" s="914"/>
      <c r="NBY29" s="914"/>
      <c r="NBZ29" s="914"/>
      <c r="NCA29" s="914"/>
      <c r="NCB29" s="914"/>
      <c r="NCC29" s="914"/>
      <c r="NCD29" s="911"/>
      <c r="NCE29" s="911"/>
      <c r="NCF29" s="911"/>
      <c r="NCG29" s="915"/>
      <c r="NCH29" s="914"/>
      <c r="NCI29" s="914"/>
      <c r="NCJ29" s="914"/>
      <c r="NCK29" s="914"/>
      <c r="NCL29" s="914"/>
      <c r="NCM29" s="914"/>
      <c r="NCN29" s="914"/>
      <c r="NCO29" s="911"/>
      <c r="NCP29" s="911"/>
      <c r="NCQ29" s="911"/>
      <c r="NCR29" s="915"/>
      <c r="NCS29" s="914"/>
      <c r="NCT29" s="914"/>
      <c r="NCU29" s="914"/>
      <c r="NCV29" s="914"/>
      <c r="NCW29" s="914"/>
      <c r="NCX29" s="914"/>
      <c r="NCY29" s="914"/>
      <c r="NCZ29" s="911"/>
      <c r="NDA29" s="911"/>
      <c r="NDB29" s="911"/>
      <c r="NDC29" s="915"/>
      <c r="NDD29" s="914"/>
      <c r="NDE29" s="914"/>
      <c r="NDF29" s="914"/>
      <c r="NDG29" s="914"/>
      <c r="NDH29" s="914"/>
      <c r="NDI29" s="914"/>
      <c r="NDJ29" s="914"/>
      <c r="NDK29" s="911"/>
      <c r="NDL29" s="911"/>
      <c r="NDM29" s="911"/>
      <c r="NDN29" s="915"/>
      <c r="NDO29" s="914"/>
      <c r="NDP29" s="914"/>
      <c r="NDQ29" s="914"/>
      <c r="NDR29" s="914"/>
      <c r="NDS29" s="914"/>
      <c r="NDT29" s="914"/>
      <c r="NDU29" s="914"/>
      <c r="NDV29" s="911"/>
      <c r="NDW29" s="911"/>
      <c r="NDX29" s="911"/>
      <c r="NDY29" s="915"/>
      <c r="NDZ29" s="914"/>
      <c r="NEA29" s="914"/>
      <c r="NEB29" s="914"/>
      <c r="NEC29" s="914"/>
      <c r="NED29" s="914"/>
      <c r="NEE29" s="914"/>
      <c r="NEF29" s="914"/>
      <c r="NEG29" s="911"/>
      <c r="NEH29" s="911"/>
      <c r="NEI29" s="911"/>
      <c r="NEJ29" s="915"/>
      <c r="NEK29" s="914"/>
      <c r="NEL29" s="914"/>
      <c r="NEM29" s="914"/>
      <c r="NEN29" s="914"/>
      <c r="NEO29" s="914"/>
      <c r="NEP29" s="914"/>
      <c r="NEQ29" s="914"/>
      <c r="NER29" s="911"/>
      <c r="NES29" s="911"/>
      <c r="NET29" s="911"/>
      <c r="NEU29" s="915"/>
      <c r="NEV29" s="914"/>
      <c r="NEW29" s="914"/>
      <c r="NEX29" s="914"/>
      <c r="NEY29" s="914"/>
      <c r="NEZ29" s="914"/>
      <c r="NFA29" s="914"/>
      <c r="NFB29" s="914"/>
      <c r="NFC29" s="911"/>
      <c r="NFD29" s="911"/>
      <c r="NFE29" s="911"/>
      <c r="NFF29" s="915"/>
      <c r="NFG29" s="914"/>
      <c r="NFH29" s="914"/>
      <c r="NFI29" s="914"/>
      <c r="NFJ29" s="914"/>
      <c r="NFK29" s="914"/>
      <c r="NFL29" s="914"/>
      <c r="NFM29" s="914"/>
      <c r="NFN29" s="911"/>
      <c r="NFO29" s="911"/>
      <c r="NFP29" s="911"/>
      <c r="NFQ29" s="915"/>
      <c r="NFR29" s="914"/>
      <c r="NFS29" s="914"/>
      <c r="NFT29" s="914"/>
      <c r="NFU29" s="914"/>
      <c r="NFV29" s="914"/>
      <c r="NFW29" s="914"/>
      <c r="NFX29" s="914"/>
      <c r="NFY29" s="911"/>
      <c r="NFZ29" s="911"/>
      <c r="NGA29" s="911"/>
      <c r="NGB29" s="915"/>
      <c r="NGC29" s="914"/>
      <c r="NGD29" s="914"/>
      <c r="NGE29" s="914"/>
      <c r="NGF29" s="914"/>
      <c r="NGG29" s="914"/>
      <c r="NGH29" s="914"/>
      <c r="NGI29" s="914"/>
      <c r="NGJ29" s="911"/>
      <c r="NGK29" s="911"/>
      <c r="NGL29" s="911"/>
      <c r="NGM29" s="915"/>
      <c r="NGN29" s="914"/>
      <c r="NGO29" s="914"/>
      <c r="NGP29" s="914"/>
      <c r="NGQ29" s="914"/>
      <c r="NGR29" s="914"/>
      <c r="NGS29" s="914"/>
      <c r="NGT29" s="914"/>
      <c r="NGU29" s="911"/>
      <c r="NGV29" s="911"/>
      <c r="NGW29" s="911"/>
      <c r="NGX29" s="915"/>
      <c r="NGY29" s="914"/>
      <c r="NGZ29" s="914"/>
      <c r="NHA29" s="914"/>
      <c r="NHB29" s="914"/>
      <c r="NHC29" s="914"/>
      <c r="NHD29" s="914"/>
      <c r="NHE29" s="914"/>
      <c r="NHF29" s="911"/>
      <c r="NHG29" s="911"/>
      <c r="NHH29" s="911"/>
      <c r="NHI29" s="915"/>
      <c r="NHJ29" s="914"/>
      <c r="NHK29" s="914"/>
      <c r="NHL29" s="914"/>
      <c r="NHM29" s="914"/>
      <c r="NHN29" s="914"/>
      <c r="NHO29" s="914"/>
      <c r="NHP29" s="914"/>
      <c r="NHQ29" s="911"/>
      <c r="NHR29" s="911"/>
      <c r="NHS29" s="911"/>
      <c r="NHT29" s="915"/>
      <c r="NHU29" s="914"/>
      <c r="NHV29" s="914"/>
      <c r="NHW29" s="914"/>
      <c r="NHX29" s="914"/>
      <c r="NHY29" s="914"/>
      <c r="NHZ29" s="914"/>
      <c r="NIA29" s="914"/>
      <c r="NIB29" s="911"/>
      <c r="NIC29" s="911"/>
      <c r="NID29" s="911"/>
      <c r="NIE29" s="915"/>
      <c r="NIF29" s="914"/>
      <c r="NIG29" s="914"/>
      <c r="NIH29" s="914"/>
      <c r="NII29" s="914"/>
      <c r="NIJ29" s="914"/>
      <c r="NIK29" s="914"/>
      <c r="NIL29" s="914"/>
      <c r="NIM29" s="911"/>
      <c r="NIN29" s="911"/>
      <c r="NIO29" s="911"/>
      <c r="NIP29" s="915"/>
      <c r="NIQ29" s="914"/>
      <c r="NIR29" s="914"/>
      <c r="NIS29" s="914"/>
      <c r="NIT29" s="914"/>
      <c r="NIU29" s="914"/>
      <c r="NIV29" s="914"/>
      <c r="NIW29" s="914"/>
      <c r="NIX29" s="911"/>
      <c r="NIY29" s="911"/>
      <c r="NIZ29" s="911"/>
      <c r="NJA29" s="915"/>
      <c r="NJB29" s="914"/>
      <c r="NJC29" s="914"/>
      <c r="NJD29" s="914"/>
      <c r="NJE29" s="914"/>
      <c r="NJF29" s="914"/>
      <c r="NJG29" s="914"/>
      <c r="NJH29" s="914"/>
      <c r="NJI29" s="911"/>
      <c r="NJJ29" s="911"/>
      <c r="NJK29" s="911"/>
      <c r="NJL29" s="915"/>
      <c r="NJM29" s="914"/>
      <c r="NJN29" s="914"/>
      <c r="NJO29" s="914"/>
      <c r="NJP29" s="914"/>
      <c r="NJQ29" s="914"/>
      <c r="NJR29" s="914"/>
      <c r="NJS29" s="914"/>
      <c r="NJT29" s="911"/>
      <c r="NJU29" s="911"/>
      <c r="NJV29" s="911"/>
      <c r="NJW29" s="915"/>
      <c r="NJX29" s="914"/>
      <c r="NJY29" s="914"/>
      <c r="NJZ29" s="914"/>
      <c r="NKA29" s="914"/>
      <c r="NKB29" s="914"/>
      <c r="NKC29" s="914"/>
      <c r="NKD29" s="914"/>
      <c r="NKE29" s="911"/>
      <c r="NKF29" s="911"/>
      <c r="NKG29" s="911"/>
      <c r="NKH29" s="915"/>
      <c r="NKI29" s="914"/>
      <c r="NKJ29" s="914"/>
      <c r="NKK29" s="914"/>
      <c r="NKL29" s="914"/>
      <c r="NKM29" s="914"/>
      <c r="NKN29" s="914"/>
      <c r="NKO29" s="914"/>
      <c r="NKP29" s="911"/>
      <c r="NKQ29" s="911"/>
      <c r="NKR29" s="911"/>
      <c r="NKS29" s="915"/>
      <c r="NKT29" s="914"/>
      <c r="NKU29" s="914"/>
      <c r="NKV29" s="914"/>
      <c r="NKW29" s="914"/>
      <c r="NKX29" s="914"/>
      <c r="NKY29" s="914"/>
      <c r="NKZ29" s="914"/>
      <c r="NLA29" s="911"/>
      <c r="NLB29" s="911"/>
      <c r="NLC29" s="911"/>
      <c r="NLD29" s="915"/>
      <c r="NLE29" s="914"/>
      <c r="NLF29" s="914"/>
      <c r="NLG29" s="914"/>
      <c r="NLH29" s="914"/>
      <c r="NLI29" s="914"/>
      <c r="NLJ29" s="914"/>
      <c r="NLK29" s="914"/>
      <c r="NLL29" s="911"/>
      <c r="NLM29" s="911"/>
      <c r="NLN29" s="911"/>
      <c r="NLO29" s="915"/>
      <c r="NLP29" s="914"/>
      <c r="NLQ29" s="914"/>
      <c r="NLR29" s="914"/>
      <c r="NLS29" s="914"/>
      <c r="NLT29" s="914"/>
      <c r="NLU29" s="914"/>
      <c r="NLV29" s="914"/>
      <c r="NLW29" s="911"/>
      <c r="NLX29" s="911"/>
      <c r="NLY29" s="911"/>
      <c r="NLZ29" s="915"/>
      <c r="NMA29" s="914"/>
      <c r="NMB29" s="914"/>
      <c r="NMC29" s="914"/>
      <c r="NMD29" s="914"/>
      <c r="NME29" s="914"/>
      <c r="NMF29" s="914"/>
      <c r="NMG29" s="914"/>
      <c r="NMH29" s="911"/>
      <c r="NMI29" s="911"/>
      <c r="NMJ29" s="911"/>
      <c r="NMK29" s="915"/>
      <c r="NML29" s="914"/>
      <c r="NMM29" s="914"/>
      <c r="NMN29" s="914"/>
      <c r="NMO29" s="914"/>
      <c r="NMP29" s="914"/>
      <c r="NMQ29" s="914"/>
      <c r="NMR29" s="914"/>
      <c r="NMS29" s="911"/>
      <c r="NMT29" s="911"/>
      <c r="NMU29" s="911"/>
      <c r="NMV29" s="915"/>
      <c r="NMW29" s="914"/>
      <c r="NMX29" s="914"/>
      <c r="NMY29" s="914"/>
      <c r="NMZ29" s="914"/>
      <c r="NNA29" s="914"/>
      <c r="NNB29" s="914"/>
      <c r="NNC29" s="914"/>
      <c r="NND29" s="911"/>
      <c r="NNE29" s="911"/>
      <c r="NNF29" s="911"/>
      <c r="NNG29" s="915"/>
      <c r="NNH29" s="914"/>
      <c r="NNI29" s="914"/>
      <c r="NNJ29" s="914"/>
      <c r="NNK29" s="914"/>
      <c r="NNL29" s="914"/>
      <c r="NNM29" s="914"/>
      <c r="NNN29" s="914"/>
      <c r="NNO29" s="911"/>
      <c r="NNP29" s="911"/>
      <c r="NNQ29" s="911"/>
      <c r="NNR29" s="915"/>
      <c r="NNS29" s="914"/>
      <c r="NNT29" s="914"/>
      <c r="NNU29" s="914"/>
      <c r="NNV29" s="914"/>
      <c r="NNW29" s="914"/>
      <c r="NNX29" s="914"/>
      <c r="NNY29" s="914"/>
      <c r="NNZ29" s="911"/>
      <c r="NOA29" s="911"/>
      <c r="NOB29" s="911"/>
      <c r="NOC29" s="915"/>
      <c r="NOD29" s="914"/>
      <c r="NOE29" s="914"/>
      <c r="NOF29" s="914"/>
      <c r="NOG29" s="914"/>
      <c r="NOH29" s="914"/>
      <c r="NOI29" s="914"/>
      <c r="NOJ29" s="914"/>
      <c r="NOK29" s="911"/>
      <c r="NOL29" s="911"/>
      <c r="NOM29" s="911"/>
      <c r="NON29" s="915"/>
      <c r="NOO29" s="914"/>
      <c r="NOP29" s="914"/>
      <c r="NOQ29" s="914"/>
      <c r="NOR29" s="914"/>
      <c r="NOS29" s="914"/>
      <c r="NOT29" s="914"/>
      <c r="NOU29" s="914"/>
      <c r="NOV29" s="911"/>
      <c r="NOW29" s="911"/>
      <c r="NOX29" s="911"/>
      <c r="NOY29" s="915"/>
      <c r="NOZ29" s="914"/>
      <c r="NPA29" s="914"/>
      <c r="NPB29" s="914"/>
      <c r="NPC29" s="914"/>
      <c r="NPD29" s="914"/>
      <c r="NPE29" s="914"/>
      <c r="NPF29" s="914"/>
      <c r="NPG29" s="911"/>
      <c r="NPH29" s="911"/>
      <c r="NPI29" s="911"/>
      <c r="NPJ29" s="915"/>
      <c r="NPK29" s="914"/>
      <c r="NPL29" s="914"/>
      <c r="NPM29" s="914"/>
      <c r="NPN29" s="914"/>
      <c r="NPO29" s="914"/>
      <c r="NPP29" s="914"/>
      <c r="NPQ29" s="914"/>
      <c r="NPR29" s="911"/>
      <c r="NPS29" s="911"/>
      <c r="NPT29" s="911"/>
      <c r="NPU29" s="915"/>
      <c r="NPV29" s="914"/>
      <c r="NPW29" s="914"/>
      <c r="NPX29" s="914"/>
      <c r="NPY29" s="914"/>
      <c r="NPZ29" s="914"/>
      <c r="NQA29" s="914"/>
      <c r="NQB29" s="914"/>
      <c r="NQC29" s="911"/>
      <c r="NQD29" s="911"/>
      <c r="NQE29" s="911"/>
      <c r="NQF29" s="915"/>
      <c r="NQG29" s="914"/>
      <c r="NQH29" s="914"/>
      <c r="NQI29" s="914"/>
      <c r="NQJ29" s="914"/>
      <c r="NQK29" s="914"/>
      <c r="NQL29" s="914"/>
      <c r="NQM29" s="914"/>
      <c r="NQN29" s="911"/>
      <c r="NQO29" s="911"/>
      <c r="NQP29" s="911"/>
      <c r="NQQ29" s="915"/>
      <c r="NQR29" s="914"/>
      <c r="NQS29" s="914"/>
      <c r="NQT29" s="914"/>
      <c r="NQU29" s="914"/>
      <c r="NQV29" s="914"/>
      <c r="NQW29" s="914"/>
      <c r="NQX29" s="914"/>
      <c r="NQY29" s="911"/>
      <c r="NQZ29" s="911"/>
      <c r="NRA29" s="911"/>
      <c r="NRB29" s="915"/>
      <c r="NRC29" s="914"/>
      <c r="NRD29" s="914"/>
      <c r="NRE29" s="914"/>
      <c r="NRF29" s="914"/>
      <c r="NRG29" s="914"/>
      <c r="NRH29" s="914"/>
      <c r="NRI29" s="914"/>
      <c r="NRJ29" s="911"/>
      <c r="NRK29" s="911"/>
      <c r="NRL29" s="911"/>
      <c r="NRM29" s="915"/>
      <c r="NRN29" s="914"/>
      <c r="NRO29" s="914"/>
      <c r="NRP29" s="914"/>
      <c r="NRQ29" s="914"/>
      <c r="NRR29" s="914"/>
      <c r="NRS29" s="914"/>
      <c r="NRT29" s="914"/>
      <c r="NRU29" s="911"/>
      <c r="NRV29" s="911"/>
      <c r="NRW29" s="911"/>
      <c r="NRX29" s="915"/>
      <c r="NRY29" s="914"/>
      <c r="NRZ29" s="914"/>
      <c r="NSA29" s="914"/>
      <c r="NSB29" s="914"/>
      <c r="NSC29" s="914"/>
      <c r="NSD29" s="914"/>
      <c r="NSE29" s="914"/>
      <c r="NSF29" s="911"/>
      <c r="NSG29" s="911"/>
      <c r="NSH29" s="911"/>
      <c r="NSI29" s="915"/>
      <c r="NSJ29" s="914"/>
      <c r="NSK29" s="914"/>
      <c r="NSL29" s="914"/>
      <c r="NSM29" s="914"/>
      <c r="NSN29" s="914"/>
      <c r="NSO29" s="914"/>
      <c r="NSP29" s="914"/>
      <c r="NSQ29" s="911"/>
      <c r="NSR29" s="911"/>
      <c r="NSS29" s="911"/>
      <c r="NST29" s="915"/>
      <c r="NSU29" s="914"/>
      <c r="NSV29" s="914"/>
      <c r="NSW29" s="914"/>
      <c r="NSX29" s="914"/>
      <c r="NSY29" s="914"/>
      <c r="NSZ29" s="914"/>
      <c r="NTA29" s="914"/>
      <c r="NTB29" s="911"/>
      <c r="NTC29" s="911"/>
      <c r="NTD29" s="911"/>
      <c r="NTE29" s="915"/>
      <c r="NTF29" s="914"/>
      <c r="NTG29" s="914"/>
      <c r="NTH29" s="914"/>
      <c r="NTI29" s="914"/>
      <c r="NTJ29" s="914"/>
      <c r="NTK29" s="914"/>
      <c r="NTL29" s="914"/>
      <c r="NTM29" s="911"/>
      <c r="NTN29" s="911"/>
      <c r="NTO29" s="911"/>
      <c r="NTP29" s="915"/>
      <c r="NTQ29" s="914"/>
      <c r="NTR29" s="914"/>
      <c r="NTS29" s="914"/>
      <c r="NTT29" s="914"/>
      <c r="NTU29" s="914"/>
      <c r="NTV29" s="914"/>
      <c r="NTW29" s="914"/>
      <c r="NTX29" s="911"/>
      <c r="NTY29" s="911"/>
      <c r="NTZ29" s="911"/>
      <c r="NUA29" s="915"/>
      <c r="NUB29" s="914"/>
      <c r="NUC29" s="914"/>
      <c r="NUD29" s="914"/>
      <c r="NUE29" s="914"/>
      <c r="NUF29" s="914"/>
      <c r="NUG29" s="914"/>
      <c r="NUH29" s="914"/>
      <c r="NUI29" s="911"/>
      <c r="NUJ29" s="911"/>
      <c r="NUK29" s="911"/>
      <c r="NUL29" s="915"/>
      <c r="NUM29" s="914"/>
      <c r="NUN29" s="914"/>
      <c r="NUO29" s="914"/>
      <c r="NUP29" s="914"/>
      <c r="NUQ29" s="914"/>
      <c r="NUR29" s="914"/>
      <c r="NUS29" s="914"/>
      <c r="NUT29" s="911"/>
      <c r="NUU29" s="911"/>
      <c r="NUV29" s="911"/>
      <c r="NUW29" s="915"/>
      <c r="NUX29" s="914"/>
      <c r="NUY29" s="914"/>
      <c r="NUZ29" s="914"/>
      <c r="NVA29" s="914"/>
      <c r="NVB29" s="914"/>
      <c r="NVC29" s="914"/>
      <c r="NVD29" s="914"/>
      <c r="NVE29" s="911"/>
      <c r="NVF29" s="911"/>
      <c r="NVG29" s="911"/>
      <c r="NVH29" s="915"/>
      <c r="NVI29" s="914"/>
      <c r="NVJ29" s="914"/>
      <c r="NVK29" s="914"/>
      <c r="NVL29" s="914"/>
      <c r="NVM29" s="914"/>
      <c r="NVN29" s="914"/>
      <c r="NVO29" s="914"/>
      <c r="NVP29" s="911"/>
      <c r="NVQ29" s="911"/>
      <c r="NVR29" s="911"/>
      <c r="NVS29" s="915"/>
      <c r="NVT29" s="914"/>
      <c r="NVU29" s="914"/>
      <c r="NVV29" s="914"/>
      <c r="NVW29" s="914"/>
      <c r="NVX29" s="914"/>
      <c r="NVY29" s="914"/>
      <c r="NVZ29" s="914"/>
      <c r="NWA29" s="911"/>
      <c r="NWB29" s="911"/>
      <c r="NWC29" s="911"/>
      <c r="NWD29" s="915"/>
      <c r="NWE29" s="914"/>
      <c r="NWF29" s="914"/>
      <c r="NWG29" s="914"/>
      <c r="NWH29" s="914"/>
      <c r="NWI29" s="914"/>
      <c r="NWJ29" s="914"/>
      <c r="NWK29" s="914"/>
      <c r="NWL29" s="911"/>
      <c r="NWM29" s="911"/>
      <c r="NWN29" s="911"/>
      <c r="NWO29" s="915"/>
      <c r="NWP29" s="914"/>
      <c r="NWQ29" s="914"/>
      <c r="NWR29" s="914"/>
      <c r="NWS29" s="914"/>
      <c r="NWT29" s="914"/>
      <c r="NWU29" s="914"/>
      <c r="NWV29" s="914"/>
      <c r="NWW29" s="911"/>
      <c r="NWX29" s="911"/>
      <c r="NWY29" s="911"/>
      <c r="NWZ29" s="915"/>
      <c r="NXA29" s="914"/>
      <c r="NXB29" s="914"/>
      <c r="NXC29" s="914"/>
      <c r="NXD29" s="914"/>
      <c r="NXE29" s="914"/>
      <c r="NXF29" s="914"/>
      <c r="NXG29" s="914"/>
      <c r="NXH29" s="911"/>
      <c r="NXI29" s="911"/>
      <c r="NXJ29" s="911"/>
      <c r="NXK29" s="915"/>
      <c r="NXL29" s="914"/>
      <c r="NXM29" s="914"/>
      <c r="NXN29" s="914"/>
      <c r="NXO29" s="914"/>
      <c r="NXP29" s="914"/>
      <c r="NXQ29" s="914"/>
      <c r="NXR29" s="914"/>
      <c r="NXS29" s="911"/>
      <c r="NXT29" s="911"/>
      <c r="NXU29" s="911"/>
      <c r="NXV29" s="915"/>
      <c r="NXW29" s="914"/>
      <c r="NXX29" s="914"/>
      <c r="NXY29" s="914"/>
      <c r="NXZ29" s="914"/>
      <c r="NYA29" s="914"/>
      <c r="NYB29" s="914"/>
      <c r="NYC29" s="914"/>
      <c r="NYD29" s="911"/>
      <c r="NYE29" s="911"/>
      <c r="NYF29" s="911"/>
      <c r="NYG29" s="915"/>
      <c r="NYH29" s="914"/>
      <c r="NYI29" s="914"/>
      <c r="NYJ29" s="914"/>
      <c r="NYK29" s="914"/>
      <c r="NYL29" s="914"/>
      <c r="NYM29" s="914"/>
      <c r="NYN29" s="914"/>
      <c r="NYO29" s="911"/>
      <c r="NYP29" s="911"/>
      <c r="NYQ29" s="911"/>
      <c r="NYR29" s="915"/>
      <c r="NYS29" s="914"/>
      <c r="NYT29" s="914"/>
      <c r="NYU29" s="914"/>
      <c r="NYV29" s="914"/>
      <c r="NYW29" s="914"/>
      <c r="NYX29" s="914"/>
      <c r="NYY29" s="914"/>
      <c r="NYZ29" s="911"/>
      <c r="NZA29" s="911"/>
      <c r="NZB29" s="911"/>
      <c r="NZC29" s="915"/>
      <c r="NZD29" s="914"/>
      <c r="NZE29" s="914"/>
      <c r="NZF29" s="914"/>
      <c r="NZG29" s="914"/>
      <c r="NZH29" s="914"/>
      <c r="NZI29" s="914"/>
      <c r="NZJ29" s="914"/>
      <c r="NZK29" s="911"/>
      <c r="NZL29" s="911"/>
      <c r="NZM29" s="911"/>
      <c r="NZN29" s="915"/>
      <c r="NZO29" s="914"/>
      <c r="NZP29" s="914"/>
      <c r="NZQ29" s="914"/>
      <c r="NZR29" s="914"/>
      <c r="NZS29" s="914"/>
      <c r="NZT29" s="914"/>
      <c r="NZU29" s="914"/>
      <c r="NZV29" s="911"/>
      <c r="NZW29" s="911"/>
      <c r="NZX29" s="911"/>
      <c r="NZY29" s="915"/>
      <c r="NZZ29" s="914"/>
      <c r="OAA29" s="914"/>
      <c r="OAB29" s="914"/>
      <c r="OAC29" s="914"/>
      <c r="OAD29" s="914"/>
      <c r="OAE29" s="914"/>
      <c r="OAF29" s="914"/>
      <c r="OAG29" s="911"/>
      <c r="OAH29" s="911"/>
      <c r="OAI29" s="911"/>
      <c r="OAJ29" s="915"/>
      <c r="OAK29" s="914"/>
      <c r="OAL29" s="914"/>
      <c r="OAM29" s="914"/>
      <c r="OAN29" s="914"/>
      <c r="OAO29" s="914"/>
      <c r="OAP29" s="914"/>
      <c r="OAQ29" s="914"/>
      <c r="OAR29" s="911"/>
      <c r="OAS29" s="911"/>
      <c r="OAT29" s="911"/>
      <c r="OAU29" s="915"/>
      <c r="OAV29" s="914"/>
      <c r="OAW29" s="914"/>
      <c r="OAX29" s="914"/>
      <c r="OAY29" s="914"/>
      <c r="OAZ29" s="914"/>
      <c r="OBA29" s="914"/>
      <c r="OBB29" s="914"/>
      <c r="OBC29" s="911"/>
      <c r="OBD29" s="911"/>
      <c r="OBE29" s="911"/>
      <c r="OBF29" s="915"/>
      <c r="OBG29" s="914"/>
      <c r="OBH29" s="914"/>
      <c r="OBI29" s="914"/>
      <c r="OBJ29" s="914"/>
      <c r="OBK29" s="914"/>
      <c r="OBL29" s="914"/>
      <c r="OBM29" s="914"/>
      <c r="OBN29" s="911"/>
      <c r="OBO29" s="911"/>
      <c r="OBP29" s="911"/>
      <c r="OBQ29" s="915"/>
      <c r="OBR29" s="914"/>
      <c r="OBS29" s="914"/>
      <c r="OBT29" s="914"/>
      <c r="OBU29" s="914"/>
      <c r="OBV29" s="914"/>
      <c r="OBW29" s="914"/>
      <c r="OBX29" s="914"/>
      <c r="OBY29" s="911"/>
      <c r="OBZ29" s="911"/>
      <c r="OCA29" s="911"/>
      <c r="OCB29" s="915"/>
      <c r="OCC29" s="914"/>
      <c r="OCD29" s="914"/>
      <c r="OCE29" s="914"/>
      <c r="OCF29" s="914"/>
      <c r="OCG29" s="914"/>
      <c r="OCH29" s="914"/>
      <c r="OCI29" s="914"/>
      <c r="OCJ29" s="911"/>
      <c r="OCK29" s="911"/>
      <c r="OCL29" s="911"/>
      <c r="OCM29" s="915"/>
      <c r="OCN29" s="914"/>
      <c r="OCO29" s="914"/>
      <c r="OCP29" s="914"/>
      <c r="OCQ29" s="914"/>
      <c r="OCR29" s="914"/>
      <c r="OCS29" s="914"/>
      <c r="OCT29" s="914"/>
      <c r="OCU29" s="911"/>
      <c r="OCV29" s="911"/>
      <c r="OCW29" s="911"/>
      <c r="OCX29" s="915"/>
      <c r="OCY29" s="914"/>
      <c r="OCZ29" s="914"/>
      <c r="ODA29" s="914"/>
      <c r="ODB29" s="914"/>
      <c r="ODC29" s="914"/>
      <c r="ODD29" s="914"/>
      <c r="ODE29" s="914"/>
      <c r="ODF29" s="911"/>
      <c r="ODG29" s="911"/>
      <c r="ODH29" s="911"/>
      <c r="ODI29" s="915"/>
      <c r="ODJ29" s="914"/>
      <c r="ODK29" s="914"/>
      <c r="ODL29" s="914"/>
      <c r="ODM29" s="914"/>
      <c r="ODN29" s="914"/>
      <c r="ODO29" s="914"/>
      <c r="ODP29" s="914"/>
      <c r="ODQ29" s="911"/>
      <c r="ODR29" s="911"/>
      <c r="ODS29" s="911"/>
      <c r="ODT29" s="915"/>
      <c r="ODU29" s="914"/>
      <c r="ODV29" s="914"/>
      <c r="ODW29" s="914"/>
      <c r="ODX29" s="914"/>
      <c r="ODY29" s="914"/>
      <c r="ODZ29" s="914"/>
      <c r="OEA29" s="914"/>
      <c r="OEB29" s="911"/>
      <c r="OEC29" s="911"/>
      <c r="OED29" s="911"/>
      <c r="OEE29" s="915"/>
      <c r="OEF29" s="914"/>
      <c r="OEG29" s="914"/>
      <c r="OEH29" s="914"/>
      <c r="OEI29" s="914"/>
      <c r="OEJ29" s="914"/>
      <c r="OEK29" s="914"/>
      <c r="OEL29" s="914"/>
      <c r="OEM29" s="911"/>
      <c r="OEN29" s="911"/>
      <c r="OEO29" s="911"/>
      <c r="OEP29" s="915"/>
      <c r="OEQ29" s="914"/>
      <c r="OER29" s="914"/>
      <c r="OES29" s="914"/>
      <c r="OET29" s="914"/>
      <c r="OEU29" s="914"/>
      <c r="OEV29" s="914"/>
      <c r="OEW29" s="914"/>
      <c r="OEX29" s="911"/>
      <c r="OEY29" s="911"/>
      <c r="OEZ29" s="911"/>
      <c r="OFA29" s="915"/>
      <c r="OFB29" s="914"/>
      <c r="OFC29" s="914"/>
      <c r="OFD29" s="914"/>
      <c r="OFE29" s="914"/>
      <c r="OFF29" s="914"/>
      <c r="OFG29" s="914"/>
      <c r="OFH29" s="914"/>
      <c r="OFI29" s="911"/>
      <c r="OFJ29" s="911"/>
      <c r="OFK29" s="911"/>
      <c r="OFL29" s="915"/>
      <c r="OFM29" s="914"/>
      <c r="OFN29" s="914"/>
      <c r="OFO29" s="914"/>
      <c r="OFP29" s="914"/>
      <c r="OFQ29" s="914"/>
      <c r="OFR29" s="914"/>
      <c r="OFS29" s="914"/>
      <c r="OFT29" s="911"/>
      <c r="OFU29" s="911"/>
      <c r="OFV29" s="911"/>
      <c r="OFW29" s="915"/>
      <c r="OFX29" s="914"/>
      <c r="OFY29" s="914"/>
      <c r="OFZ29" s="914"/>
      <c r="OGA29" s="914"/>
      <c r="OGB29" s="914"/>
      <c r="OGC29" s="914"/>
      <c r="OGD29" s="914"/>
      <c r="OGE29" s="911"/>
      <c r="OGF29" s="911"/>
      <c r="OGG29" s="911"/>
      <c r="OGH29" s="915"/>
      <c r="OGI29" s="914"/>
      <c r="OGJ29" s="914"/>
      <c r="OGK29" s="914"/>
      <c r="OGL29" s="914"/>
      <c r="OGM29" s="914"/>
      <c r="OGN29" s="914"/>
      <c r="OGO29" s="914"/>
      <c r="OGP29" s="911"/>
      <c r="OGQ29" s="911"/>
      <c r="OGR29" s="911"/>
      <c r="OGS29" s="915"/>
      <c r="OGT29" s="914"/>
      <c r="OGU29" s="914"/>
      <c r="OGV29" s="914"/>
      <c r="OGW29" s="914"/>
      <c r="OGX29" s="914"/>
      <c r="OGY29" s="914"/>
      <c r="OGZ29" s="914"/>
      <c r="OHA29" s="911"/>
      <c r="OHB29" s="911"/>
      <c r="OHC29" s="911"/>
      <c r="OHD29" s="915"/>
      <c r="OHE29" s="914"/>
      <c r="OHF29" s="914"/>
      <c r="OHG29" s="914"/>
      <c r="OHH29" s="914"/>
      <c r="OHI29" s="914"/>
      <c r="OHJ29" s="914"/>
      <c r="OHK29" s="914"/>
      <c r="OHL29" s="911"/>
      <c r="OHM29" s="911"/>
      <c r="OHN29" s="911"/>
      <c r="OHO29" s="915"/>
      <c r="OHP29" s="914"/>
      <c r="OHQ29" s="914"/>
      <c r="OHR29" s="914"/>
      <c r="OHS29" s="914"/>
      <c r="OHT29" s="914"/>
      <c r="OHU29" s="914"/>
      <c r="OHV29" s="914"/>
      <c r="OHW29" s="911"/>
      <c r="OHX29" s="911"/>
      <c r="OHY29" s="911"/>
      <c r="OHZ29" s="915"/>
      <c r="OIA29" s="914"/>
      <c r="OIB29" s="914"/>
      <c r="OIC29" s="914"/>
      <c r="OID29" s="914"/>
      <c r="OIE29" s="914"/>
      <c r="OIF29" s="914"/>
      <c r="OIG29" s="914"/>
      <c r="OIH29" s="911"/>
      <c r="OII29" s="911"/>
      <c r="OIJ29" s="911"/>
      <c r="OIK29" s="915"/>
      <c r="OIL29" s="914"/>
      <c r="OIM29" s="914"/>
      <c r="OIN29" s="914"/>
      <c r="OIO29" s="914"/>
      <c r="OIP29" s="914"/>
      <c r="OIQ29" s="914"/>
      <c r="OIR29" s="914"/>
      <c r="OIS29" s="911"/>
      <c r="OIT29" s="911"/>
      <c r="OIU29" s="911"/>
      <c r="OIV29" s="915"/>
      <c r="OIW29" s="914"/>
      <c r="OIX29" s="914"/>
      <c r="OIY29" s="914"/>
      <c r="OIZ29" s="914"/>
      <c r="OJA29" s="914"/>
      <c r="OJB29" s="914"/>
      <c r="OJC29" s="914"/>
      <c r="OJD29" s="911"/>
      <c r="OJE29" s="911"/>
      <c r="OJF29" s="911"/>
      <c r="OJG29" s="915"/>
      <c r="OJH29" s="914"/>
      <c r="OJI29" s="914"/>
      <c r="OJJ29" s="914"/>
      <c r="OJK29" s="914"/>
      <c r="OJL29" s="914"/>
      <c r="OJM29" s="914"/>
      <c r="OJN29" s="914"/>
      <c r="OJO29" s="911"/>
      <c r="OJP29" s="911"/>
      <c r="OJQ29" s="911"/>
      <c r="OJR29" s="915"/>
      <c r="OJS29" s="914"/>
      <c r="OJT29" s="914"/>
      <c r="OJU29" s="914"/>
      <c r="OJV29" s="914"/>
      <c r="OJW29" s="914"/>
      <c r="OJX29" s="914"/>
      <c r="OJY29" s="914"/>
      <c r="OJZ29" s="911"/>
      <c r="OKA29" s="911"/>
      <c r="OKB29" s="911"/>
      <c r="OKC29" s="915"/>
      <c r="OKD29" s="914"/>
      <c r="OKE29" s="914"/>
      <c r="OKF29" s="914"/>
      <c r="OKG29" s="914"/>
      <c r="OKH29" s="914"/>
      <c r="OKI29" s="914"/>
      <c r="OKJ29" s="914"/>
      <c r="OKK29" s="911"/>
      <c r="OKL29" s="911"/>
      <c r="OKM29" s="911"/>
      <c r="OKN29" s="915"/>
      <c r="OKO29" s="914"/>
      <c r="OKP29" s="914"/>
      <c r="OKQ29" s="914"/>
      <c r="OKR29" s="914"/>
      <c r="OKS29" s="914"/>
      <c r="OKT29" s="914"/>
      <c r="OKU29" s="914"/>
      <c r="OKV29" s="911"/>
      <c r="OKW29" s="911"/>
      <c r="OKX29" s="911"/>
      <c r="OKY29" s="915"/>
      <c r="OKZ29" s="914"/>
      <c r="OLA29" s="914"/>
      <c r="OLB29" s="914"/>
      <c r="OLC29" s="914"/>
      <c r="OLD29" s="914"/>
      <c r="OLE29" s="914"/>
      <c r="OLF29" s="914"/>
      <c r="OLG29" s="911"/>
      <c r="OLH29" s="911"/>
      <c r="OLI29" s="911"/>
      <c r="OLJ29" s="915"/>
      <c r="OLK29" s="914"/>
      <c r="OLL29" s="914"/>
      <c r="OLM29" s="914"/>
      <c r="OLN29" s="914"/>
      <c r="OLO29" s="914"/>
      <c r="OLP29" s="914"/>
      <c r="OLQ29" s="914"/>
      <c r="OLR29" s="911"/>
      <c r="OLS29" s="911"/>
      <c r="OLT29" s="911"/>
      <c r="OLU29" s="915"/>
      <c r="OLV29" s="914"/>
      <c r="OLW29" s="914"/>
      <c r="OLX29" s="914"/>
      <c r="OLY29" s="914"/>
      <c r="OLZ29" s="914"/>
      <c r="OMA29" s="914"/>
      <c r="OMB29" s="914"/>
      <c r="OMC29" s="911"/>
      <c r="OMD29" s="911"/>
      <c r="OME29" s="911"/>
      <c r="OMF29" s="915"/>
      <c r="OMG29" s="914"/>
      <c r="OMH29" s="914"/>
      <c r="OMI29" s="914"/>
      <c r="OMJ29" s="914"/>
      <c r="OMK29" s="914"/>
      <c r="OML29" s="914"/>
      <c r="OMM29" s="914"/>
      <c r="OMN29" s="911"/>
      <c r="OMO29" s="911"/>
      <c r="OMP29" s="911"/>
      <c r="OMQ29" s="915"/>
      <c r="OMR29" s="914"/>
      <c r="OMS29" s="914"/>
      <c r="OMT29" s="914"/>
      <c r="OMU29" s="914"/>
      <c r="OMV29" s="914"/>
      <c r="OMW29" s="914"/>
      <c r="OMX29" s="914"/>
      <c r="OMY29" s="911"/>
      <c r="OMZ29" s="911"/>
      <c r="ONA29" s="911"/>
      <c r="ONB29" s="915"/>
      <c r="ONC29" s="914"/>
      <c r="OND29" s="914"/>
      <c r="ONE29" s="914"/>
      <c r="ONF29" s="914"/>
      <c r="ONG29" s="914"/>
      <c r="ONH29" s="914"/>
      <c r="ONI29" s="914"/>
      <c r="ONJ29" s="911"/>
      <c r="ONK29" s="911"/>
      <c r="ONL29" s="911"/>
      <c r="ONM29" s="915"/>
      <c r="ONN29" s="914"/>
      <c r="ONO29" s="914"/>
      <c r="ONP29" s="914"/>
      <c r="ONQ29" s="914"/>
      <c r="ONR29" s="914"/>
      <c r="ONS29" s="914"/>
      <c r="ONT29" s="914"/>
      <c r="ONU29" s="911"/>
      <c r="ONV29" s="911"/>
      <c r="ONW29" s="911"/>
      <c r="ONX29" s="915"/>
      <c r="ONY29" s="914"/>
      <c r="ONZ29" s="914"/>
      <c r="OOA29" s="914"/>
      <c r="OOB29" s="914"/>
      <c r="OOC29" s="914"/>
      <c r="OOD29" s="914"/>
      <c r="OOE29" s="914"/>
      <c r="OOF29" s="911"/>
      <c r="OOG29" s="911"/>
      <c r="OOH29" s="911"/>
      <c r="OOI29" s="915"/>
      <c r="OOJ29" s="914"/>
      <c r="OOK29" s="914"/>
      <c r="OOL29" s="914"/>
      <c r="OOM29" s="914"/>
      <c r="OON29" s="914"/>
      <c r="OOO29" s="914"/>
      <c r="OOP29" s="914"/>
      <c r="OOQ29" s="911"/>
      <c r="OOR29" s="911"/>
      <c r="OOS29" s="911"/>
      <c r="OOT29" s="915"/>
      <c r="OOU29" s="914"/>
      <c r="OOV29" s="914"/>
      <c r="OOW29" s="914"/>
      <c r="OOX29" s="914"/>
      <c r="OOY29" s="914"/>
      <c r="OOZ29" s="914"/>
      <c r="OPA29" s="914"/>
      <c r="OPB29" s="911"/>
      <c r="OPC29" s="911"/>
      <c r="OPD29" s="911"/>
      <c r="OPE29" s="915"/>
      <c r="OPF29" s="914"/>
      <c r="OPG29" s="914"/>
      <c r="OPH29" s="914"/>
      <c r="OPI29" s="914"/>
      <c r="OPJ29" s="914"/>
      <c r="OPK29" s="914"/>
      <c r="OPL29" s="914"/>
      <c r="OPM29" s="911"/>
      <c r="OPN29" s="911"/>
      <c r="OPO29" s="911"/>
      <c r="OPP29" s="915"/>
      <c r="OPQ29" s="914"/>
      <c r="OPR29" s="914"/>
      <c r="OPS29" s="914"/>
      <c r="OPT29" s="914"/>
      <c r="OPU29" s="914"/>
      <c r="OPV29" s="914"/>
      <c r="OPW29" s="914"/>
      <c r="OPX29" s="911"/>
      <c r="OPY29" s="911"/>
      <c r="OPZ29" s="911"/>
      <c r="OQA29" s="915"/>
      <c r="OQB29" s="914"/>
      <c r="OQC29" s="914"/>
      <c r="OQD29" s="914"/>
      <c r="OQE29" s="914"/>
      <c r="OQF29" s="914"/>
      <c r="OQG29" s="914"/>
      <c r="OQH29" s="914"/>
      <c r="OQI29" s="911"/>
      <c r="OQJ29" s="911"/>
      <c r="OQK29" s="911"/>
      <c r="OQL29" s="915"/>
      <c r="OQM29" s="914"/>
      <c r="OQN29" s="914"/>
      <c r="OQO29" s="914"/>
      <c r="OQP29" s="914"/>
      <c r="OQQ29" s="914"/>
      <c r="OQR29" s="914"/>
      <c r="OQS29" s="914"/>
      <c r="OQT29" s="911"/>
      <c r="OQU29" s="911"/>
      <c r="OQV29" s="911"/>
      <c r="OQW29" s="915"/>
      <c r="OQX29" s="914"/>
      <c r="OQY29" s="914"/>
      <c r="OQZ29" s="914"/>
      <c r="ORA29" s="914"/>
      <c r="ORB29" s="914"/>
      <c r="ORC29" s="914"/>
      <c r="ORD29" s="914"/>
      <c r="ORE29" s="911"/>
      <c r="ORF29" s="911"/>
      <c r="ORG29" s="911"/>
      <c r="ORH29" s="915"/>
      <c r="ORI29" s="914"/>
      <c r="ORJ29" s="914"/>
      <c r="ORK29" s="914"/>
      <c r="ORL29" s="914"/>
      <c r="ORM29" s="914"/>
      <c r="ORN29" s="914"/>
      <c r="ORO29" s="914"/>
      <c r="ORP29" s="911"/>
      <c r="ORQ29" s="911"/>
      <c r="ORR29" s="911"/>
      <c r="ORS29" s="915"/>
      <c r="ORT29" s="914"/>
      <c r="ORU29" s="914"/>
      <c r="ORV29" s="914"/>
      <c r="ORW29" s="914"/>
      <c r="ORX29" s="914"/>
      <c r="ORY29" s="914"/>
      <c r="ORZ29" s="914"/>
      <c r="OSA29" s="911"/>
      <c r="OSB29" s="911"/>
      <c r="OSC29" s="911"/>
      <c r="OSD29" s="915"/>
      <c r="OSE29" s="914"/>
      <c r="OSF29" s="914"/>
      <c r="OSG29" s="914"/>
      <c r="OSH29" s="914"/>
      <c r="OSI29" s="914"/>
      <c r="OSJ29" s="914"/>
      <c r="OSK29" s="914"/>
      <c r="OSL29" s="911"/>
      <c r="OSM29" s="911"/>
      <c r="OSN29" s="911"/>
      <c r="OSO29" s="915"/>
      <c r="OSP29" s="914"/>
      <c r="OSQ29" s="914"/>
      <c r="OSR29" s="914"/>
      <c r="OSS29" s="914"/>
      <c r="OST29" s="914"/>
      <c r="OSU29" s="914"/>
      <c r="OSV29" s="914"/>
      <c r="OSW29" s="911"/>
      <c r="OSX29" s="911"/>
      <c r="OSY29" s="911"/>
      <c r="OSZ29" s="915"/>
      <c r="OTA29" s="914"/>
      <c r="OTB29" s="914"/>
      <c r="OTC29" s="914"/>
      <c r="OTD29" s="914"/>
      <c r="OTE29" s="914"/>
      <c r="OTF29" s="914"/>
      <c r="OTG29" s="914"/>
      <c r="OTH29" s="911"/>
      <c r="OTI29" s="911"/>
      <c r="OTJ29" s="911"/>
      <c r="OTK29" s="915"/>
      <c r="OTL29" s="914"/>
      <c r="OTM29" s="914"/>
      <c r="OTN29" s="914"/>
      <c r="OTO29" s="914"/>
      <c r="OTP29" s="914"/>
      <c r="OTQ29" s="914"/>
      <c r="OTR29" s="914"/>
      <c r="OTS29" s="911"/>
      <c r="OTT29" s="911"/>
      <c r="OTU29" s="911"/>
      <c r="OTV29" s="915"/>
      <c r="OTW29" s="914"/>
      <c r="OTX29" s="914"/>
      <c r="OTY29" s="914"/>
      <c r="OTZ29" s="914"/>
      <c r="OUA29" s="914"/>
      <c r="OUB29" s="914"/>
      <c r="OUC29" s="914"/>
      <c r="OUD29" s="911"/>
      <c r="OUE29" s="911"/>
      <c r="OUF29" s="911"/>
      <c r="OUG29" s="915"/>
      <c r="OUH29" s="914"/>
      <c r="OUI29" s="914"/>
      <c r="OUJ29" s="914"/>
      <c r="OUK29" s="914"/>
      <c r="OUL29" s="914"/>
      <c r="OUM29" s="914"/>
      <c r="OUN29" s="914"/>
      <c r="OUO29" s="911"/>
      <c r="OUP29" s="911"/>
      <c r="OUQ29" s="911"/>
      <c r="OUR29" s="915"/>
      <c r="OUS29" s="914"/>
      <c r="OUT29" s="914"/>
      <c r="OUU29" s="914"/>
      <c r="OUV29" s="914"/>
      <c r="OUW29" s="914"/>
      <c r="OUX29" s="914"/>
      <c r="OUY29" s="914"/>
      <c r="OUZ29" s="911"/>
      <c r="OVA29" s="911"/>
      <c r="OVB29" s="911"/>
      <c r="OVC29" s="915"/>
      <c r="OVD29" s="914"/>
      <c r="OVE29" s="914"/>
      <c r="OVF29" s="914"/>
      <c r="OVG29" s="914"/>
      <c r="OVH29" s="914"/>
      <c r="OVI29" s="914"/>
      <c r="OVJ29" s="914"/>
      <c r="OVK29" s="911"/>
      <c r="OVL29" s="911"/>
      <c r="OVM29" s="911"/>
      <c r="OVN29" s="915"/>
      <c r="OVO29" s="914"/>
      <c r="OVP29" s="914"/>
      <c r="OVQ29" s="914"/>
      <c r="OVR29" s="914"/>
      <c r="OVS29" s="914"/>
      <c r="OVT29" s="914"/>
      <c r="OVU29" s="914"/>
      <c r="OVV29" s="911"/>
      <c r="OVW29" s="911"/>
      <c r="OVX29" s="911"/>
      <c r="OVY29" s="915"/>
      <c r="OVZ29" s="914"/>
      <c r="OWA29" s="914"/>
      <c r="OWB29" s="914"/>
      <c r="OWC29" s="914"/>
      <c r="OWD29" s="914"/>
      <c r="OWE29" s="914"/>
      <c r="OWF29" s="914"/>
      <c r="OWG29" s="911"/>
      <c r="OWH29" s="911"/>
      <c r="OWI29" s="911"/>
      <c r="OWJ29" s="915"/>
      <c r="OWK29" s="914"/>
      <c r="OWL29" s="914"/>
      <c r="OWM29" s="914"/>
      <c r="OWN29" s="914"/>
      <c r="OWO29" s="914"/>
      <c r="OWP29" s="914"/>
      <c r="OWQ29" s="914"/>
      <c r="OWR29" s="911"/>
      <c r="OWS29" s="911"/>
      <c r="OWT29" s="911"/>
      <c r="OWU29" s="915"/>
      <c r="OWV29" s="914"/>
      <c r="OWW29" s="914"/>
      <c r="OWX29" s="914"/>
      <c r="OWY29" s="914"/>
      <c r="OWZ29" s="914"/>
      <c r="OXA29" s="914"/>
      <c r="OXB29" s="914"/>
      <c r="OXC29" s="911"/>
      <c r="OXD29" s="911"/>
      <c r="OXE29" s="911"/>
      <c r="OXF29" s="915"/>
      <c r="OXG29" s="914"/>
      <c r="OXH29" s="914"/>
      <c r="OXI29" s="914"/>
      <c r="OXJ29" s="914"/>
      <c r="OXK29" s="914"/>
      <c r="OXL29" s="914"/>
      <c r="OXM29" s="914"/>
      <c r="OXN29" s="911"/>
      <c r="OXO29" s="911"/>
      <c r="OXP29" s="911"/>
      <c r="OXQ29" s="915"/>
      <c r="OXR29" s="914"/>
      <c r="OXS29" s="914"/>
      <c r="OXT29" s="914"/>
      <c r="OXU29" s="914"/>
      <c r="OXV29" s="914"/>
      <c r="OXW29" s="914"/>
      <c r="OXX29" s="914"/>
      <c r="OXY29" s="911"/>
      <c r="OXZ29" s="911"/>
      <c r="OYA29" s="911"/>
      <c r="OYB29" s="915"/>
      <c r="OYC29" s="914"/>
      <c r="OYD29" s="914"/>
      <c r="OYE29" s="914"/>
      <c r="OYF29" s="914"/>
      <c r="OYG29" s="914"/>
      <c r="OYH29" s="914"/>
      <c r="OYI29" s="914"/>
      <c r="OYJ29" s="911"/>
      <c r="OYK29" s="911"/>
      <c r="OYL29" s="911"/>
      <c r="OYM29" s="915"/>
      <c r="OYN29" s="914"/>
      <c r="OYO29" s="914"/>
      <c r="OYP29" s="914"/>
      <c r="OYQ29" s="914"/>
      <c r="OYR29" s="914"/>
      <c r="OYS29" s="914"/>
      <c r="OYT29" s="914"/>
      <c r="OYU29" s="911"/>
      <c r="OYV29" s="911"/>
      <c r="OYW29" s="911"/>
      <c r="OYX29" s="915"/>
      <c r="OYY29" s="914"/>
      <c r="OYZ29" s="914"/>
      <c r="OZA29" s="914"/>
      <c r="OZB29" s="914"/>
      <c r="OZC29" s="914"/>
      <c r="OZD29" s="914"/>
      <c r="OZE29" s="914"/>
      <c r="OZF29" s="911"/>
      <c r="OZG29" s="911"/>
      <c r="OZH29" s="911"/>
      <c r="OZI29" s="915"/>
      <c r="OZJ29" s="914"/>
      <c r="OZK29" s="914"/>
      <c r="OZL29" s="914"/>
      <c r="OZM29" s="914"/>
      <c r="OZN29" s="914"/>
      <c r="OZO29" s="914"/>
      <c r="OZP29" s="914"/>
      <c r="OZQ29" s="911"/>
      <c r="OZR29" s="911"/>
      <c r="OZS29" s="911"/>
      <c r="OZT29" s="915"/>
      <c r="OZU29" s="914"/>
      <c r="OZV29" s="914"/>
      <c r="OZW29" s="914"/>
      <c r="OZX29" s="914"/>
      <c r="OZY29" s="914"/>
      <c r="OZZ29" s="914"/>
      <c r="PAA29" s="914"/>
      <c r="PAB29" s="911"/>
      <c r="PAC29" s="911"/>
      <c r="PAD29" s="911"/>
      <c r="PAE29" s="915"/>
      <c r="PAF29" s="914"/>
      <c r="PAG29" s="914"/>
      <c r="PAH29" s="914"/>
      <c r="PAI29" s="914"/>
      <c r="PAJ29" s="914"/>
      <c r="PAK29" s="914"/>
      <c r="PAL29" s="914"/>
      <c r="PAM29" s="911"/>
      <c r="PAN29" s="911"/>
      <c r="PAO29" s="911"/>
      <c r="PAP29" s="915"/>
      <c r="PAQ29" s="914"/>
      <c r="PAR29" s="914"/>
      <c r="PAS29" s="914"/>
      <c r="PAT29" s="914"/>
      <c r="PAU29" s="914"/>
      <c r="PAV29" s="914"/>
      <c r="PAW29" s="914"/>
      <c r="PAX29" s="911"/>
      <c r="PAY29" s="911"/>
      <c r="PAZ29" s="911"/>
      <c r="PBA29" s="915"/>
      <c r="PBB29" s="914"/>
      <c r="PBC29" s="914"/>
      <c r="PBD29" s="914"/>
      <c r="PBE29" s="914"/>
      <c r="PBF29" s="914"/>
      <c r="PBG29" s="914"/>
      <c r="PBH29" s="914"/>
      <c r="PBI29" s="911"/>
      <c r="PBJ29" s="911"/>
      <c r="PBK29" s="911"/>
      <c r="PBL29" s="915"/>
      <c r="PBM29" s="914"/>
      <c r="PBN29" s="914"/>
      <c r="PBO29" s="914"/>
      <c r="PBP29" s="914"/>
      <c r="PBQ29" s="914"/>
      <c r="PBR29" s="914"/>
      <c r="PBS29" s="914"/>
      <c r="PBT29" s="911"/>
      <c r="PBU29" s="911"/>
      <c r="PBV29" s="911"/>
      <c r="PBW29" s="915"/>
      <c r="PBX29" s="914"/>
      <c r="PBY29" s="914"/>
      <c r="PBZ29" s="914"/>
      <c r="PCA29" s="914"/>
      <c r="PCB29" s="914"/>
      <c r="PCC29" s="914"/>
      <c r="PCD29" s="914"/>
      <c r="PCE29" s="911"/>
      <c r="PCF29" s="911"/>
      <c r="PCG29" s="911"/>
      <c r="PCH29" s="915"/>
      <c r="PCI29" s="914"/>
      <c r="PCJ29" s="914"/>
      <c r="PCK29" s="914"/>
      <c r="PCL29" s="914"/>
      <c r="PCM29" s="914"/>
      <c r="PCN29" s="914"/>
      <c r="PCO29" s="914"/>
      <c r="PCP29" s="911"/>
      <c r="PCQ29" s="911"/>
      <c r="PCR29" s="911"/>
      <c r="PCS29" s="915"/>
      <c r="PCT29" s="914"/>
      <c r="PCU29" s="914"/>
      <c r="PCV29" s="914"/>
      <c r="PCW29" s="914"/>
      <c r="PCX29" s="914"/>
      <c r="PCY29" s="914"/>
      <c r="PCZ29" s="914"/>
      <c r="PDA29" s="911"/>
      <c r="PDB29" s="911"/>
      <c r="PDC29" s="911"/>
      <c r="PDD29" s="915"/>
      <c r="PDE29" s="914"/>
      <c r="PDF29" s="914"/>
      <c r="PDG29" s="914"/>
      <c r="PDH29" s="914"/>
      <c r="PDI29" s="914"/>
      <c r="PDJ29" s="914"/>
      <c r="PDK29" s="914"/>
      <c r="PDL29" s="911"/>
      <c r="PDM29" s="911"/>
      <c r="PDN29" s="911"/>
      <c r="PDO29" s="915"/>
      <c r="PDP29" s="914"/>
      <c r="PDQ29" s="914"/>
      <c r="PDR29" s="914"/>
      <c r="PDS29" s="914"/>
      <c r="PDT29" s="914"/>
      <c r="PDU29" s="914"/>
      <c r="PDV29" s="914"/>
      <c r="PDW29" s="911"/>
      <c r="PDX29" s="911"/>
      <c r="PDY29" s="911"/>
      <c r="PDZ29" s="915"/>
      <c r="PEA29" s="914"/>
      <c r="PEB29" s="914"/>
      <c r="PEC29" s="914"/>
      <c r="PED29" s="914"/>
      <c r="PEE29" s="914"/>
      <c r="PEF29" s="914"/>
      <c r="PEG29" s="914"/>
      <c r="PEH29" s="911"/>
      <c r="PEI29" s="911"/>
      <c r="PEJ29" s="911"/>
      <c r="PEK29" s="915"/>
      <c r="PEL29" s="914"/>
      <c r="PEM29" s="914"/>
      <c r="PEN29" s="914"/>
      <c r="PEO29" s="914"/>
      <c r="PEP29" s="914"/>
      <c r="PEQ29" s="914"/>
      <c r="PER29" s="914"/>
      <c r="PES29" s="911"/>
      <c r="PET29" s="911"/>
      <c r="PEU29" s="911"/>
      <c r="PEV29" s="915"/>
      <c r="PEW29" s="914"/>
      <c r="PEX29" s="914"/>
      <c r="PEY29" s="914"/>
      <c r="PEZ29" s="914"/>
      <c r="PFA29" s="914"/>
      <c r="PFB29" s="914"/>
      <c r="PFC29" s="914"/>
      <c r="PFD29" s="911"/>
      <c r="PFE29" s="911"/>
      <c r="PFF29" s="911"/>
      <c r="PFG29" s="915"/>
      <c r="PFH29" s="914"/>
      <c r="PFI29" s="914"/>
      <c r="PFJ29" s="914"/>
      <c r="PFK29" s="914"/>
      <c r="PFL29" s="914"/>
      <c r="PFM29" s="914"/>
      <c r="PFN29" s="914"/>
      <c r="PFO29" s="911"/>
      <c r="PFP29" s="911"/>
      <c r="PFQ29" s="911"/>
      <c r="PFR29" s="915"/>
      <c r="PFS29" s="914"/>
      <c r="PFT29" s="914"/>
      <c r="PFU29" s="914"/>
      <c r="PFV29" s="914"/>
      <c r="PFW29" s="914"/>
      <c r="PFX29" s="914"/>
      <c r="PFY29" s="914"/>
      <c r="PFZ29" s="911"/>
      <c r="PGA29" s="911"/>
      <c r="PGB29" s="911"/>
      <c r="PGC29" s="915"/>
      <c r="PGD29" s="914"/>
      <c r="PGE29" s="914"/>
      <c r="PGF29" s="914"/>
      <c r="PGG29" s="914"/>
      <c r="PGH29" s="914"/>
      <c r="PGI29" s="914"/>
      <c r="PGJ29" s="914"/>
      <c r="PGK29" s="911"/>
      <c r="PGL29" s="911"/>
      <c r="PGM29" s="911"/>
      <c r="PGN29" s="915"/>
      <c r="PGO29" s="914"/>
      <c r="PGP29" s="914"/>
      <c r="PGQ29" s="914"/>
      <c r="PGR29" s="914"/>
      <c r="PGS29" s="914"/>
      <c r="PGT29" s="914"/>
      <c r="PGU29" s="914"/>
      <c r="PGV29" s="911"/>
      <c r="PGW29" s="911"/>
      <c r="PGX29" s="911"/>
      <c r="PGY29" s="915"/>
      <c r="PGZ29" s="914"/>
      <c r="PHA29" s="914"/>
      <c r="PHB29" s="914"/>
      <c r="PHC29" s="914"/>
      <c r="PHD29" s="914"/>
      <c r="PHE29" s="914"/>
      <c r="PHF29" s="914"/>
      <c r="PHG29" s="911"/>
      <c r="PHH29" s="911"/>
      <c r="PHI29" s="911"/>
      <c r="PHJ29" s="915"/>
      <c r="PHK29" s="914"/>
      <c r="PHL29" s="914"/>
      <c r="PHM29" s="914"/>
      <c r="PHN29" s="914"/>
      <c r="PHO29" s="914"/>
      <c r="PHP29" s="914"/>
      <c r="PHQ29" s="914"/>
      <c r="PHR29" s="911"/>
      <c r="PHS29" s="911"/>
      <c r="PHT29" s="911"/>
      <c r="PHU29" s="915"/>
      <c r="PHV29" s="914"/>
      <c r="PHW29" s="914"/>
      <c r="PHX29" s="914"/>
      <c r="PHY29" s="914"/>
      <c r="PHZ29" s="914"/>
      <c r="PIA29" s="914"/>
      <c r="PIB29" s="914"/>
      <c r="PIC29" s="911"/>
      <c r="PID29" s="911"/>
      <c r="PIE29" s="911"/>
      <c r="PIF29" s="915"/>
      <c r="PIG29" s="914"/>
      <c r="PIH29" s="914"/>
      <c r="PII29" s="914"/>
      <c r="PIJ29" s="914"/>
      <c r="PIK29" s="914"/>
      <c r="PIL29" s="914"/>
      <c r="PIM29" s="914"/>
      <c r="PIN29" s="911"/>
      <c r="PIO29" s="911"/>
      <c r="PIP29" s="911"/>
      <c r="PIQ29" s="915"/>
      <c r="PIR29" s="914"/>
      <c r="PIS29" s="914"/>
      <c r="PIT29" s="914"/>
      <c r="PIU29" s="914"/>
      <c r="PIV29" s="914"/>
      <c r="PIW29" s="914"/>
      <c r="PIX29" s="914"/>
      <c r="PIY29" s="911"/>
      <c r="PIZ29" s="911"/>
      <c r="PJA29" s="911"/>
      <c r="PJB29" s="915"/>
      <c r="PJC29" s="914"/>
      <c r="PJD29" s="914"/>
      <c r="PJE29" s="914"/>
      <c r="PJF29" s="914"/>
      <c r="PJG29" s="914"/>
      <c r="PJH29" s="914"/>
      <c r="PJI29" s="914"/>
      <c r="PJJ29" s="911"/>
      <c r="PJK29" s="911"/>
      <c r="PJL29" s="911"/>
      <c r="PJM29" s="915"/>
      <c r="PJN29" s="914"/>
      <c r="PJO29" s="914"/>
      <c r="PJP29" s="914"/>
      <c r="PJQ29" s="914"/>
      <c r="PJR29" s="914"/>
      <c r="PJS29" s="914"/>
      <c r="PJT29" s="914"/>
      <c r="PJU29" s="911"/>
      <c r="PJV29" s="911"/>
      <c r="PJW29" s="911"/>
      <c r="PJX29" s="915"/>
      <c r="PJY29" s="914"/>
      <c r="PJZ29" s="914"/>
      <c r="PKA29" s="914"/>
      <c r="PKB29" s="914"/>
      <c r="PKC29" s="914"/>
      <c r="PKD29" s="914"/>
      <c r="PKE29" s="914"/>
      <c r="PKF29" s="911"/>
      <c r="PKG29" s="911"/>
      <c r="PKH29" s="911"/>
      <c r="PKI29" s="915"/>
      <c r="PKJ29" s="914"/>
      <c r="PKK29" s="914"/>
      <c r="PKL29" s="914"/>
      <c r="PKM29" s="914"/>
      <c r="PKN29" s="914"/>
      <c r="PKO29" s="914"/>
      <c r="PKP29" s="914"/>
      <c r="PKQ29" s="911"/>
      <c r="PKR29" s="911"/>
      <c r="PKS29" s="911"/>
      <c r="PKT29" s="915"/>
      <c r="PKU29" s="914"/>
      <c r="PKV29" s="914"/>
      <c r="PKW29" s="914"/>
      <c r="PKX29" s="914"/>
      <c r="PKY29" s="914"/>
      <c r="PKZ29" s="914"/>
      <c r="PLA29" s="914"/>
      <c r="PLB29" s="911"/>
      <c r="PLC29" s="911"/>
      <c r="PLD29" s="911"/>
      <c r="PLE29" s="915"/>
      <c r="PLF29" s="914"/>
      <c r="PLG29" s="914"/>
      <c r="PLH29" s="914"/>
      <c r="PLI29" s="914"/>
      <c r="PLJ29" s="914"/>
      <c r="PLK29" s="914"/>
      <c r="PLL29" s="914"/>
      <c r="PLM29" s="911"/>
      <c r="PLN29" s="911"/>
      <c r="PLO29" s="911"/>
      <c r="PLP29" s="915"/>
      <c r="PLQ29" s="914"/>
      <c r="PLR29" s="914"/>
      <c r="PLS29" s="914"/>
      <c r="PLT29" s="914"/>
      <c r="PLU29" s="914"/>
      <c r="PLV29" s="914"/>
      <c r="PLW29" s="914"/>
      <c r="PLX29" s="911"/>
      <c r="PLY29" s="911"/>
      <c r="PLZ29" s="911"/>
      <c r="PMA29" s="915"/>
      <c r="PMB29" s="914"/>
      <c r="PMC29" s="914"/>
      <c r="PMD29" s="914"/>
      <c r="PME29" s="914"/>
      <c r="PMF29" s="914"/>
      <c r="PMG29" s="914"/>
      <c r="PMH29" s="914"/>
      <c r="PMI29" s="911"/>
      <c r="PMJ29" s="911"/>
      <c r="PMK29" s="911"/>
      <c r="PML29" s="915"/>
      <c r="PMM29" s="914"/>
      <c r="PMN29" s="914"/>
      <c r="PMO29" s="914"/>
      <c r="PMP29" s="914"/>
      <c r="PMQ29" s="914"/>
      <c r="PMR29" s="914"/>
      <c r="PMS29" s="914"/>
      <c r="PMT29" s="911"/>
      <c r="PMU29" s="911"/>
      <c r="PMV29" s="911"/>
      <c r="PMW29" s="915"/>
      <c r="PMX29" s="914"/>
      <c r="PMY29" s="914"/>
      <c r="PMZ29" s="914"/>
      <c r="PNA29" s="914"/>
      <c r="PNB29" s="914"/>
      <c r="PNC29" s="914"/>
      <c r="PND29" s="914"/>
      <c r="PNE29" s="911"/>
      <c r="PNF29" s="911"/>
      <c r="PNG29" s="911"/>
      <c r="PNH29" s="915"/>
      <c r="PNI29" s="914"/>
      <c r="PNJ29" s="914"/>
      <c r="PNK29" s="914"/>
      <c r="PNL29" s="914"/>
      <c r="PNM29" s="914"/>
      <c r="PNN29" s="914"/>
      <c r="PNO29" s="914"/>
      <c r="PNP29" s="911"/>
      <c r="PNQ29" s="911"/>
      <c r="PNR29" s="911"/>
      <c r="PNS29" s="915"/>
      <c r="PNT29" s="914"/>
      <c r="PNU29" s="914"/>
      <c r="PNV29" s="914"/>
      <c r="PNW29" s="914"/>
      <c r="PNX29" s="914"/>
      <c r="PNY29" s="914"/>
      <c r="PNZ29" s="914"/>
      <c r="POA29" s="911"/>
      <c r="POB29" s="911"/>
      <c r="POC29" s="911"/>
      <c r="POD29" s="915"/>
      <c r="POE29" s="914"/>
      <c r="POF29" s="914"/>
      <c r="POG29" s="914"/>
      <c r="POH29" s="914"/>
      <c r="POI29" s="914"/>
      <c r="POJ29" s="914"/>
      <c r="POK29" s="914"/>
      <c r="POL29" s="911"/>
      <c r="POM29" s="911"/>
      <c r="PON29" s="911"/>
      <c r="POO29" s="915"/>
      <c r="POP29" s="914"/>
      <c r="POQ29" s="914"/>
      <c r="POR29" s="914"/>
      <c r="POS29" s="914"/>
      <c r="POT29" s="914"/>
      <c r="POU29" s="914"/>
      <c r="POV29" s="914"/>
      <c r="POW29" s="911"/>
      <c r="POX29" s="911"/>
      <c r="POY29" s="911"/>
      <c r="POZ29" s="915"/>
      <c r="PPA29" s="914"/>
      <c r="PPB29" s="914"/>
      <c r="PPC29" s="914"/>
      <c r="PPD29" s="914"/>
      <c r="PPE29" s="914"/>
      <c r="PPF29" s="914"/>
      <c r="PPG29" s="914"/>
      <c r="PPH29" s="911"/>
      <c r="PPI29" s="911"/>
      <c r="PPJ29" s="911"/>
      <c r="PPK29" s="915"/>
      <c r="PPL29" s="914"/>
      <c r="PPM29" s="914"/>
      <c r="PPN29" s="914"/>
      <c r="PPO29" s="914"/>
      <c r="PPP29" s="914"/>
      <c r="PPQ29" s="914"/>
      <c r="PPR29" s="914"/>
      <c r="PPS29" s="911"/>
      <c r="PPT29" s="911"/>
      <c r="PPU29" s="911"/>
      <c r="PPV29" s="915"/>
      <c r="PPW29" s="914"/>
      <c r="PPX29" s="914"/>
      <c r="PPY29" s="914"/>
      <c r="PPZ29" s="914"/>
      <c r="PQA29" s="914"/>
      <c r="PQB29" s="914"/>
      <c r="PQC29" s="914"/>
      <c r="PQD29" s="911"/>
      <c r="PQE29" s="911"/>
      <c r="PQF29" s="911"/>
      <c r="PQG29" s="915"/>
      <c r="PQH29" s="914"/>
      <c r="PQI29" s="914"/>
      <c r="PQJ29" s="914"/>
      <c r="PQK29" s="914"/>
      <c r="PQL29" s="914"/>
      <c r="PQM29" s="914"/>
      <c r="PQN29" s="914"/>
      <c r="PQO29" s="911"/>
      <c r="PQP29" s="911"/>
      <c r="PQQ29" s="911"/>
      <c r="PQR29" s="915"/>
      <c r="PQS29" s="914"/>
      <c r="PQT29" s="914"/>
      <c r="PQU29" s="914"/>
      <c r="PQV29" s="914"/>
      <c r="PQW29" s="914"/>
      <c r="PQX29" s="914"/>
      <c r="PQY29" s="914"/>
      <c r="PQZ29" s="911"/>
      <c r="PRA29" s="911"/>
      <c r="PRB29" s="911"/>
      <c r="PRC29" s="915"/>
      <c r="PRD29" s="914"/>
      <c r="PRE29" s="914"/>
      <c r="PRF29" s="914"/>
      <c r="PRG29" s="914"/>
      <c r="PRH29" s="914"/>
      <c r="PRI29" s="914"/>
      <c r="PRJ29" s="914"/>
      <c r="PRK29" s="911"/>
      <c r="PRL29" s="911"/>
      <c r="PRM29" s="911"/>
      <c r="PRN29" s="915"/>
      <c r="PRO29" s="914"/>
      <c r="PRP29" s="914"/>
      <c r="PRQ29" s="914"/>
      <c r="PRR29" s="914"/>
      <c r="PRS29" s="914"/>
      <c r="PRT29" s="914"/>
      <c r="PRU29" s="914"/>
      <c r="PRV29" s="911"/>
      <c r="PRW29" s="911"/>
      <c r="PRX29" s="911"/>
      <c r="PRY29" s="915"/>
      <c r="PRZ29" s="914"/>
      <c r="PSA29" s="914"/>
      <c r="PSB29" s="914"/>
      <c r="PSC29" s="914"/>
      <c r="PSD29" s="914"/>
      <c r="PSE29" s="914"/>
      <c r="PSF29" s="914"/>
      <c r="PSG29" s="911"/>
      <c r="PSH29" s="911"/>
      <c r="PSI29" s="911"/>
      <c r="PSJ29" s="915"/>
      <c r="PSK29" s="914"/>
      <c r="PSL29" s="914"/>
      <c r="PSM29" s="914"/>
      <c r="PSN29" s="914"/>
      <c r="PSO29" s="914"/>
      <c r="PSP29" s="914"/>
      <c r="PSQ29" s="914"/>
      <c r="PSR29" s="911"/>
      <c r="PSS29" s="911"/>
      <c r="PST29" s="911"/>
      <c r="PSU29" s="915"/>
      <c r="PSV29" s="914"/>
      <c r="PSW29" s="914"/>
      <c r="PSX29" s="914"/>
      <c r="PSY29" s="914"/>
      <c r="PSZ29" s="914"/>
      <c r="PTA29" s="914"/>
      <c r="PTB29" s="914"/>
      <c r="PTC29" s="911"/>
      <c r="PTD29" s="911"/>
      <c r="PTE29" s="911"/>
      <c r="PTF29" s="915"/>
      <c r="PTG29" s="914"/>
      <c r="PTH29" s="914"/>
      <c r="PTI29" s="914"/>
      <c r="PTJ29" s="914"/>
      <c r="PTK29" s="914"/>
      <c r="PTL29" s="914"/>
      <c r="PTM29" s="914"/>
      <c r="PTN29" s="911"/>
      <c r="PTO29" s="911"/>
      <c r="PTP29" s="911"/>
      <c r="PTQ29" s="915"/>
      <c r="PTR29" s="914"/>
      <c r="PTS29" s="914"/>
      <c r="PTT29" s="914"/>
      <c r="PTU29" s="914"/>
      <c r="PTV29" s="914"/>
      <c r="PTW29" s="914"/>
      <c r="PTX29" s="914"/>
      <c r="PTY29" s="911"/>
      <c r="PTZ29" s="911"/>
      <c r="PUA29" s="911"/>
      <c r="PUB29" s="915"/>
      <c r="PUC29" s="914"/>
      <c r="PUD29" s="914"/>
      <c r="PUE29" s="914"/>
      <c r="PUF29" s="914"/>
      <c r="PUG29" s="914"/>
      <c r="PUH29" s="914"/>
      <c r="PUI29" s="914"/>
      <c r="PUJ29" s="911"/>
      <c r="PUK29" s="911"/>
      <c r="PUL29" s="911"/>
      <c r="PUM29" s="915"/>
      <c r="PUN29" s="914"/>
      <c r="PUO29" s="914"/>
      <c r="PUP29" s="914"/>
      <c r="PUQ29" s="914"/>
      <c r="PUR29" s="914"/>
      <c r="PUS29" s="914"/>
      <c r="PUT29" s="914"/>
      <c r="PUU29" s="911"/>
      <c r="PUV29" s="911"/>
      <c r="PUW29" s="911"/>
      <c r="PUX29" s="915"/>
      <c r="PUY29" s="914"/>
      <c r="PUZ29" s="914"/>
      <c r="PVA29" s="914"/>
      <c r="PVB29" s="914"/>
      <c r="PVC29" s="914"/>
      <c r="PVD29" s="914"/>
      <c r="PVE29" s="914"/>
      <c r="PVF29" s="911"/>
      <c r="PVG29" s="911"/>
      <c r="PVH29" s="911"/>
      <c r="PVI29" s="915"/>
      <c r="PVJ29" s="914"/>
      <c r="PVK29" s="914"/>
      <c r="PVL29" s="914"/>
      <c r="PVM29" s="914"/>
      <c r="PVN29" s="914"/>
      <c r="PVO29" s="914"/>
      <c r="PVP29" s="914"/>
      <c r="PVQ29" s="911"/>
      <c r="PVR29" s="911"/>
      <c r="PVS29" s="911"/>
      <c r="PVT29" s="915"/>
      <c r="PVU29" s="914"/>
      <c r="PVV29" s="914"/>
      <c r="PVW29" s="914"/>
      <c r="PVX29" s="914"/>
      <c r="PVY29" s="914"/>
      <c r="PVZ29" s="914"/>
      <c r="PWA29" s="914"/>
      <c r="PWB29" s="911"/>
      <c r="PWC29" s="911"/>
      <c r="PWD29" s="911"/>
      <c r="PWE29" s="915"/>
      <c r="PWF29" s="914"/>
      <c r="PWG29" s="914"/>
      <c r="PWH29" s="914"/>
      <c r="PWI29" s="914"/>
      <c r="PWJ29" s="914"/>
      <c r="PWK29" s="914"/>
      <c r="PWL29" s="914"/>
      <c r="PWM29" s="911"/>
      <c r="PWN29" s="911"/>
      <c r="PWO29" s="911"/>
      <c r="PWP29" s="915"/>
      <c r="PWQ29" s="914"/>
      <c r="PWR29" s="914"/>
      <c r="PWS29" s="914"/>
      <c r="PWT29" s="914"/>
      <c r="PWU29" s="914"/>
      <c r="PWV29" s="914"/>
      <c r="PWW29" s="914"/>
      <c r="PWX29" s="911"/>
      <c r="PWY29" s="911"/>
      <c r="PWZ29" s="911"/>
      <c r="PXA29" s="915"/>
      <c r="PXB29" s="914"/>
      <c r="PXC29" s="914"/>
      <c r="PXD29" s="914"/>
      <c r="PXE29" s="914"/>
      <c r="PXF29" s="914"/>
      <c r="PXG29" s="914"/>
      <c r="PXH29" s="914"/>
      <c r="PXI29" s="911"/>
      <c r="PXJ29" s="911"/>
      <c r="PXK29" s="911"/>
      <c r="PXL29" s="915"/>
      <c r="PXM29" s="914"/>
      <c r="PXN29" s="914"/>
      <c r="PXO29" s="914"/>
      <c r="PXP29" s="914"/>
      <c r="PXQ29" s="914"/>
      <c r="PXR29" s="914"/>
      <c r="PXS29" s="914"/>
      <c r="PXT29" s="911"/>
      <c r="PXU29" s="911"/>
      <c r="PXV29" s="911"/>
      <c r="PXW29" s="915"/>
      <c r="PXX29" s="914"/>
      <c r="PXY29" s="914"/>
      <c r="PXZ29" s="914"/>
      <c r="PYA29" s="914"/>
      <c r="PYB29" s="914"/>
      <c r="PYC29" s="914"/>
      <c r="PYD29" s="914"/>
      <c r="PYE29" s="911"/>
      <c r="PYF29" s="911"/>
      <c r="PYG29" s="911"/>
      <c r="PYH29" s="915"/>
      <c r="PYI29" s="914"/>
      <c r="PYJ29" s="914"/>
      <c r="PYK29" s="914"/>
      <c r="PYL29" s="914"/>
      <c r="PYM29" s="914"/>
      <c r="PYN29" s="914"/>
      <c r="PYO29" s="914"/>
      <c r="PYP29" s="911"/>
      <c r="PYQ29" s="911"/>
      <c r="PYR29" s="911"/>
      <c r="PYS29" s="915"/>
      <c r="PYT29" s="914"/>
      <c r="PYU29" s="914"/>
      <c r="PYV29" s="914"/>
      <c r="PYW29" s="914"/>
      <c r="PYX29" s="914"/>
      <c r="PYY29" s="914"/>
      <c r="PYZ29" s="914"/>
      <c r="PZA29" s="911"/>
      <c r="PZB29" s="911"/>
      <c r="PZC29" s="911"/>
      <c r="PZD29" s="915"/>
      <c r="PZE29" s="914"/>
      <c r="PZF29" s="914"/>
      <c r="PZG29" s="914"/>
      <c r="PZH29" s="914"/>
      <c r="PZI29" s="914"/>
      <c r="PZJ29" s="914"/>
      <c r="PZK29" s="914"/>
      <c r="PZL29" s="911"/>
      <c r="PZM29" s="911"/>
      <c r="PZN29" s="911"/>
      <c r="PZO29" s="915"/>
      <c r="PZP29" s="914"/>
      <c r="PZQ29" s="914"/>
      <c r="PZR29" s="914"/>
      <c r="PZS29" s="914"/>
      <c r="PZT29" s="914"/>
      <c r="PZU29" s="914"/>
      <c r="PZV29" s="914"/>
      <c r="PZW29" s="911"/>
      <c r="PZX29" s="911"/>
      <c r="PZY29" s="911"/>
      <c r="PZZ29" s="915"/>
      <c r="QAA29" s="914"/>
      <c r="QAB29" s="914"/>
      <c r="QAC29" s="914"/>
      <c r="QAD29" s="914"/>
      <c r="QAE29" s="914"/>
      <c r="QAF29" s="914"/>
      <c r="QAG29" s="914"/>
      <c r="QAH29" s="911"/>
      <c r="QAI29" s="911"/>
      <c r="QAJ29" s="911"/>
      <c r="QAK29" s="915"/>
      <c r="QAL29" s="914"/>
      <c r="QAM29" s="914"/>
      <c r="QAN29" s="914"/>
      <c r="QAO29" s="914"/>
      <c r="QAP29" s="914"/>
      <c r="QAQ29" s="914"/>
      <c r="QAR29" s="914"/>
      <c r="QAS29" s="911"/>
      <c r="QAT29" s="911"/>
      <c r="QAU29" s="911"/>
      <c r="QAV29" s="915"/>
      <c r="QAW29" s="914"/>
      <c r="QAX29" s="914"/>
      <c r="QAY29" s="914"/>
      <c r="QAZ29" s="914"/>
      <c r="QBA29" s="914"/>
      <c r="QBB29" s="914"/>
      <c r="QBC29" s="914"/>
      <c r="QBD29" s="911"/>
      <c r="QBE29" s="911"/>
      <c r="QBF29" s="911"/>
      <c r="QBG29" s="915"/>
      <c r="QBH29" s="914"/>
      <c r="QBI29" s="914"/>
      <c r="QBJ29" s="914"/>
      <c r="QBK29" s="914"/>
      <c r="QBL29" s="914"/>
      <c r="QBM29" s="914"/>
      <c r="QBN29" s="914"/>
      <c r="QBO29" s="911"/>
      <c r="QBP29" s="911"/>
      <c r="QBQ29" s="911"/>
      <c r="QBR29" s="915"/>
      <c r="QBS29" s="914"/>
      <c r="QBT29" s="914"/>
      <c r="QBU29" s="914"/>
      <c r="QBV29" s="914"/>
      <c r="QBW29" s="914"/>
      <c r="QBX29" s="914"/>
      <c r="QBY29" s="914"/>
      <c r="QBZ29" s="911"/>
      <c r="QCA29" s="911"/>
      <c r="QCB29" s="911"/>
      <c r="QCC29" s="915"/>
      <c r="QCD29" s="914"/>
      <c r="QCE29" s="914"/>
      <c r="QCF29" s="914"/>
      <c r="QCG29" s="914"/>
      <c r="QCH29" s="914"/>
      <c r="QCI29" s="914"/>
      <c r="QCJ29" s="914"/>
      <c r="QCK29" s="911"/>
      <c r="QCL29" s="911"/>
      <c r="QCM29" s="911"/>
      <c r="QCN29" s="915"/>
      <c r="QCO29" s="914"/>
      <c r="QCP29" s="914"/>
      <c r="QCQ29" s="914"/>
      <c r="QCR29" s="914"/>
      <c r="QCS29" s="914"/>
      <c r="QCT29" s="914"/>
      <c r="QCU29" s="914"/>
      <c r="QCV29" s="911"/>
      <c r="QCW29" s="911"/>
      <c r="QCX29" s="911"/>
      <c r="QCY29" s="915"/>
      <c r="QCZ29" s="914"/>
      <c r="QDA29" s="914"/>
      <c r="QDB29" s="914"/>
      <c r="QDC29" s="914"/>
      <c r="QDD29" s="914"/>
      <c r="QDE29" s="914"/>
      <c r="QDF29" s="914"/>
      <c r="QDG29" s="911"/>
      <c r="QDH29" s="911"/>
      <c r="QDI29" s="911"/>
      <c r="QDJ29" s="915"/>
      <c r="QDK29" s="914"/>
      <c r="QDL29" s="914"/>
      <c r="QDM29" s="914"/>
      <c r="QDN29" s="914"/>
      <c r="QDO29" s="914"/>
      <c r="QDP29" s="914"/>
      <c r="QDQ29" s="914"/>
      <c r="QDR29" s="911"/>
      <c r="QDS29" s="911"/>
      <c r="QDT29" s="911"/>
      <c r="QDU29" s="915"/>
      <c r="QDV29" s="914"/>
      <c r="QDW29" s="914"/>
      <c r="QDX29" s="914"/>
      <c r="QDY29" s="914"/>
      <c r="QDZ29" s="914"/>
      <c r="QEA29" s="914"/>
      <c r="QEB29" s="914"/>
      <c r="QEC29" s="911"/>
      <c r="QED29" s="911"/>
      <c r="QEE29" s="911"/>
      <c r="QEF29" s="915"/>
      <c r="QEG29" s="914"/>
      <c r="QEH29" s="914"/>
      <c r="QEI29" s="914"/>
      <c r="QEJ29" s="914"/>
      <c r="QEK29" s="914"/>
      <c r="QEL29" s="914"/>
      <c r="QEM29" s="914"/>
      <c r="QEN29" s="911"/>
      <c r="QEO29" s="911"/>
      <c r="QEP29" s="911"/>
      <c r="QEQ29" s="915"/>
      <c r="QER29" s="914"/>
      <c r="QES29" s="914"/>
      <c r="QET29" s="914"/>
      <c r="QEU29" s="914"/>
      <c r="QEV29" s="914"/>
      <c r="QEW29" s="914"/>
      <c r="QEX29" s="914"/>
      <c r="QEY29" s="911"/>
      <c r="QEZ29" s="911"/>
      <c r="QFA29" s="911"/>
      <c r="QFB29" s="915"/>
      <c r="QFC29" s="914"/>
      <c r="QFD29" s="914"/>
      <c r="QFE29" s="914"/>
      <c r="QFF29" s="914"/>
      <c r="QFG29" s="914"/>
      <c r="QFH29" s="914"/>
      <c r="QFI29" s="914"/>
      <c r="QFJ29" s="911"/>
      <c r="QFK29" s="911"/>
      <c r="QFL29" s="911"/>
      <c r="QFM29" s="915"/>
      <c r="QFN29" s="914"/>
      <c r="QFO29" s="914"/>
      <c r="QFP29" s="914"/>
      <c r="QFQ29" s="914"/>
      <c r="QFR29" s="914"/>
      <c r="QFS29" s="914"/>
      <c r="QFT29" s="914"/>
      <c r="QFU29" s="911"/>
      <c r="QFV29" s="911"/>
      <c r="QFW29" s="911"/>
      <c r="QFX29" s="915"/>
      <c r="QFY29" s="914"/>
      <c r="QFZ29" s="914"/>
      <c r="QGA29" s="914"/>
      <c r="QGB29" s="914"/>
      <c r="QGC29" s="914"/>
      <c r="QGD29" s="914"/>
      <c r="QGE29" s="914"/>
      <c r="QGF29" s="911"/>
      <c r="QGG29" s="911"/>
      <c r="QGH29" s="911"/>
      <c r="QGI29" s="915"/>
      <c r="QGJ29" s="914"/>
      <c r="QGK29" s="914"/>
      <c r="QGL29" s="914"/>
      <c r="QGM29" s="914"/>
      <c r="QGN29" s="914"/>
      <c r="QGO29" s="914"/>
      <c r="QGP29" s="914"/>
      <c r="QGQ29" s="911"/>
      <c r="QGR29" s="911"/>
      <c r="QGS29" s="911"/>
      <c r="QGT29" s="915"/>
      <c r="QGU29" s="914"/>
      <c r="QGV29" s="914"/>
      <c r="QGW29" s="914"/>
      <c r="QGX29" s="914"/>
      <c r="QGY29" s="914"/>
      <c r="QGZ29" s="914"/>
      <c r="QHA29" s="914"/>
      <c r="QHB29" s="911"/>
      <c r="QHC29" s="911"/>
      <c r="QHD29" s="911"/>
      <c r="QHE29" s="915"/>
      <c r="QHF29" s="914"/>
      <c r="QHG29" s="914"/>
      <c r="QHH29" s="914"/>
      <c r="QHI29" s="914"/>
      <c r="QHJ29" s="914"/>
      <c r="QHK29" s="914"/>
      <c r="QHL29" s="914"/>
      <c r="QHM29" s="911"/>
      <c r="QHN29" s="911"/>
      <c r="QHO29" s="911"/>
      <c r="QHP29" s="915"/>
      <c r="QHQ29" s="914"/>
      <c r="QHR29" s="914"/>
      <c r="QHS29" s="914"/>
      <c r="QHT29" s="914"/>
      <c r="QHU29" s="914"/>
      <c r="QHV29" s="914"/>
      <c r="QHW29" s="914"/>
      <c r="QHX29" s="911"/>
      <c r="QHY29" s="911"/>
      <c r="QHZ29" s="911"/>
      <c r="QIA29" s="915"/>
      <c r="QIB29" s="914"/>
      <c r="QIC29" s="914"/>
      <c r="QID29" s="914"/>
      <c r="QIE29" s="914"/>
      <c r="QIF29" s="914"/>
      <c r="QIG29" s="914"/>
      <c r="QIH29" s="914"/>
      <c r="QII29" s="911"/>
      <c r="QIJ29" s="911"/>
      <c r="QIK29" s="911"/>
      <c r="QIL29" s="915"/>
      <c r="QIM29" s="914"/>
      <c r="QIN29" s="914"/>
      <c r="QIO29" s="914"/>
      <c r="QIP29" s="914"/>
      <c r="QIQ29" s="914"/>
      <c r="QIR29" s="914"/>
      <c r="QIS29" s="914"/>
      <c r="QIT29" s="911"/>
      <c r="QIU29" s="911"/>
      <c r="QIV29" s="911"/>
      <c r="QIW29" s="915"/>
      <c r="QIX29" s="914"/>
      <c r="QIY29" s="914"/>
      <c r="QIZ29" s="914"/>
      <c r="QJA29" s="914"/>
      <c r="QJB29" s="914"/>
      <c r="QJC29" s="914"/>
      <c r="QJD29" s="914"/>
      <c r="QJE29" s="911"/>
      <c r="QJF29" s="911"/>
      <c r="QJG29" s="911"/>
      <c r="QJH29" s="915"/>
      <c r="QJI29" s="914"/>
      <c r="QJJ29" s="914"/>
      <c r="QJK29" s="914"/>
      <c r="QJL29" s="914"/>
      <c r="QJM29" s="914"/>
      <c r="QJN29" s="914"/>
      <c r="QJO29" s="914"/>
      <c r="QJP29" s="911"/>
      <c r="QJQ29" s="911"/>
      <c r="QJR29" s="911"/>
      <c r="QJS29" s="915"/>
      <c r="QJT29" s="914"/>
      <c r="QJU29" s="914"/>
      <c r="QJV29" s="914"/>
      <c r="QJW29" s="914"/>
      <c r="QJX29" s="914"/>
      <c r="QJY29" s="914"/>
      <c r="QJZ29" s="914"/>
      <c r="QKA29" s="911"/>
      <c r="QKB29" s="911"/>
      <c r="QKC29" s="911"/>
      <c r="QKD29" s="915"/>
      <c r="QKE29" s="914"/>
      <c r="QKF29" s="914"/>
      <c r="QKG29" s="914"/>
      <c r="QKH29" s="914"/>
      <c r="QKI29" s="914"/>
      <c r="QKJ29" s="914"/>
      <c r="QKK29" s="914"/>
      <c r="QKL29" s="911"/>
      <c r="QKM29" s="911"/>
      <c r="QKN29" s="911"/>
      <c r="QKO29" s="915"/>
      <c r="QKP29" s="914"/>
      <c r="QKQ29" s="914"/>
      <c r="QKR29" s="914"/>
      <c r="QKS29" s="914"/>
      <c r="QKT29" s="914"/>
      <c r="QKU29" s="914"/>
      <c r="QKV29" s="914"/>
      <c r="QKW29" s="911"/>
      <c r="QKX29" s="911"/>
      <c r="QKY29" s="911"/>
      <c r="QKZ29" s="915"/>
      <c r="QLA29" s="914"/>
      <c r="QLB29" s="914"/>
      <c r="QLC29" s="914"/>
      <c r="QLD29" s="914"/>
      <c r="QLE29" s="914"/>
      <c r="QLF29" s="914"/>
      <c r="QLG29" s="914"/>
      <c r="QLH29" s="911"/>
      <c r="QLI29" s="911"/>
      <c r="QLJ29" s="911"/>
      <c r="QLK29" s="915"/>
      <c r="QLL29" s="914"/>
      <c r="QLM29" s="914"/>
      <c r="QLN29" s="914"/>
      <c r="QLO29" s="914"/>
      <c r="QLP29" s="914"/>
      <c r="QLQ29" s="914"/>
      <c r="QLR29" s="914"/>
      <c r="QLS29" s="911"/>
      <c r="QLT29" s="911"/>
      <c r="QLU29" s="911"/>
      <c r="QLV29" s="915"/>
      <c r="QLW29" s="914"/>
      <c r="QLX29" s="914"/>
      <c r="QLY29" s="914"/>
      <c r="QLZ29" s="914"/>
      <c r="QMA29" s="914"/>
      <c r="QMB29" s="914"/>
      <c r="QMC29" s="914"/>
      <c r="QMD29" s="911"/>
      <c r="QME29" s="911"/>
      <c r="QMF29" s="911"/>
      <c r="QMG29" s="915"/>
      <c r="QMH29" s="914"/>
      <c r="QMI29" s="914"/>
      <c r="QMJ29" s="914"/>
      <c r="QMK29" s="914"/>
      <c r="QML29" s="914"/>
      <c r="QMM29" s="914"/>
      <c r="QMN29" s="914"/>
      <c r="QMO29" s="911"/>
      <c r="QMP29" s="911"/>
      <c r="QMQ29" s="911"/>
      <c r="QMR29" s="915"/>
      <c r="QMS29" s="914"/>
      <c r="QMT29" s="914"/>
      <c r="QMU29" s="914"/>
      <c r="QMV29" s="914"/>
      <c r="QMW29" s="914"/>
      <c r="QMX29" s="914"/>
      <c r="QMY29" s="914"/>
      <c r="QMZ29" s="911"/>
      <c r="QNA29" s="911"/>
      <c r="QNB29" s="911"/>
      <c r="QNC29" s="915"/>
      <c r="QND29" s="914"/>
      <c r="QNE29" s="914"/>
      <c r="QNF29" s="914"/>
      <c r="QNG29" s="914"/>
      <c r="QNH29" s="914"/>
      <c r="QNI29" s="914"/>
      <c r="QNJ29" s="914"/>
      <c r="QNK29" s="911"/>
      <c r="QNL29" s="911"/>
      <c r="QNM29" s="911"/>
      <c r="QNN29" s="915"/>
      <c r="QNO29" s="914"/>
      <c r="QNP29" s="914"/>
      <c r="QNQ29" s="914"/>
      <c r="QNR29" s="914"/>
      <c r="QNS29" s="914"/>
      <c r="QNT29" s="914"/>
      <c r="QNU29" s="914"/>
      <c r="QNV29" s="911"/>
      <c r="QNW29" s="911"/>
      <c r="QNX29" s="911"/>
      <c r="QNY29" s="915"/>
      <c r="QNZ29" s="914"/>
      <c r="QOA29" s="914"/>
      <c r="QOB29" s="914"/>
      <c r="QOC29" s="914"/>
      <c r="QOD29" s="914"/>
      <c r="QOE29" s="914"/>
      <c r="QOF29" s="914"/>
      <c r="QOG29" s="911"/>
      <c r="QOH29" s="911"/>
      <c r="QOI29" s="911"/>
      <c r="QOJ29" s="915"/>
      <c r="QOK29" s="914"/>
      <c r="QOL29" s="914"/>
      <c r="QOM29" s="914"/>
      <c r="QON29" s="914"/>
      <c r="QOO29" s="914"/>
      <c r="QOP29" s="914"/>
      <c r="QOQ29" s="914"/>
      <c r="QOR29" s="911"/>
      <c r="QOS29" s="911"/>
      <c r="QOT29" s="911"/>
      <c r="QOU29" s="915"/>
      <c r="QOV29" s="914"/>
      <c r="QOW29" s="914"/>
      <c r="QOX29" s="914"/>
      <c r="QOY29" s="914"/>
      <c r="QOZ29" s="914"/>
      <c r="QPA29" s="914"/>
      <c r="QPB29" s="914"/>
      <c r="QPC29" s="911"/>
      <c r="QPD29" s="911"/>
      <c r="QPE29" s="911"/>
      <c r="QPF29" s="915"/>
      <c r="QPG29" s="914"/>
      <c r="QPH29" s="914"/>
      <c r="QPI29" s="914"/>
      <c r="QPJ29" s="914"/>
      <c r="QPK29" s="914"/>
      <c r="QPL29" s="914"/>
      <c r="QPM29" s="914"/>
      <c r="QPN29" s="911"/>
      <c r="QPO29" s="911"/>
      <c r="QPP29" s="911"/>
      <c r="QPQ29" s="915"/>
      <c r="QPR29" s="914"/>
      <c r="QPS29" s="914"/>
      <c r="QPT29" s="914"/>
      <c r="QPU29" s="914"/>
      <c r="QPV29" s="914"/>
      <c r="QPW29" s="914"/>
      <c r="QPX29" s="914"/>
      <c r="QPY29" s="911"/>
      <c r="QPZ29" s="911"/>
      <c r="QQA29" s="911"/>
      <c r="QQB29" s="915"/>
      <c r="QQC29" s="914"/>
      <c r="QQD29" s="914"/>
      <c r="QQE29" s="914"/>
      <c r="QQF29" s="914"/>
      <c r="QQG29" s="914"/>
      <c r="QQH29" s="914"/>
      <c r="QQI29" s="914"/>
      <c r="QQJ29" s="911"/>
      <c r="QQK29" s="911"/>
      <c r="QQL29" s="911"/>
      <c r="QQM29" s="915"/>
      <c r="QQN29" s="914"/>
      <c r="QQO29" s="914"/>
      <c r="QQP29" s="914"/>
      <c r="QQQ29" s="914"/>
      <c r="QQR29" s="914"/>
      <c r="QQS29" s="914"/>
      <c r="QQT29" s="914"/>
      <c r="QQU29" s="911"/>
      <c r="QQV29" s="911"/>
      <c r="QQW29" s="911"/>
      <c r="QQX29" s="915"/>
      <c r="QQY29" s="914"/>
      <c r="QQZ29" s="914"/>
      <c r="QRA29" s="914"/>
      <c r="QRB29" s="914"/>
      <c r="QRC29" s="914"/>
      <c r="QRD29" s="914"/>
      <c r="QRE29" s="914"/>
      <c r="QRF29" s="911"/>
      <c r="QRG29" s="911"/>
      <c r="QRH29" s="911"/>
      <c r="QRI29" s="915"/>
      <c r="QRJ29" s="914"/>
      <c r="QRK29" s="914"/>
      <c r="QRL29" s="914"/>
      <c r="QRM29" s="914"/>
      <c r="QRN29" s="914"/>
      <c r="QRO29" s="914"/>
      <c r="QRP29" s="914"/>
      <c r="QRQ29" s="911"/>
      <c r="QRR29" s="911"/>
      <c r="QRS29" s="911"/>
      <c r="QRT29" s="915"/>
      <c r="QRU29" s="914"/>
      <c r="QRV29" s="914"/>
      <c r="QRW29" s="914"/>
      <c r="QRX29" s="914"/>
      <c r="QRY29" s="914"/>
      <c r="QRZ29" s="914"/>
      <c r="QSA29" s="914"/>
      <c r="QSB29" s="911"/>
      <c r="QSC29" s="911"/>
      <c r="QSD29" s="911"/>
      <c r="QSE29" s="915"/>
      <c r="QSF29" s="914"/>
      <c r="QSG29" s="914"/>
      <c r="QSH29" s="914"/>
      <c r="QSI29" s="914"/>
      <c r="QSJ29" s="914"/>
      <c r="QSK29" s="914"/>
      <c r="QSL29" s="914"/>
      <c r="QSM29" s="911"/>
      <c r="QSN29" s="911"/>
      <c r="QSO29" s="911"/>
      <c r="QSP29" s="915"/>
      <c r="QSQ29" s="914"/>
      <c r="QSR29" s="914"/>
      <c r="QSS29" s="914"/>
      <c r="QST29" s="914"/>
      <c r="QSU29" s="914"/>
      <c r="QSV29" s="914"/>
      <c r="QSW29" s="914"/>
      <c r="QSX29" s="911"/>
      <c r="QSY29" s="911"/>
      <c r="QSZ29" s="911"/>
      <c r="QTA29" s="915"/>
      <c r="QTB29" s="914"/>
      <c r="QTC29" s="914"/>
      <c r="QTD29" s="914"/>
      <c r="QTE29" s="914"/>
      <c r="QTF29" s="914"/>
      <c r="QTG29" s="914"/>
      <c r="QTH29" s="914"/>
      <c r="QTI29" s="911"/>
      <c r="QTJ29" s="911"/>
      <c r="QTK29" s="911"/>
      <c r="QTL29" s="915"/>
      <c r="QTM29" s="914"/>
      <c r="QTN29" s="914"/>
      <c r="QTO29" s="914"/>
      <c r="QTP29" s="914"/>
      <c r="QTQ29" s="914"/>
      <c r="QTR29" s="914"/>
      <c r="QTS29" s="914"/>
      <c r="QTT29" s="911"/>
      <c r="QTU29" s="911"/>
      <c r="QTV29" s="911"/>
      <c r="QTW29" s="915"/>
      <c r="QTX29" s="914"/>
      <c r="QTY29" s="914"/>
      <c r="QTZ29" s="914"/>
      <c r="QUA29" s="914"/>
      <c r="QUB29" s="914"/>
      <c r="QUC29" s="914"/>
      <c r="QUD29" s="914"/>
      <c r="QUE29" s="911"/>
      <c r="QUF29" s="911"/>
      <c r="QUG29" s="911"/>
      <c r="QUH29" s="915"/>
      <c r="QUI29" s="914"/>
      <c r="QUJ29" s="914"/>
      <c r="QUK29" s="914"/>
      <c r="QUL29" s="914"/>
      <c r="QUM29" s="914"/>
      <c r="QUN29" s="914"/>
      <c r="QUO29" s="914"/>
      <c r="QUP29" s="911"/>
      <c r="QUQ29" s="911"/>
      <c r="QUR29" s="911"/>
      <c r="QUS29" s="915"/>
      <c r="QUT29" s="914"/>
      <c r="QUU29" s="914"/>
      <c r="QUV29" s="914"/>
      <c r="QUW29" s="914"/>
      <c r="QUX29" s="914"/>
      <c r="QUY29" s="914"/>
      <c r="QUZ29" s="914"/>
      <c r="QVA29" s="911"/>
      <c r="QVB29" s="911"/>
      <c r="QVC29" s="911"/>
      <c r="QVD29" s="915"/>
      <c r="QVE29" s="914"/>
      <c r="QVF29" s="914"/>
      <c r="QVG29" s="914"/>
      <c r="QVH29" s="914"/>
      <c r="QVI29" s="914"/>
      <c r="QVJ29" s="914"/>
      <c r="QVK29" s="914"/>
      <c r="QVL29" s="911"/>
      <c r="QVM29" s="911"/>
      <c r="QVN29" s="911"/>
      <c r="QVO29" s="915"/>
      <c r="QVP29" s="914"/>
      <c r="QVQ29" s="914"/>
      <c r="QVR29" s="914"/>
      <c r="QVS29" s="914"/>
      <c r="QVT29" s="914"/>
      <c r="QVU29" s="914"/>
      <c r="QVV29" s="914"/>
      <c r="QVW29" s="911"/>
      <c r="QVX29" s="911"/>
      <c r="QVY29" s="911"/>
      <c r="QVZ29" s="915"/>
      <c r="QWA29" s="914"/>
      <c r="QWB29" s="914"/>
      <c r="QWC29" s="914"/>
      <c r="QWD29" s="914"/>
      <c r="QWE29" s="914"/>
      <c r="QWF29" s="914"/>
      <c r="QWG29" s="914"/>
      <c r="QWH29" s="911"/>
      <c r="QWI29" s="911"/>
      <c r="QWJ29" s="911"/>
      <c r="QWK29" s="915"/>
      <c r="QWL29" s="914"/>
      <c r="QWM29" s="914"/>
      <c r="QWN29" s="914"/>
      <c r="QWO29" s="914"/>
      <c r="QWP29" s="914"/>
      <c r="QWQ29" s="914"/>
      <c r="QWR29" s="914"/>
      <c r="QWS29" s="911"/>
      <c r="QWT29" s="911"/>
      <c r="QWU29" s="911"/>
      <c r="QWV29" s="915"/>
      <c r="QWW29" s="914"/>
      <c r="QWX29" s="914"/>
      <c r="QWY29" s="914"/>
      <c r="QWZ29" s="914"/>
      <c r="QXA29" s="914"/>
      <c r="QXB29" s="914"/>
      <c r="QXC29" s="914"/>
      <c r="QXD29" s="911"/>
      <c r="QXE29" s="911"/>
      <c r="QXF29" s="911"/>
      <c r="QXG29" s="915"/>
      <c r="QXH29" s="914"/>
      <c r="QXI29" s="914"/>
      <c r="QXJ29" s="914"/>
      <c r="QXK29" s="914"/>
      <c r="QXL29" s="914"/>
      <c r="QXM29" s="914"/>
      <c r="QXN29" s="914"/>
      <c r="QXO29" s="911"/>
      <c r="QXP29" s="911"/>
      <c r="QXQ29" s="911"/>
      <c r="QXR29" s="915"/>
      <c r="QXS29" s="914"/>
      <c r="QXT29" s="914"/>
      <c r="QXU29" s="914"/>
      <c r="QXV29" s="914"/>
      <c r="QXW29" s="914"/>
      <c r="QXX29" s="914"/>
      <c r="QXY29" s="914"/>
      <c r="QXZ29" s="911"/>
      <c r="QYA29" s="911"/>
      <c r="QYB29" s="911"/>
      <c r="QYC29" s="915"/>
      <c r="QYD29" s="914"/>
      <c r="QYE29" s="914"/>
      <c r="QYF29" s="914"/>
      <c r="QYG29" s="914"/>
      <c r="QYH29" s="914"/>
      <c r="QYI29" s="914"/>
      <c r="QYJ29" s="914"/>
      <c r="QYK29" s="911"/>
      <c r="QYL29" s="911"/>
      <c r="QYM29" s="911"/>
      <c r="QYN29" s="915"/>
      <c r="QYO29" s="914"/>
      <c r="QYP29" s="914"/>
      <c r="QYQ29" s="914"/>
      <c r="QYR29" s="914"/>
      <c r="QYS29" s="914"/>
      <c r="QYT29" s="914"/>
      <c r="QYU29" s="914"/>
      <c r="QYV29" s="911"/>
      <c r="QYW29" s="911"/>
      <c r="QYX29" s="911"/>
      <c r="QYY29" s="915"/>
      <c r="QYZ29" s="914"/>
      <c r="QZA29" s="914"/>
      <c r="QZB29" s="914"/>
      <c r="QZC29" s="914"/>
      <c r="QZD29" s="914"/>
      <c r="QZE29" s="914"/>
      <c r="QZF29" s="914"/>
      <c r="QZG29" s="911"/>
      <c r="QZH29" s="911"/>
      <c r="QZI29" s="911"/>
      <c r="QZJ29" s="915"/>
      <c r="QZK29" s="914"/>
      <c r="QZL29" s="914"/>
      <c r="QZM29" s="914"/>
      <c r="QZN29" s="914"/>
      <c r="QZO29" s="914"/>
      <c r="QZP29" s="914"/>
      <c r="QZQ29" s="914"/>
      <c r="QZR29" s="911"/>
      <c r="QZS29" s="911"/>
      <c r="QZT29" s="911"/>
      <c r="QZU29" s="915"/>
      <c r="QZV29" s="914"/>
      <c r="QZW29" s="914"/>
      <c r="QZX29" s="914"/>
      <c r="QZY29" s="914"/>
      <c r="QZZ29" s="914"/>
      <c r="RAA29" s="914"/>
      <c r="RAB29" s="914"/>
      <c r="RAC29" s="911"/>
      <c r="RAD29" s="911"/>
      <c r="RAE29" s="911"/>
      <c r="RAF29" s="915"/>
      <c r="RAG29" s="914"/>
      <c r="RAH29" s="914"/>
      <c r="RAI29" s="914"/>
      <c r="RAJ29" s="914"/>
      <c r="RAK29" s="914"/>
      <c r="RAL29" s="914"/>
      <c r="RAM29" s="914"/>
      <c r="RAN29" s="911"/>
      <c r="RAO29" s="911"/>
      <c r="RAP29" s="911"/>
      <c r="RAQ29" s="915"/>
      <c r="RAR29" s="914"/>
      <c r="RAS29" s="914"/>
      <c r="RAT29" s="914"/>
      <c r="RAU29" s="914"/>
      <c r="RAV29" s="914"/>
      <c r="RAW29" s="914"/>
      <c r="RAX29" s="914"/>
      <c r="RAY29" s="911"/>
      <c r="RAZ29" s="911"/>
      <c r="RBA29" s="911"/>
      <c r="RBB29" s="915"/>
      <c r="RBC29" s="914"/>
      <c r="RBD29" s="914"/>
      <c r="RBE29" s="914"/>
      <c r="RBF29" s="914"/>
      <c r="RBG29" s="914"/>
      <c r="RBH29" s="914"/>
      <c r="RBI29" s="914"/>
      <c r="RBJ29" s="911"/>
      <c r="RBK29" s="911"/>
      <c r="RBL29" s="911"/>
      <c r="RBM29" s="915"/>
      <c r="RBN29" s="914"/>
      <c r="RBO29" s="914"/>
      <c r="RBP29" s="914"/>
      <c r="RBQ29" s="914"/>
      <c r="RBR29" s="914"/>
      <c r="RBS29" s="914"/>
      <c r="RBT29" s="914"/>
      <c r="RBU29" s="911"/>
      <c r="RBV29" s="911"/>
      <c r="RBW29" s="911"/>
      <c r="RBX29" s="915"/>
      <c r="RBY29" s="914"/>
      <c r="RBZ29" s="914"/>
      <c r="RCA29" s="914"/>
      <c r="RCB29" s="914"/>
      <c r="RCC29" s="914"/>
      <c r="RCD29" s="914"/>
      <c r="RCE29" s="914"/>
      <c r="RCF29" s="911"/>
      <c r="RCG29" s="911"/>
      <c r="RCH29" s="911"/>
      <c r="RCI29" s="915"/>
      <c r="RCJ29" s="914"/>
      <c r="RCK29" s="914"/>
      <c r="RCL29" s="914"/>
      <c r="RCM29" s="914"/>
      <c r="RCN29" s="914"/>
      <c r="RCO29" s="914"/>
      <c r="RCP29" s="914"/>
      <c r="RCQ29" s="911"/>
      <c r="RCR29" s="911"/>
      <c r="RCS29" s="911"/>
      <c r="RCT29" s="915"/>
      <c r="RCU29" s="914"/>
      <c r="RCV29" s="914"/>
      <c r="RCW29" s="914"/>
      <c r="RCX29" s="914"/>
      <c r="RCY29" s="914"/>
      <c r="RCZ29" s="914"/>
      <c r="RDA29" s="914"/>
      <c r="RDB29" s="911"/>
      <c r="RDC29" s="911"/>
      <c r="RDD29" s="911"/>
      <c r="RDE29" s="915"/>
      <c r="RDF29" s="914"/>
      <c r="RDG29" s="914"/>
      <c r="RDH29" s="914"/>
      <c r="RDI29" s="914"/>
      <c r="RDJ29" s="914"/>
      <c r="RDK29" s="914"/>
      <c r="RDL29" s="914"/>
      <c r="RDM29" s="911"/>
      <c r="RDN29" s="911"/>
      <c r="RDO29" s="911"/>
      <c r="RDP29" s="915"/>
      <c r="RDQ29" s="914"/>
      <c r="RDR29" s="914"/>
      <c r="RDS29" s="914"/>
      <c r="RDT29" s="914"/>
      <c r="RDU29" s="914"/>
      <c r="RDV29" s="914"/>
      <c r="RDW29" s="914"/>
      <c r="RDX29" s="911"/>
      <c r="RDY29" s="911"/>
      <c r="RDZ29" s="911"/>
      <c r="REA29" s="915"/>
      <c r="REB29" s="914"/>
      <c r="REC29" s="914"/>
      <c r="RED29" s="914"/>
      <c r="REE29" s="914"/>
      <c r="REF29" s="914"/>
      <c r="REG29" s="914"/>
      <c r="REH29" s="914"/>
      <c r="REI29" s="911"/>
      <c r="REJ29" s="911"/>
      <c r="REK29" s="911"/>
      <c r="REL29" s="915"/>
      <c r="REM29" s="914"/>
      <c r="REN29" s="914"/>
      <c r="REO29" s="914"/>
      <c r="REP29" s="914"/>
      <c r="REQ29" s="914"/>
      <c r="RER29" s="914"/>
      <c r="RES29" s="914"/>
      <c r="RET29" s="911"/>
      <c r="REU29" s="911"/>
      <c r="REV29" s="911"/>
      <c r="REW29" s="915"/>
      <c r="REX29" s="914"/>
      <c r="REY29" s="914"/>
      <c r="REZ29" s="914"/>
      <c r="RFA29" s="914"/>
      <c r="RFB29" s="914"/>
      <c r="RFC29" s="914"/>
      <c r="RFD29" s="914"/>
      <c r="RFE29" s="911"/>
      <c r="RFF29" s="911"/>
      <c r="RFG29" s="911"/>
      <c r="RFH29" s="915"/>
      <c r="RFI29" s="914"/>
      <c r="RFJ29" s="914"/>
      <c r="RFK29" s="914"/>
      <c r="RFL29" s="914"/>
      <c r="RFM29" s="914"/>
      <c r="RFN29" s="914"/>
      <c r="RFO29" s="914"/>
      <c r="RFP29" s="911"/>
      <c r="RFQ29" s="911"/>
      <c r="RFR29" s="911"/>
      <c r="RFS29" s="915"/>
      <c r="RFT29" s="914"/>
      <c r="RFU29" s="914"/>
      <c r="RFV29" s="914"/>
      <c r="RFW29" s="914"/>
      <c r="RFX29" s="914"/>
      <c r="RFY29" s="914"/>
      <c r="RFZ29" s="914"/>
      <c r="RGA29" s="911"/>
      <c r="RGB29" s="911"/>
      <c r="RGC29" s="911"/>
      <c r="RGD29" s="915"/>
      <c r="RGE29" s="914"/>
      <c r="RGF29" s="914"/>
      <c r="RGG29" s="914"/>
      <c r="RGH29" s="914"/>
      <c r="RGI29" s="914"/>
      <c r="RGJ29" s="914"/>
      <c r="RGK29" s="914"/>
      <c r="RGL29" s="911"/>
      <c r="RGM29" s="911"/>
      <c r="RGN29" s="911"/>
      <c r="RGO29" s="915"/>
      <c r="RGP29" s="914"/>
      <c r="RGQ29" s="914"/>
      <c r="RGR29" s="914"/>
      <c r="RGS29" s="914"/>
      <c r="RGT29" s="914"/>
      <c r="RGU29" s="914"/>
      <c r="RGV29" s="914"/>
      <c r="RGW29" s="911"/>
      <c r="RGX29" s="911"/>
      <c r="RGY29" s="911"/>
      <c r="RGZ29" s="915"/>
      <c r="RHA29" s="914"/>
      <c r="RHB29" s="914"/>
      <c r="RHC29" s="914"/>
      <c r="RHD29" s="914"/>
      <c r="RHE29" s="914"/>
      <c r="RHF29" s="914"/>
      <c r="RHG29" s="914"/>
      <c r="RHH29" s="911"/>
      <c r="RHI29" s="911"/>
      <c r="RHJ29" s="911"/>
      <c r="RHK29" s="915"/>
      <c r="RHL29" s="914"/>
      <c r="RHM29" s="914"/>
      <c r="RHN29" s="914"/>
      <c r="RHO29" s="914"/>
      <c r="RHP29" s="914"/>
      <c r="RHQ29" s="914"/>
      <c r="RHR29" s="914"/>
      <c r="RHS29" s="911"/>
      <c r="RHT29" s="911"/>
      <c r="RHU29" s="911"/>
      <c r="RHV29" s="915"/>
      <c r="RHW29" s="914"/>
      <c r="RHX29" s="914"/>
      <c r="RHY29" s="914"/>
      <c r="RHZ29" s="914"/>
      <c r="RIA29" s="914"/>
      <c r="RIB29" s="914"/>
      <c r="RIC29" s="914"/>
      <c r="RID29" s="911"/>
      <c r="RIE29" s="911"/>
      <c r="RIF29" s="911"/>
      <c r="RIG29" s="915"/>
      <c r="RIH29" s="914"/>
      <c r="RII29" s="914"/>
      <c r="RIJ29" s="914"/>
      <c r="RIK29" s="914"/>
      <c r="RIL29" s="914"/>
      <c r="RIM29" s="914"/>
      <c r="RIN29" s="914"/>
      <c r="RIO29" s="911"/>
      <c r="RIP29" s="911"/>
      <c r="RIQ29" s="911"/>
      <c r="RIR29" s="915"/>
      <c r="RIS29" s="914"/>
      <c r="RIT29" s="914"/>
      <c r="RIU29" s="914"/>
      <c r="RIV29" s="914"/>
      <c r="RIW29" s="914"/>
      <c r="RIX29" s="914"/>
      <c r="RIY29" s="914"/>
      <c r="RIZ29" s="911"/>
      <c r="RJA29" s="911"/>
      <c r="RJB29" s="911"/>
      <c r="RJC29" s="915"/>
      <c r="RJD29" s="914"/>
      <c r="RJE29" s="914"/>
      <c r="RJF29" s="914"/>
      <c r="RJG29" s="914"/>
      <c r="RJH29" s="914"/>
      <c r="RJI29" s="914"/>
      <c r="RJJ29" s="914"/>
      <c r="RJK29" s="911"/>
      <c r="RJL29" s="911"/>
      <c r="RJM29" s="911"/>
      <c r="RJN29" s="915"/>
      <c r="RJO29" s="914"/>
      <c r="RJP29" s="914"/>
      <c r="RJQ29" s="914"/>
      <c r="RJR29" s="914"/>
      <c r="RJS29" s="914"/>
      <c r="RJT29" s="914"/>
      <c r="RJU29" s="914"/>
      <c r="RJV29" s="911"/>
      <c r="RJW29" s="911"/>
      <c r="RJX29" s="911"/>
      <c r="RJY29" s="915"/>
      <c r="RJZ29" s="914"/>
      <c r="RKA29" s="914"/>
      <c r="RKB29" s="914"/>
      <c r="RKC29" s="914"/>
      <c r="RKD29" s="914"/>
      <c r="RKE29" s="914"/>
      <c r="RKF29" s="914"/>
      <c r="RKG29" s="911"/>
      <c r="RKH29" s="911"/>
      <c r="RKI29" s="911"/>
      <c r="RKJ29" s="915"/>
      <c r="RKK29" s="914"/>
      <c r="RKL29" s="914"/>
      <c r="RKM29" s="914"/>
      <c r="RKN29" s="914"/>
      <c r="RKO29" s="914"/>
      <c r="RKP29" s="914"/>
      <c r="RKQ29" s="914"/>
      <c r="RKR29" s="911"/>
      <c r="RKS29" s="911"/>
      <c r="RKT29" s="911"/>
      <c r="RKU29" s="915"/>
      <c r="RKV29" s="914"/>
      <c r="RKW29" s="914"/>
      <c r="RKX29" s="914"/>
      <c r="RKY29" s="914"/>
      <c r="RKZ29" s="914"/>
      <c r="RLA29" s="914"/>
      <c r="RLB29" s="914"/>
      <c r="RLC29" s="911"/>
      <c r="RLD29" s="911"/>
      <c r="RLE29" s="911"/>
      <c r="RLF29" s="915"/>
      <c r="RLG29" s="914"/>
      <c r="RLH29" s="914"/>
      <c r="RLI29" s="914"/>
      <c r="RLJ29" s="914"/>
      <c r="RLK29" s="914"/>
      <c r="RLL29" s="914"/>
      <c r="RLM29" s="914"/>
      <c r="RLN29" s="911"/>
      <c r="RLO29" s="911"/>
      <c r="RLP29" s="911"/>
      <c r="RLQ29" s="915"/>
      <c r="RLR29" s="914"/>
      <c r="RLS29" s="914"/>
      <c r="RLT29" s="914"/>
      <c r="RLU29" s="914"/>
      <c r="RLV29" s="914"/>
      <c r="RLW29" s="914"/>
      <c r="RLX29" s="914"/>
      <c r="RLY29" s="911"/>
      <c r="RLZ29" s="911"/>
      <c r="RMA29" s="911"/>
      <c r="RMB29" s="915"/>
      <c r="RMC29" s="914"/>
      <c r="RMD29" s="914"/>
      <c r="RME29" s="914"/>
      <c r="RMF29" s="914"/>
      <c r="RMG29" s="914"/>
      <c r="RMH29" s="914"/>
      <c r="RMI29" s="914"/>
      <c r="RMJ29" s="911"/>
      <c r="RMK29" s="911"/>
      <c r="RML29" s="911"/>
      <c r="RMM29" s="915"/>
      <c r="RMN29" s="914"/>
      <c r="RMO29" s="914"/>
      <c r="RMP29" s="914"/>
      <c r="RMQ29" s="914"/>
      <c r="RMR29" s="914"/>
      <c r="RMS29" s="914"/>
      <c r="RMT29" s="914"/>
      <c r="RMU29" s="911"/>
      <c r="RMV29" s="911"/>
      <c r="RMW29" s="911"/>
      <c r="RMX29" s="915"/>
      <c r="RMY29" s="914"/>
      <c r="RMZ29" s="914"/>
      <c r="RNA29" s="914"/>
      <c r="RNB29" s="914"/>
      <c r="RNC29" s="914"/>
      <c r="RND29" s="914"/>
      <c r="RNE29" s="914"/>
      <c r="RNF29" s="911"/>
      <c r="RNG29" s="911"/>
      <c r="RNH29" s="911"/>
      <c r="RNI29" s="915"/>
      <c r="RNJ29" s="914"/>
      <c r="RNK29" s="914"/>
      <c r="RNL29" s="914"/>
      <c r="RNM29" s="914"/>
      <c r="RNN29" s="914"/>
      <c r="RNO29" s="914"/>
      <c r="RNP29" s="914"/>
      <c r="RNQ29" s="911"/>
      <c r="RNR29" s="911"/>
      <c r="RNS29" s="911"/>
      <c r="RNT29" s="915"/>
      <c r="RNU29" s="914"/>
      <c r="RNV29" s="914"/>
      <c r="RNW29" s="914"/>
      <c r="RNX29" s="914"/>
      <c r="RNY29" s="914"/>
      <c r="RNZ29" s="914"/>
      <c r="ROA29" s="914"/>
      <c r="ROB29" s="911"/>
      <c r="ROC29" s="911"/>
      <c r="ROD29" s="911"/>
      <c r="ROE29" s="915"/>
      <c r="ROF29" s="914"/>
      <c r="ROG29" s="914"/>
      <c r="ROH29" s="914"/>
      <c r="ROI29" s="914"/>
      <c r="ROJ29" s="914"/>
      <c r="ROK29" s="914"/>
      <c r="ROL29" s="914"/>
      <c r="ROM29" s="911"/>
      <c r="RON29" s="911"/>
      <c r="ROO29" s="911"/>
      <c r="ROP29" s="915"/>
      <c r="ROQ29" s="914"/>
      <c r="ROR29" s="914"/>
      <c r="ROS29" s="914"/>
      <c r="ROT29" s="914"/>
      <c r="ROU29" s="914"/>
      <c r="ROV29" s="914"/>
      <c r="ROW29" s="914"/>
      <c r="ROX29" s="911"/>
      <c r="ROY29" s="911"/>
      <c r="ROZ29" s="911"/>
      <c r="RPA29" s="915"/>
      <c r="RPB29" s="914"/>
      <c r="RPC29" s="914"/>
      <c r="RPD29" s="914"/>
      <c r="RPE29" s="914"/>
      <c r="RPF29" s="914"/>
      <c r="RPG29" s="914"/>
      <c r="RPH29" s="914"/>
      <c r="RPI29" s="911"/>
      <c r="RPJ29" s="911"/>
      <c r="RPK29" s="911"/>
      <c r="RPL29" s="915"/>
      <c r="RPM29" s="914"/>
      <c r="RPN29" s="914"/>
      <c r="RPO29" s="914"/>
      <c r="RPP29" s="914"/>
      <c r="RPQ29" s="914"/>
      <c r="RPR29" s="914"/>
      <c r="RPS29" s="914"/>
      <c r="RPT29" s="911"/>
      <c r="RPU29" s="911"/>
      <c r="RPV29" s="911"/>
      <c r="RPW29" s="915"/>
      <c r="RPX29" s="914"/>
      <c r="RPY29" s="914"/>
      <c r="RPZ29" s="914"/>
      <c r="RQA29" s="914"/>
      <c r="RQB29" s="914"/>
      <c r="RQC29" s="914"/>
      <c r="RQD29" s="914"/>
      <c r="RQE29" s="911"/>
      <c r="RQF29" s="911"/>
      <c r="RQG29" s="911"/>
      <c r="RQH29" s="915"/>
      <c r="RQI29" s="914"/>
      <c r="RQJ29" s="914"/>
      <c r="RQK29" s="914"/>
      <c r="RQL29" s="914"/>
      <c r="RQM29" s="914"/>
      <c r="RQN29" s="914"/>
      <c r="RQO29" s="914"/>
      <c r="RQP29" s="911"/>
      <c r="RQQ29" s="911"/>
      <c r="RQR29" s="911"/>
      <c r="RQS29" s="915"/>
      <c r="RQT29" s="914"/>
      <c r="RQU29" s="914"/>
      <c r="RQV29" s="914"/>
      <c r="RQW29" s="914"/>
      <c r="RQX29" s="914"/>
      <c r="RQY29" s="914"/>
      <c r="RQZ29" s="914"/>
      <c r="RRA29" s="911"/>
      <c r="RRB29" s="911"/>
      <c r="RRC29" s="911"/>
      <c r="RRD29" s="915"/>
      <c r="RRE29" s="914"/>
      <c r="RRF29" s="914"/>
      <c r="RRG29" s="914"/>
      <c r="RRH29" s="914"/>
      <c r="RRI29" s="914"/>
      <c r="RRJ29" s="914"/>
      <c r="RRK29" s="914"/>
      <c r="RRL29" s="911"/>
      <c r="RRM29" s="911"/>
      <c r="RRN29" s="911"/>
      <c r="RRO29" s="915"/>
      <c r="RRP29" s="914"/>
      <c r="RRQ29" s="914"/>
      <c r="RRR29" s="914"/>
      <c r="RRS29" s="914"/>
      <c r="RRT29" s="914"/>
      <c r="RRU29" s="914"/>
      <c r="RRV29" s="914"/>
      <c r="RRW29" s="911"/>
      <c r="RRX29" s="911"/>
      <c r="RRY29" s="911"/>
      <c r="RRZ29" s="915"/>
      <c r="RSA29" s="914"/>
      <c r="RSB29" s="914"/>
      <c r="RSC29" s="914"/>
      <c r="RSD29" s="914"/>
      <c r="RSE29" s="914"/>
      <c r="RSF29" s="914"/>
      <c r="RSG29" s="914"/>
      <c r="RSH29" s="911"/>
      <c r="RSI29" s="911"/>
      <c r="RSJ29" s="911"/>
      <c r="RSK29" s="915"/>
      <c r="RSL29" s="914"/>
      <c r="RSM29" s="914"/>
      <c r="RSN29" s="914"/>
      <c r="RSO29" s="914"/>
      <c r="RSP29" s="914"/>
      <c r="RSQ29" s="914"/>
      <c r="RSR29" s="914"/>
      <c r="RSS29" s="911"/>
      <c r="RST29" s="911"/>
      <c r="RSU29" s="911"/>
      <c r="RSV29" s="915"/>
      <c r="RSW29" s="914"/>
      <c r="RSX29" s="914"/>
      <c r="RSY29" s="914"/>
      <c r="RSZ29" s="914"/>
      <c r="RTA29" s="914"/>
      <c r="RTB29" s="914"/>
      <c r="RTC29" s="914"/>
      <c r="RTD29" s="911"/>
      <c r="RTE29" s="911"/>
      <c r="RTF29" s="911"/>
      <c r="RTG29" s="915"/>
      <c r="RTH29" s="914"/>
      <c r="RTI29" s="914"/>
      <c r="RTJ29" s="914"/>
      <c r="RTK29" s="914"/>
      <c r="RTL29" s="914"/>
      <c r="RTM29" s="914"/>
      <c r="RTN29" s="914"/>
      <c r="RTO29" s="911"/>
      <c r="RTP29" s="911"/>
      <c r="RTQ29" s="911"/>
      <c r="RTR29" s="915"/>
      <c r="RTS29" s="914"/>
      <c r="RTT29" s="914"/>
      <c r="RTU29" s="914"/>
      <c r="RTV29" s="914"/>
      <c r="RTW29" s="914"/>
      <c r="RTX29" s="914"/>
      <c r="RTY29" s="914"/>
      <c r="RTZ29" s="911"/>
      <c r="RUA29" s="911"/>
      <c r="RUB29" s="911"/>
      <c r="RUC29" s="915"/>
      <c r="RUD29" s="914"/>
      <c r="RUE29" s="914"/>
      <c r="RUF29" s="914"/>
      <c r="RUG29" s="914"/>
      <c r="RUH29" s="914"/>
      <c r="RUI29" s="914"/>
      <c r="RUJ29" s="914"/>
      <c r="RUK29" s="911"/>
      <c r="RUL29" s="911"/>
      <c r="RUM29" s="911"/>
      <c r="RUN29" s="915"/>
      <c r="RUO29" s="914"/>
      <c r="RUP29" s="914"/>
      <c r="RUQ29" s="914"/>
      <c r="RUR29" s="914"/>
      <c r="RUS29" s="914"/>
      <c r="RUT29" s="914"/>
      <c r="RUU29" s="914"/>
      <c r="RUV29" s="911"/>
      <c r="RUW29" s="911"/>
      <c r="RUX29" s="911"/>
      <c r="RUY29" s="915"/>
      <c r="RUZ29" s="914"/>
      <c r="RVA29" s="914"/>
      <c r="RVB29" s="914"/>
      <c r="RVC29" s="914"/>
      <c r="RVD29" s="914"/>
      <c r="RVE29" s="914"/>
      <c r="RVF29" s="914"/>
      <c r="RVG29" s="911"/>
      <c r="RVH29" s="911"/>
      <c r="RVI29" s="911"/>
      <c r="RVJ29" s="915"/>
      <c r="RVK29" s="914"/>
      <c r="RVL29" s="914"/>
      <c r="RVM29" s="914"/>
      <c r="RVN29" s="914"/>
      <c r="RVO29" s="914"/>
      <c r="RVP29" s="914"/>
      <c r="RVQ29" s="914"/>
      <c r="RVR29" s="911"/>
      <c r="RVS29" s="911"/>
      <c r="RVT29" s="911"/>
      <c r="RVU29" s="915"/>
      <c r="RVV29" s="914"/>
      <c r="RVW29" s="914"/>
      <c r="RVX29" s="914"/>
      <c r="RVY29" s="914"/>
      <c r="RVZ29" s="914"/>
      <c r="RWA29" s="914"/>
      <c r="RWB29" s="914"/>
      <c r="RWC29" s="911"/>
      <c r="RWD29" s="911"/>
      <c r="RWE29" s="911"/>
      <c r="RWF29" s="915"/>
      <c r="RWG29" s="914"/>
      <c r="RWH29" s="914"/>
      <c r="RWI29" s="914"/>
      <c r="RWJ29" s="914"/>
      <c r="RWK29" s="914"/>
      <c r="RWL29" s="914"/>
      <c r="RWM29" s="914"/>
      <c r="RWN29" s="911"/>
      <c r="RWO29" s="911"/>
      <c r="RWP29" s="911"/>
      <c r="RWQ29" s="915"/>
      <c r="RWR29" s="914"/>
      <c r="RWS29" s="914"/>
      <c r="RWT29" s="914"/>
      <c r="RWU29" s="914"/>
      <c r="RWV29" s="914"/>
      <c r="RWW29" s="914"/>
      <c r="RWX29" s="914"/>
      <c r="RWY29" s="911"/>
      <c r="RWZ29" s="911"/>
      <c r="RXA29" s="911"/>
      <c r="RXB29" s="915"/>
      <c r="RXC29" s="914"/>
      <c r="RXD29" s="914"/>
      <c r="RXE29" s="914"/>
      <c r="RXF29" s="914"/>
      <c r="RXG29" s="914"/>
      <c r="RXH29" s="914"/>
      <c r="RXI29" s="914"/>
      <c r="RXJ29" s="911"/>
      <c r="RXK29" s="911"/>
      <c r="RXL29" s="911"/>
      <c r="RXM29" s="915"/>
      <c r="RXN29" s="914"/>
      <c r="RXO29" s="914"/>
      <c r="RXP29" s="914"/>
      <c r="RXQ29" s="914"/>
      <c r="RXR29" s="914"/>
      <c r="RXS29" s="914"/>
      <c r="RXT29" s="914"/>
      <c r="RXU29" s="911"/>
      <c r="RXV29" s="911"/>
      <c r="RXW29" s="911"/>
      <c r="RXX29" s="915"/>
      <c r="RXY29" s="914"/>
      <c r="RXZ29" s="914"/>
      <c r="RYA29" s="914"/>
      <c r="RYB29" s="914"/>
      <c r="RYC29" s="914"/>
      <c r="RYD29" s="914"/>
      <c r="RYE29" s="914"/>
      <c r="RYF29" s="911"/>
      <c r="RYG29" s="911"/>
      <c r="RYH29" s="911"/>
      <c r="RYI29" s="915"/>
      <c r="RYJ29" s="914"/>
      <c r="RYK29" s="914"/>
      <c r="RYL29" s="914"/>
      <c r="RYM29" s="914"/>
      <c r="RYN29" s="914"/>
      <c r="RYO29" s="914"/>
      <c r="RYP29" s="914"/>
      <c r="RYQ29" s="911"/>
      <c r="RYR29" s="911"/>
      <c r="RYS29" s="911"/>
      <c r="RYT29" s="915"/>
      <c r="RYU29" s="914"/>
      <c r="RYV29" s="914"/>
      <c r="RYW29" s="914"/>
      <c r="RYX29" s="914"/>
      <c r="RYY29" s="914"/>
      <c r="RYZ29" s="914"/>
      <c r="RZA29" s="914"/>
      <c r="RZB29" s="911"/>
      <c r="RZC29" s="911"/>
      <c r="RZD29" s="911"/>
      <c r="RZE29" s="915"/>
      <c r="RZF29" s="914"/>
      <c r="RZG29" s="914"/>
      <c r="RZH29" s="914"/>
      <c r="RZI29" s="914"/>
      <c r="RZJ29" s="914"/>
      <c r="RZK29" s="914"/>
      <c r="RZL29" s="914"/>
      <c r="RZM29" s="911"/>
      <c r="RZN29" s="911"/>
      <c r="RZO29" s="911"/>
      <c r="RZP29" s="915"/>
      <c r="RZQ29" s="914"/>
      <c r="RZR29" s="914"/>
      <c r="RZS29" s="914"/>
      <c r="RZT29" s="914"/>
      <c r="RZU29" s="914"/>
      <c r="RZV29" s="914"/>
      <c r="RZW29" s="914"/>
      <c r="RZX29" s="911"/>
      <c r="RZY29" s="911"/>
      <c r="RZZ29" s="911"/>
      <c r="SAA29" s="915"/>
      <c r="SAB29" s="914"/>
      <c r="SAC29" s="914"/>
      <c r="SAD29" s="914"/>
      <c r="SAE29" s="914"/>
      <c r="SAF29" s="914"/>
      <c r="SAG29" s="914"/>
      <c r="SAH29" s="914"/>
      <c r="SAI29" s="911"/>
      <c r="SAJ29" s="911"/>
      <c r="SAK29" s="911"/>
      <c r="SAL29" s="915"/>
      <c r="SAM29" s="914"/>
      <c r="SAN29" s="914"/>
      <c r="SAO29" s="914"/>
      <c r="SAP29" s="914"/>
      <c r="SAQ29" s="914"/>
      <c r="SAR29" s="914"/>
      <c r="SAS29" s="914"/>
      <c r="SAT29" s="911"/>
      <c r="SAU29" s="911"/>
      <c r="SAV29" s="911"/>
      <c r="SAW29" s="915"/>
      <c r="SAX29" s="914"/>
      <c r="SAY29" s="914"/>
      <c r="SAZ29" s="914"/>
      <c r="SBA29" s="914"/>
      <c r="SBB29" s="914"/>
      <c r="SBC29" s="914"/>
      <c r="SBD29" s="914"/>
      <c r="SBE29" s="911"/>
      <c r="SBF29" s="911"/>
      <c r="SBG29" s="911"/>
      <c r="SBH29" s="915"/>
      <c r="SBI29" s="914"/>
      <c r="SBJ29" s="914"/>
      <c r="SBK29" s="914"/>
      <c r="SBL29" s="914"/>
      <c r="SBM29" s="914"/>
      <c r="SBN29" s="914"/>
      <c r="SBO29" s="914"/>
      <c r="SBP29" s="911"/>
      <c r="SBQ29" s="911"/>
      <c r="SBR29" s="911"/>
      <c r="SBS29" s="915"/>
      <c r="SBT29" s="914"/>
      <c r="SBU29" s="914"/>
      <c r="SBV29" s="914"/>
      <c r="SBW29" s="914"/>
      <c r="SBX29" s="914"/>
      <c r="SBY29" s="914"/>
      <c r="SBZ29" s="914"/>
      <c r="SCA29" s="911"/>
      <c r="SCB29" s="911"/>
      <c r="SCC29" s="911"/>
      <c r="SCD29" s="915"/>
      <c r="SCE29" s="914"/>
      <c r="SCF29" s="914"/>
      <c r="SCG29" s="914"/>
      <c r="SCH29" s="914"/>
      <c r="SCI29" s="914"/>
      <c r="SCJ29" s="914"/>
      <c r="SCK29" s="914"/>
      <c r="SCL29" s="911"/>
      <c r="SCM29" s="911"/>
      <c r="SCN29" s="911"/>
      <c r="SCO29" s="915"/>
      <c r="SCP29" s="914"/>
      <c r="SCQ29" s="914"/>
      <c r="SCR29" s="914"/>
      <c r="SCS29" s="914"/>
      <c r="SCT29" s="914"/>
      <c r="SCU29" s="914"/>
      <c r="SCV29" s="914"/>
      <c r="SCW29" s="911"/>
      <c r="SCX29" s="911"/>
      <c r="SCY29" s="911"/>
      <c r="SCZ29" s="915"/>
      <c r="SDA29" s="914"/>
      <c r="SDB29" s="914"/>
      <c r="SDC29" s="914"/>
      <c r="SDD29" s="914"/>
      <c r="SDE29" s="914"/>
      <c r="SDF29" s="914"/>
      <c r="SDG29" s="914"/>
      <c r="SDH29" s="911"/>
      <c r="SDI29" s="911"/>
      <c r="SDJ29" s="911"/>
      <c r="SDK29" s="915"/>
      <c r="SDL29" s="914"/>
      <c r="SDM29" s="914"/>
      <c r="SDN29" s="914"/>
      <c r="SDO29" s="914"/>
      <c r="SDP29" s="914"/>
      <c r="SDQ29" s="914"/>
      <c r="SDR29" s="914"/>
      <c r="SDS29" s="911"/>
      <c r="SDT29" s="911"/>
      <c r="SDU29" s="911"/>
      <c r="SDV29" s="915"/>
      <c r="SDW29" s="914"/>
      <c r="SDX29" s="914"/>
      <c r="SDY29" s="914"/>
      <c r="SDZ29" s="914"/>
      <c r="SEA29" s="914"/>
      <c r="SEB29" s="914"/>
      <c r="SEC29" s="914"/>
      <c r="SED29" s="911"/>
      <c r="SEE29" s="911"/>
      <c r="SEF29" s="911"/>
      <c r="SEG29" s="915"/>
      <c r="SEH29" s="914"/>
      <c r="SEI29" s="914"/>
      <c r="SEJ29" s="914"/>
      <c r="SEK29" s="914"/>
      <c r="SEL29" s="914"/>
      <c r="SEM29" s="914"/>
      <c r="SEN29" s="914"/>
      <c r="SEO29" s="911"/>
      <c r="SEP29" s="911"/>
      <c r="SEQ29" s="911"/>
      <c r="SER29" s="915"/>
      <c r="SES29" s="914"/>
      <c r="SET29" s="914"/>
      <c r="SEU29" s="914"/>
      <c r="SEV29" s="914"/>
      <c r="SEW29" s="914"/>
      <c r="SEX29" s="914"/>
      <c r="SEY29" s="914"/>
      <c r="SEZ29" s="911"/>
      <c r="SFA29" s="911"/>
      <c r="SFB29" s="911"/>
      <c r="SFC29" s="915"/>
      <c r="SFD29" s="914"/>
      <c r="SFE29" s="914"/>
      <c r="SFF29" s="914"/>
      <c r="SFG29" s="914"/>
      <c r="SFH29" s="914"/>
      <c r="SFI29" s="914"/>
      <c r="SFJ29" s="914"/>
      <c r="SFK29" s="911"/>
      <c r="SFL29" s="911"/>
      <c r="SFM29" s="911"/>
      <c r="SFN29" s="915"/>
      <c r="SFO29" s="914"/>
      <c r="SFP29" s="914"/>
      <c r="SFQ29" s="914"/>
      <c r="SFR29" s="914"/>
      <c r="SFS29" s="914"/>
      <c r="SFT29" s="914"/>
      <c r="SFU29" s="914"/>
      <c r="SFV29" s="911"/>
      <c r="SFW29" s="911"/>
      <c r="SFX29" s="911"/>
      <c r="SFY29" s="915"/>
      <c r="SFZ29" s="914"/>
      <c r="SGA29" s="914"/>
      <c r="SGB29" s="914"/>
      <c r="SGC29" s="914"/>
      <c r="SGD29" s="914"/>
      <c r="SGE29" s="914"/>
      <c r="SGF29" s="914"/>
      <c r="SGG29" s="911"/>
      <c r="SGH29" s="911"/>
      <c r="SGI29" s="911"/>
      <c r="SGJ29" s="915"/>
      <c r="SGK29" s="914"/>
      <c r="SGL29" s="914"/>
      <c r="SGM29" s="914"/>
      <c r="SGN29" s="914"/>
      <c r="SGO29" s="914"/>
      <c r="SGP29" s="914"/>
      <c r="SGQ29" s="914"/>
      <c r="SGR29" s="911"/>
      <c r="SGS29" s="911"/>
      <c r="SGT29" s="911"/>
      <c r="SGU29" s="915"/>
      <c r="SGV29" s="914"/>
      <c r="SGW29" s="914"/>
      <c r="SGX29" s="914"/>
      <c r="SGY29" s="914"/>
      <c r="SGZ29" s="914"/>
      <c r="SHA29" s="914"/>
      <c r="SHB29" s="914"/>
      <c r="SHC29" s="911"/>
      <c r="SHD29" s="911"/>
      <c r="SHE29" s="911"/>
      <c r="SHF29" s="915"/>
      <c r="SHG29" s="914"/>
      <c r="SHH29" s="914"/>
      <c r="SHI29" s="914"/>
      <c r="SHJ29" s="914"/>
      <c r="SHK29" s="914"/>
      <c r="SHL29" s="914"/>
      <c r="SHM29" s="914"/>
      <c r="SHN29" s="911"/>
      <c r="SHO29" s="911"/>
      <c r="SHP29" s="911"/>
      <c r="SHQ29" s="915"/>
      <c r="SHR29" s="914"/>
      <c r="SHS29" s="914"/>
      <c r="SHT29" s="914"/>
      <c r="SHU29" s="914"/>
      <c r="SHV29" s="914"/>
      <c r="SHW29" s="914"/>
      <c r="SHX29" s="914"/>
      <c r="SHY29" s="911"/>
      <c r="SHZ29" s="911"/>
      <c r="SIA29" s="911"/>
      <c r="SIB29" s="915"/>
      <c r="SIC29" s="914"/>
      <c r="SID29" s="914"/>
      <c r="SIE29" s="914"/>
      <c r="SIF29" s="914"/>
      <c r="SIG29" s="914"/>
      <c r="SIH29" s="914"/>
      <c r="SII29" s="914"/>
      <c r="SIJ29" s="911"/>
      <c r="SIK29" s="911"/>
      <c r="SIL29" s="911"/>
      <c r="SIM29" s="915"/>
      <c r="SIN29" s="914"/>
      <c r="SIO29" s="914"/>
      <c r="SIP29" s="914"/>
      <c r="SIQ29" s="914"/>
      <c r="SIR29" s="914"/>
      <c r="SIS29" s="914"/>
      <c r="SIT29" s="914"/>
      <c r="SIU29" s="911"/>
      <c r="SIV29" s="911"/>
      <c r="SIW29" s="911"/>
      <c r="SIX29" s="915"/>
      <c r="SIY29" s="914"/>
      <c r="SIZ29" s="914"/>
      <c r="SJA29" s="914"/>
      <c r="SJB29" s="914"/>
      <c r="SJC29" s="914"/>
      <c r="SJD29" s="914"/>
      <c r="SJE29" s="914"/>
      <c r="SJF29" s="911"/>
      <c r="SJG29" s="911"/>
      <c r="SJH29" s="911"/>
      <c r="SJI29" s="915"/>
      <c r="SJJ29" s="914"/>
      <c r="SJK29" s="914"/>
      <c r="SJL29" s="914"/>
      <c r="SJM29" s="914"/>
      <c r="SJN29" s="914"/>
      <c r="SJO29" s="914"/>
      <c r="SJP29" s="914"/>
      <c r="SJQ29" s="911"/>
      <c r="SJR29" s="911"/>
      <c r="SJS29" s="911"/>
      <c r="SJT29" s="915"/>
      <c r="SJU29" s="914"/>
      <c r="SJV29" s="914"/>
      <c r="SJW29" s="914"/>
      <c r="SJX29" s="914"/>
      <c r="SJY29" s="914"/>
      <c r="SJZ29" s="914"/>
      <c r="SKA29" s="914"/>
      <c r="SKB29" s="911"/>
      <c r="SKC29" s="911"/>
      <c r="SKD29" s="911"/>
      <c r="SKE29" s="915"/>
      <c r="SKF29" s="914"/>
      <c r="SKG29" s="914"/>
      <c r="SKH29" s="914"/>
      <c r="SKI29" s="914"/>
      <c r="SKJ29" s="914"/>
      <c r="SKK29" s="914"/>
      <c r="SKL29" s="914"/>
      <c r="SKM29" s="911"/>
      <c r="SKN29" s="911"/>
      <c r="SKO29" s="911"/>
      <c r="SKP29" s="915"/>
      <c r="SKQ29" s="914"/>
      <c r="SKR29" s="914"/>
      <c r="SKS29" s="914"/>
      <c r="SKT29" s="914"/>
      <c r="SKU29" s="914"/>
      <c r="SKV29" s="914"/>
      <c r="SKW29" s="914"/>
      <c r="SKX29" s="911"/>
      <c r="SKY29" s="911"/>
      <c r="SKZ29" s="911"/>
      <c r="SLA29" s="915"/>
      <c r="SLB29" s="914"/>
      <c r="SLC29" s="914"/>
      <c r="SLD29" s="914"/>
      <c r="SLE29" s="914"/>
      <c r="SLF29" s="914"/>
      <c r="SLG29" s="914"/>
      <c r="SLH29" s="914"/>
      <c r="SLI29" s="911"/>
      <c r="SLJ29" s="911"/>
      <c r="SLK29" s="911"/>
      <c r="SLL29" s="915"/>
      <c r="SLM29" s="914"/>
      <c r="SLN29" s="914"/>
      <c r="SLO29" s="914"/>
      <c r="SLP29" s="914"/>
      <c r="SLQ29" s="914"/>
      <c r="SLR29" s="914"/>
      <c r="SLS29" s="914"/>
      <c r="SLT29" s="911"/>
      <c r="SLU29" s="911"/>
      <c r="SLV29" s="911"/>
      <c r="SLW29" s="915"/>
      <c r="SLX29" s="914"/>
      <c r="SLY29" s="914"/>
      <c r="SLZ29" s="914"/>
      <c r="SMA29" s="914"/>
      <c r="SMB29" s="914"/>
      <c r="SMC29" s="914"/>
      <c r="SMD29" s="914"/>
      <c r="SME29" s="911"/>
      <c r="SMF29" s="911"/>
      <c r="SMG29" s="911"/>
      <c r="SMH29" s="915"/>
      <c r="SMI29" s="914"/>
      <c r="SMJ29" s="914"/>
      <c r="SMK29" s="914"/>
      <c r="SML29" s="914"/>
      <c r="SMM29" s="914"/>
      <c r="SMN29" s="914"/>
      <c r="SMO29" s="914"/>
      <c r="SMP29" s="911"/>
      <c r="SMQ29" s="911"/>
      <c r="SMR29" s="911"/>
      <c r="SMS29" s="915"/>
      <c r="SMT29" s="914"/>
      <c r="SMU29" s="914"/>
      <c r="SMV29" s="914"/>
      <c r="SMW29" s="914"/>
      <c r="SMX29" s="914"/>
      <c r="SMY29" s="914"/>
      <c r="SMZ29" s="914"/>
      <c r="SNA29" s="911"/>
      <c r="SNB29" s="911"/>
      <c r="SNC29" s="911"/>
      <c r="SND29" s="915"/>
      <c r="SNE29" s="914"/>
      <c r="SNF29" s="914"/>
      <c r="SNG29" s="914"/>
      <c r="SNH29" s="914"/>
      <c r="SNI29" s="914"/>
      <c r="SNJ29" s="914"/>
      <c r="SNK29" s="914"/>
      <c r="SNL29" s="911"/>
      <c r="SNM29" s="911"/>
      <c r="SNN29" s="911"/>
      <c r="SNO29" s="915"/>
      <c r="SNP29" s="914"/>
      <c r="SNQ29" s="914"/>
      <c r="SNR29" s="914"/>
      <c r="SNS29" s="914"/>
      <c r="SNT29" s="914"/>
      <c r="SNU29" s="914"/>
      <c r="SNV29" s="914"/>
      <c r="SNW29" s="911"/>
      <c r="SNX29" s="911"/>
      <c r="SNY29" s="911"/>
      <c r="SNZ29" s="915"/>
      <c r="SOA29" s="914"/>
      <c r="SOB29" s="914"/>
      <c r="SOC29" s="914"/>
      <c r="SOD29" s="914"/>
      <c r="SOE29" s="914"/>
      <c r="SOF29" s="914"/>
      <c r="SOG29" s="914"/>
      <c r="SOH29" s="911"/>
      <c r="SOI29" s="911"/>
      <c r="SOJ29" s="911"/>
      <c r="SOK29" s="915"/>
      <c r="SOL29" s="914"/>
      <c r="SOM29" s="914"/>
      <c r="SON29" s="914"/>
      <c r="SOO29" s="914"/>
      <c r="SOP29" s="914"/>
      <c r="SOQ29" s="914"/>
      <c r="SOR29" s="914"/>
      <c r="SOS29" s="911"/>
      <c r="SOT29" s="911"/>
      <c r="SOU29" s="911"/>
      <c r="SOV29" s="915"/>
      <c r="SOW29" s="914"/>
      <c r="SOX29" s="914"/>
      <c r="SOY29" s="914"/>
      <c r="SOZ29" s="914"/>
      <c r="SPA29" s="914"/>
      <c r="SPB29" s="914"/>
      <c r="SPC29" s="914"/>
      <c r="SPD29" s="911"/>
      <c r="SPE29" s="911"/>
      <c r="SPF29" s="911"/>
      <c r="SPG29" s="915"/>
      <c r="SPH29" s="914"/>
      <c r="SPI29" s="914"/>
      <c r="SPJ29" s="914"/>
      <c r="SPK29" s="914"/>
      <c r="SPL29" s="914"/>
      <c r="SPM29" s="914"/>
      <c r="SPN29" s="914"/>
      <c r="SPO29" s="911"/>
      <c r="SPP29" s="911"/>
      <c r="SPQ29" s="911"/>
      <c r="SPR29" s="915"/>
      <c r="SPS29" s="914"/>
      <c r="SPT29" s="914"/>
      <c r="SPU29" s="914"/>
      <c r="SPV29" s="914"/>
      <c r="SPW29" s="914"/>
      <c r="SPX29" s="914"/>
      <c r="SPY29" s="914"/>
      <c r="SPZ29" s="911"/>
      <c r="SQA29" s="911"/>
      <c r="SQB29" s="911"/>
      <c r="SQC29" s="915"/>
      <c r="SQD29" s="914"/>
      <c r="SQE29" s="914"/>
      <c r="SQF29" s="914"/>
      <c r="SQG29" s="914"/>
      <c r="SQH29" s="914"/>
      <c r="SQI29" s="914"/>
      <c r="SQJ29" s="914"/>
      <c r="SQK29" s="911"/>
      <c r="SQL29" s="911"/>
      <c r="SQM29" s="911"/>
      <c r="SQN29" s="915"/>
      <c r="SQO29" s="914"/>
      <c r="SQP29" s="914"/>
      <c r="SQQ29" s="914"/>
      <c r="SQR29" s="914"/>
      <c r="SQS29" s="914"/>
      <c r="SQT29" s="914"/>
      <c r="SQU29" s="914"/>
      <c r="SQV29" s="911"/>
      <c r="SQW29" s="911"/>
      <c r="SQX29" s="911"/>
      <c r="SQY29" s="915"/>
      <c r="SQZ29" s="914"/>
      <c r="SRA29" s="914"/>
      <c r="SRB29" s="914"/>
      <c r="SRC29" s="914"/>
      <c r="SRD29" s="914"/>
      <c r="SRE29" s="914"/>
      <c r="SRF29" s="914"/>
      <c r="SRG29" s="911"/>
      <c r="SRH29" s="911"/>
      <c r="SRI29" s="911"/>
      <c r="SRJ29" s="915"/>
      <c r="SRK29" s="914"/>
      <c r="SRL29" s="914"/>
      <c r="SRM29" s="914"/>
      <c r="SRN29" s="914"/>
      <c r="SRO29" s="914"/>
      <c r="SRP29" s="914"/>
      <c r="SRQ29" s="914"/>
      <c r="SRR29" s="911"/>
      <c r="SRS29" s="911"/>
      <c r="SRT29" s="911"/>
      <c r="SRU29" s="915"/>
      <c r="SRV29" s="914"/>
      <c r="SRW29" s="914"/>
      <c r="SRX29" s="914"/>
      <c r="SRY29" s="914"/>
      <c r="SRZ29" s="914"/>
      <c r="SSA29" s="914"/>
      <c r="SSB29" s="914"/>
      <c r="SSC29" s="911"/>
      <c r="SSD29" s="911"/>
      <c r="SSE29" s="911"/>
      <c r="SSF29" s="915"/>
      <c r="SSG29" s="914"/>
      <c r="SSH29" s="914"/>
      <c r="SSI29" s="914"/>
      <c r="SSJ29" s="914"/>
      <c r="SSK29" s="914"/>
      <c r="SSL29" s="914"/>
      <c r="SSM29" s="914"/>
      <c r="SSN29" s="911"/>
      <c r="SSO29" s="911"/>
      <c r="SSP29" s="911"/>
      <c r="SSQ29" s="915"/>
      <c r="SSR29" s="914"/>
      <c r="SSS29" s="914"/>
      <c r="SST29" s="914"/>
      <c r="SSU29" s="914"/>
      <c r="SSV29" s="914"/>
      <c r="SSW29" s="914"/>
      <c r="SSX29" s="914"/>
      <c r="SSY29" s="911"/>
      <c r="SSZ29" s="911"/>
      <c r="STA29" s="911"/>
      <c r="STB29" s="915"/>
      <c r="STC29" s="914"/>
      <c r="STD29" s="914"/>
      <c r="STE29" s="914"/>
      <c r="STF29" s="914"/>
      <c r="STG29" s="914"/>
      <c r="STH29" s="914"/>
      <c r="STI29" s="914"/>
      <c r="STJ29" s="911"/>
      <c r="STK29" s="911"/>
      <c r="STL29" s="911"/>
      <c r="STM29" s="915"/>
      <c r="STN29" s="914"/>
      <c r="STO29" s="914"/>
      <c r="STP29" s="914"/>
      <c r="STQ29" s="914"/>
      <c r="STR29" s="914"/>
      <c r="STS29" s="914"/>
      <c r="STT29" s="914"/>
      <c r="STU29" s="911"/>
      <c r="STV29" s="911"/>
      <c r="STW29" s="911"/>
      <c r="STX29" s="915"/>
      <c r="STY29" s="914"/>
      <c r="STZ29" s="914"/>
      <c r="SUA29" s="914"/>
      <c r="SUB29" s="914"/>
      <c r="SUC29" s="914"/>
      <c r="SUD29" s="914"/>
      <c r="SUE29" s="914"/>
      <c r="SUF29" s="911"/>
      <c r="SUG29" s="911"/>
      <c r="SUH29" s="911"/>
      <c r="SUI29" s="915"/>
      <c r="SUJ29" s="914"/>
      <c r="SUK29" s="914"/>
      <c r="SUL29" s="914"/>
      <c r="SUM29" s="914"/>
      <c r="SUN29" s="914"/>
      <c r="SUO29" s="914"/>
      <c r="SUP29" s="914"/>
      <c r="SUQ29" s="911"/>
      <c r="SUR29" s="911"/>
      <c r="SUS29" s="911"/>
      <c r="SUT29" s="915"/>
      <c r="SUU29" s="914"/>
      <c r="SUV29" s="914"/>
      <c r="SUW29" s="914"/>
      <c r="SUX29" s="914"/>
      <c r="SUY29" s="914"/>
      <c r="SUZ29" s="914"/>
      <c r="SVA29" s="914"/>
      <c r="SVB29" s="911"/>
      <c r="SVC29" s="911"/>
      <c r="SVD29" s="911"/>
      <c r="SVE29" s="915"/>
      <c r="SVF29" s="914"/>
      <c r="SVG29" s="914"/>
      <c r="SVH29" s="914"/>
      <c r="SVI29" s="914"/>
      <c r="SVJ29" s="914"/>
      <c r="SVK29" s="914"/>
      <c r="SVL29" s="914"/>
      <c r="SVM29" s="911"/>
      <c r="SVN29" s="911"/>
      <c r="SVO29" s="911"/>
      <c r="SVP29" s="915"/>
      <c r="SVQ29" s="914"/>
      <c r="SVR29" s="914"/>
      <c r="SVS29" s="914"/>
      <c r="SVT29" s="914"/>
      <c r="SVU29" s="914"/>
      <c r="SVV29" s="914"/>
      <c r="SVW29" s="914"/>
      <c r="SVX29" s="911"/>
      <c r="SVY29" s="911"/>
      <c r="SVZ29" s="911"/>
      <c r="SWA29" s="915"/>
      <c r="SWB29" s="914"/>
      <c r="SWC29" s="914"/>
      <c r="SWD29" s="914"/>
      <c r="SWE29" s="914"/>
      <c r="SWF29" s="914"/>
      <c r="SWG29" s="914"/>
      <c r="SWH29" s="914"/>
      <c r="SWI29" s="911"/>
      <c r="SWJ29" s="911"/>
      <c r="SWK29" s="911"/>
      <c r="SWL29" s="915"/>
      <c r="SWM29" s="914"/>
      <c r="SWN29" s="914"/>
      <c r="SWO29" s="914"/>
      <c r="SWP29" s="914"/>
      <c r="SWQ29" s="914"/>
      <c r="SWR29" s="914"/>
      <c r="SWS29" s="914"/>
      <c r="SWT29" s="911"/>
      <c r="SWU29" s="911"/>
      <c r="SWV29" s="911"/>
      <c r="SWW29" s="915"/>
      <c r="SWX29" s="914"/>
      <c r="SWY29" s="914"/>
      <c r="SWZ29" s="914"/>
      <c r="SXA29" s="914"/>
      <c r="SXB29" s="914"/>
      <c r="SXC29" s="914"/>
      <c r="SXD29" s="914"/>
      <c r="SXE29" s="911"/>
      <c r="SXF29" s="911"/>
      <c r="SXG29" s="911"/>
      <c r="SXH29" s="915"/>
      <c r="SXI29" s="914"/>
      <c r="SXJ29" s="914"/>
      <c r="SXK29" s="914"/>
      <c r="SXL29" s="914"/>
      <c r="SXM29" s="914"/>
      <c r="SXN29" s="914"/>
      <c r="SXO29" s="914"/>
      <c r="SXP29" s="911"/>
      <c r="SXQ29" s="911"/>
      <c r="SXR29" s="911"/>
      <c r="SXS29" s="915"/>
      <c r="SXT29" s="914"/>
      <c r="SXU29" s="914"/>
      <c r="SXV29" s="914"/>
      <c r="SXW29" s="914"/>
      <c r="SXX29" s="914"/>
      <c r="SXY29" s="914"/>
      <c r="SXZ29" s="914"/>
      <c r="SYA29" s="911"/>
      <c r="SYB29" s="911"/>
      <c r="SYC29" s="911"/>
      <c r="SYD29" s="915"/>
      <c r="SYE29" s="914"/>
      <c r="SYF29" s="914"/>
      <c r="SYG29" s="914"/>
      <c r="SYH29" s="914"/>
      <c r="SYI29" s="914"/>
      <c r="SYJ29" s="914"/>
      <c r="SYK29" s="914"/>
      <c r="SYL29" s="911"/>
      <c r="SYM29" s="911"/>
      <c r="SYN29" s="911"/>
      <c r="SYO29" s="915"/>
      <c r="SYP29" s="914"/>
      <c r="SYQ29" s="914"/>
      <c r="SYR29" s="914"/>
      <c r="SYS29" s="914"/>
      <c r="SYT29" s="914"/>
      <c r="SYU29" s="914"/>
      <c r="SYV29" s="914"/>
      <c r="SYW29" s="911"/>
      <c r="SYX29" s="911"/>
      <c r="SYY29" s="911"/>
      <c r="SYZ29" s="915"/>
      <c r="SZA29" s="914"/>
      <c r="SZB29" s="914"/>
      <c r="SZC29" s="914"/>
      <c r="SZD29" s="914"/>
      <c r="SZE29" s="914"/>
      <c r="SZF29" s="914"/>
      <c r="SZG29" s="914"/>
      <c r="SZH29" s="911"/>
      <c r="SZI29" s="911"/>
      <c r="SZJ29" s="911"/>
      <c r="SZK29" s="915"/>
      <c r="SZL29" s="914"/>
      <c r="SZM29" s="914"/>
      <c r="SZN29" s="914"/>
      <c r="SZO29" s="914"/>
      <c r="SZP29" s="914"/>
      <c r="SZQ29" s="914"/>
      <c r="SZR29" s="914"/>
      <c r="SZS29" s="911"/>
      <c r="SZT29" s="911"/>
      <c r="SZU29" s="911"/>
      <c r="SZV29" s="915"/>
      <c r="SZW29" s="914"/>
      <c r="SZX29" s="914"/>
      <c r="SZY29" s="914"/>
      <c r="SZZ29" s="914"/>
      <c r="TAA29" s="914"/>
      <c r="TAB29" s="914"/>
      <c r="TAC29" s="914"/>
      <c r="TAD29" s="911"/>
      <c r="TAE29" s="911"/>
      <c r="TAF29" s="911"/>
      <c r="TAG29" s="915"/>
      <c r="TAH29" s="914"/>
      <c r="TAI29" s="914"/>
      <c r="TAJ29" s="914"/>
      <c r="TAK29" s="914"/>
      <c r="TAL29" s="914"/>
      <c r="TAM29" s="914"/>
      <c r="TAN29" s="914"/>
      <c r="TAO29" s="911"/>
      <c r="TAP29" s="911"/>
      <c r="TAQ29" s="911"/>
      <c r="TAR29" s="915"/>
      <c r="TAS29" s="914"/>
      <c r="TAT29" s="914"/>
      <c r="TAU29" s="914"/>
      <c r="TAV29" s="914"/>
      <c r="TAW29" s="914"/>
      <c r="TAX29" s="914"/>
      <c r="TAY29" s="914"/>
      <c r="TAZ29" s="911"/>
      <c r="TBA29" s="911"/>
      <c r="TBB29" s="911"/>
      <c r="TBC29" s="915"/>
      <c r="TBD29" s="914"/>
      <c r="TBE29" s="914"/>
      <c r="TBF29" s="914"/>
      <c r="TBG29" s="914"/>
      <c r="TBH29" s="914"/>
      <c r="TBI29" s="914"/>
      <c r="TBJ29" s="914"/>
      <c r="TBK29" s="911"/>
      <c r="TBL29" s="911"/>
      <c r="TBM29" s="911"/>
      <c r="TBN29" s="915"/>
      <c r="TBO29" s="914"/>
      <c r="TBP29" s="914"/>
      <c r="TBQ29" s="914"/>
      <c r="TBR29" s="914"/>
      <c r="TBS29" s="914"/>
      <c r="TBT29" s="914"/>
      <c r="TBU29" s="914"/>
      <c r="TBV29" s="911"/>
      <c r="TBW29" s="911"/>
      <c r="TBX29" s="911"/>
      <c r="TBY29" s="915"/>
      <c r="TBZ29" s="914"/>
      <c r="TCA29" s="914"/>
      <c r="TCB29" s="914"/>
      <c r="TCC29" s="914"/>
      <c r="TCD29" s="914"/>
      <c r="TCE29" s="914"/>
      <c r="TCF29" s="914"/>
      <c r="TCG29" s="911"/>
      <c r="TCH29" s="911"/>
      <c r="TCI29" s="911"/>
      <c r="TCJ29" s="915"/>
      <c r="TCK29" s="914"/>
      <c r="TCL29" s="914"/>
      <c r="TCM29" s="914"/>
      <c r="TCN29" s="914"/>
      <c r="TCO29" s="914"/>
      <c r="TCP29" s="914"/>
      <c r="TCQ29" s="914"/>
      <c r="TCR29" s="911"/>
      <c r="TCS29" s="911"/>
      <c r="TCT29" s="911"/>
      <c r="TCU29" s="915"/>
      <c r="TCV29" s="914"/>
      <c r="TCW29" s="914"/>
      <c r="TCX29" s="914"/>
      <c r="TCY29" s="914"/>
      <c r="TCZ29" s="914"/>
      <c r="TDA29" s="914"/>
      <c r="TDB29" s="914"/>
      <c r="TDC29" s="911"/>
      <c r="TDD29" s="911"/>
      <c r="TDE29" s="911"/>
      <c r="TDF29" s="915"/>
      <c r="TDG29" s="914"/>
      <c r="TDH29" s="914"/>
      <c r="TDI29" s="914"/>
      <c r="TDJ29" s="914"/>
      <c r="TDK29" s="914"/>
      <c r="TDL29" s="914"/>
      <c r="TDM29" s="914"/>
      <c r="TDN29" s="911"/>
      <c r="TDO29" s="911"/>
      <c r="TDP29" s="911"/>
      <c r="TDQ29" s="915"/>
      <c r="TDR29" s="914"/>
      <c r="TDS29" s="914"/>
      <c r="TDT29" s="914"/>
      <c r="TDU29" s="914"/>
      <c r="TDV29" s="914"/>
      <c r="TDW29" s="914"/>
      <c r="TDX29" s="914"/>
      <c r="TDY29" s="911"/>
      <c r="TDZ29" s="911"/>
      <c r="TEA29" s="911"/>
      <c r="TEB29" s="915"/>
      <c r="TEC29" s="914"/>
      <c r="TED29" s="914"/>
      <c r="TEE29" s="914"/>
      <c r="TEF29" s="914"/>
      <c r="TEG29" s="914"/>
      <c r="TEH29" s="914"/>
      <c r="TEI29" s="914"/>
      <c r="TEJ29" s="911"/>
      <c r="TEK29" s="911"/>
      <c r="TEL29" s="911"/>
      <c r="TEM29" s="915"/>
      <c r="TEN29" s="914"/>
      <c r="TEO29" s="914"/>
      <c r="TEP29" s="914"/>
      <c r="TEQ29" s="914"/>
      <c r="TER29" s="914"/>
      <c r="TES29" s="914"/>
      <c r="TET29" s="914"/>
      <c r="TEU29" s="911"/>
      <c r="TEV29" s="911"/>
      <c r="TEW29" s="911"/>
      <c r="TEX29" s="915"/>
      <c r="TEY29" s="914"/>
      <c r="TEZ29" s="914"/>
      <c r="TFA29" s="914"/>
      <c r="TFB29" s="914"/>
      <c r="TFC29" s="914"/>
      <c r="TFD29" s="914"/>
      <c r="TFE29" s="914"/>
      <c r="TFF29" s="911"/>
      <c r="TFG29" s="911"/>
      <c r="TFH29" s="911"/>
      <c r="TFI29" s="915"/>
      <c r="TFJ29" s="914"/>
      <c r="TFK29" s="914"/>
      <c r="TFL29" s="914"/>
      <c r="TFM29" s="914"/>
      <c r="TFN29" s="914"/>
      <c r="TFO29" s="914"/>
      <c r="TFP29" s="914"/>
      <c r="TFQ29" s="911"/>
      <c r="TFR29" s="911"/>
      <c r="TFS29" s="911"/>
      <c r="TFT29" s="915"/>
      <c r="TFU29" s="914"/>
      <c r="TFV29" s="914"/>
      <c r="TFW29" s="914"/>
      <c r="TFX29" s="914"/>
      <c r="TFY29" s="914"/>
      <c r="TFZ29" s="914"/>
      <c r="TGA29" s="914"/>
      <c r="TGB29" s="911"/>
      <c r="TGC29" s="911"/>
      <c r="TGD29" s="911"/>
      <c r="TGE29" s="915"/>
      <c r="TGF29" s="914"/>
      <c r="TGG29" s="914"/>
      <c r="TGH29" s="914"/>
      <c r="TGI29" s="914"/>
      <c r="TGJ29" s="914"/>
      <c r="TGK29" s="914"/>
      <c r="TGL29" s="914"/>
      <c r="TGM29" s="911"/>
      <c r="TGN29" s="911"/>
      <c r="TGO29" s="911"/>
      <c r="TGP29" s="915"/>
      <c r="TGQ29" s="914"/>
      <c r="TGR29" s="914"/>
      <c r="TGS29" s="914"/>
      <c r="TGT29" s="914"/>
      <c r="TGU29" s="914"/>
      <c r="TGV29" s="914"/>
      <c r="TGW29" s="914"/>
      <c r="TGX29" s="911"/>
      <c r="TGY29" s="911"/>
      <c r="TGZ29" s="911"/>
      <c r="THA29" s="915"/>
      <c r="THB29" s="914"/>
      <c r="THC29" s="914"/>
      <c r="THD29" s="914"/>
      <c r="THE29" s="914"/>
      <c r="THF29" s="914"/>
      <c r="THG29" s="914"/>
      <c r="THH29" s="914"/>
      <c r="THI29" s="911"/>
      <c r="THJ29" s="911"/>
      <c r="THK29" s="911"/>
      <c r="THL29" s="915"/>
      <c r="THM29" s="914"/>
      <c r="THN29" s="914"/>
      <c r="THO29" s="914"/>
      <c r="THP29" s="914"/>
      <c r="THQ29" s="914"/>
      <c r="THR29" s="914"/>
      <c r="THS29" s="914"/>
      <c r="THT29" s="911"/>
      <c r="THU29" s="911"/>
      <c r="THV29" s="911"/>
      <c r="THW29" s="915"/>
      <c r="THX29" s="914"/>
      <c r="THY29" s="914"/>
      <c r="THZ29" s="914"/>
      <c r="TIA29" s="914"/>
      <c r="TIB29" s="914"/>
      <c r="TIC29" s="914"/>
      <c r="TID29" s="914"/>
      <c r="TIE29" s="911"/>
      <c r="TIF29" s="911"/>
      <c r="TIG29" s="911"/>
      <c r="TIH29" s="915"/>
      <c r="TII29" s="914"/>
      <c r="TIJ29" s="914"/>
      <c r="TIK29" s="914"/>
      <c r="TIL29" s="914"/>
      <c r="TIM29" s="914"/>
      <c r="TIN29" s="914"/>
      <c r="TIO29" s="914"/>
      <c r="TIP29" s="911"/>
      <c r="TIQ29" s="911"/>
      <c r="TIR29" s="911"/>
      <c r="TIS29" s="915"/>
      <c r="TIT29" s="914"/>
      <c r="TIU29" s="914"/>
      <c r="TIV29" s="914"/>
      <c r="TIW29" s="914"/>
      <c r="TIX29" s="914"/>
      <c r="TIY29" s="914"/>
      <c r="TIZ29" s="914"/>
      <c r="TJA29" s="911"/>
      <c r="TJB29" s="911"/>
      <c r="TJC29" s="911"/>
      <c r="TJD29" s="915"/>
      <c r="TJE29" s="914"/>
      <c r="TJF29" s="914"/>
      <c r="TJG29" s="914"/>
      <c r="TJH29" s="914"/>
      <c r="TJI29" s="914"/>
      <c r="TJJ29" s="914"/>
      <c r="TJK29" s="914"/>
      <c r="TJL29" s="911"/>
      <c r="TJM29" s="911"/>
      <c r="TJN29" s="911"/>
      <c r="TJO29" s="915"/>
      <c r="TJP29" s="914"/>
      <c r="TJQ29" s="914"/>
      <c r="TJR29" s="914"/>
      <c r="TJS29" s="914"/>
      <c r="TJT29" s="914"/>
      <c r="TJU29" s="914"/>
      <c r="TJV29" s="914"/>
      <c r="TJW29" s="911"/>
      <c r="TJX29" s="911"/>
      <c r="TJY29" s="911"/>
      <c r="TJZ29" s="915"/>
      <c r="TKA29" s="914"/>
      <c r="TKB29" s="914"/>
      <c r="TKC29" s="914"/>
      <c r="TKD29" s="914"/>
      <c r="TKE29" s="914"/>
      <c r="TKF29" s="914"/>
      <c r="TKG29" s="914"/>
      <c r="TKH29" s="911"/>
      <c r="TKI29" s="911"/>
      <c r="TKJ29" s="911"/>
      <c r="TKK29" s="915"/>
      <c r="TKL29" s="914"/>
      <c r="TKM29" s="914"/>
      <c r="TKN29" s="914"/>
      <c r="TKO29" s="914"/>
      <c r="TKP29" s="914"/>
      <c r="TKQ29" s="914"/>
      <c r="TKR29" s="914"/>
      <c r="TKS29" s="911"/>
      <c r="TKT29" s="911"/>
      <c r="TKU29" s="911"/>
      <c r="TKV29" s="915"/>
      <c r="TKW29" s="914"/>
      <c r="TKX29" s="914"/>
      <c r="TKY29" s="914"/>
      <c r="TKZ29" s="914"/>
      <c r="TLA29" s="914"/>
      <c r="TLB29" s="914"/>
      <c r="TLC29" s="914"/>
      <c r="TLD29" s="911"/>
      <c r="TLE29" s="911"/>
      <c r="TLF29" s="911"/>
      <c r="TLG29" s="915"/>
      <c r="TLH29" s="914"/>
      <c r="TLI29" s="914"/>
      <c r="TLJ29" s="914"/>
      <c r="TLK29" s="914"/>
      <c r="TLL29" s="914"/>
      <c r="TLM29" s="914"/>
      <c r="TLN29" s="914"/>
      <c r="TLO29" s="911"/>
      <c r="TLP29" s="911"/>
      <c r="TLQ29" s="911"/>
      <c r="TLR29" s="915"/>
      <c r="TLS29" s="914"/>
      <c r="TLT29" s="914"/>
      <c r="TLU29" s="914"/>
      <c r="TLV29" s="914"/>
      <c r="TLW29" s="914"/>
      <c r="TLX29" s="914"/>
      <c r="TLY29" s="914"/>
      <c r="TLZ29" s="911"/>
      <c r="TMA29" s="911"/>
      <c r="TMB29" s="911"/>
      <c r="TMC29" s="915"/>
      <c r="TMD29" s="914"/>
      <c r="TME29" s="914"/>
      <c r="TMF29" s="914"/>
      <c r="TMG29" s="914"/>
      <c r="TMH29" s="914"/>
      <c r="TMI29" s="914"/>
      <c r="TMJ29" s="914"/>
      <c r="TMK29" s="911"/>
      <c r="TML29" s="911"/>
      <c r="TMM29" s="911"/>
      <c r="TMN29" s="915"/>
      <c r="TMO29" s="914"/>
      <c r="TMP29" s="914"/>
      <c r="TMQ29" s="914"/>
      <c r="TMR29" s="914"/>
      <c r="TMS29" s="914"/>
      <c r="TMT29" s="914"/>
      <c r="TMU29" s="914"/>
      <c r="TMV29" s="911"/>
      <c r="TMW29" s="911"/>
      <c r="TMX29" s="911"/>
      <c r="TMY29" s="915"/>
      <c r="TMZ29" s="914"/>
      <c r="TNA29" s="914"/>
      <c r="TNB29" s="914"/>
      <c r="TNC29" s="914"/>
      <c r="TND29" s="914"/>
      <c r="TNE29" s="914"/>
      <c r="TNF29" s="914"/>
      <c r="TNG29" s="911"/>
      <c r="TNH29" s="911"/>
      <c r="TNI29" s="911"/>
      <c r="TNJ29" s="915"/>
      <c r="TNK29" s="914"/>
      <c r="TNL29" s="914"/>
      <c r="TNM29" s="914"/>
      <c r="TNN29" s="914"/>
      <c r="TNO29" s="914"/>
      <c r="TNP29" s="914"/>
      <c r="TNQ29" s="914"/>
      <c r="TNR29" s="911"/>
      <c r="TNS29" s="911"/>
      <c r="TNT29" s="911"/>
      <c r="TNU29" s="915"/>
      <c r="TNV29" s="914"/>
      <c r="TNW29" s="914"/>
      <c r="TNX29" s="914"/>
      <c r="TNY29" s="914"/>
      <c r="TNZ29" s="914"/>
      <c r="TOA29" s="914"/>
      <c r="TOB29" s="914"/>
      <c r="TOC29" s="911"/>
      <c r="TOD29" s="911"/>
      <c r="TOE29" s="911"/>
      <c r="TOF29" s="915"/>
      <c r="TOG29" s="914"/>
      <c r="TOH29" s="914"/>
      <c r="TOI29" s="914"/>
      <c r="TOJ29" s="914"/>
      <c r="TOK29" s="914"/>
      <c r="TOL29" s="914"/>
      <c r="TOM29" s="914"/>
      <c r="TON29" s="911"/>
      <c r="TOO29" s="911"/>
      <c r="TOP29" s="911"/>
      <c r="TOQ29" s="915"/>
      <c r="TOR29" s="914"/>
      <c r="TOS29" s="914"/>
      <c r="TOT29" s="914"/>
      <c r="TOU29" s="914"/>
      <c r="TOV29" s="914"/>
      <c r="TOW29" s="914"/>
      <c r="TOX29" s="914"/>
      <c r="TOY29" s="911"/>
      <c r="TOZ29" s="911"/>
      <c r="TPA29" s="911"/>
      <c r="TPB29" s="915"/>
      <c r="TPC29" s="914"/>
      <c r="TPD29" s="914"/>
      <c r="TPE29" s="914"/>
      <c r="TPF29" s="914"/>
      <c r="TPG29" s="914"/>
      <c r="TPH29" s="914"/>
      <c r="TPI29" s="914"/>
      <c r="TPJ29" s="911"/>
      <c r="TPK29" s="911"/>
      <c r="TPL29" s="911"/>
      <c r="TPM29" s="915"/>
      <c r="TPN29" s="914"/>
      <c r="TPO29" s="914"/>
      <c r="TPP29" s="914"/>
      <c r="TPQ29" s="914"/>
      <c r="TPR29" s="914"/>
      <c r="TPS29" s="914"/>
      <c r="TPT29" s="914"/>
      <c r="TPU29" s="911"/>
      <c r="TPV29" s="911"/>
      <c r="TPW29" s="911"/>
      <c r="TPX29" s="915"/>
      <c r="TPY29" s="914"/>
      <c r="TPZ29" s="914"/>
      <c r="TQA29" s="914"/>
      <c r="TQB29" s="914"/>
      <c r="TQC29" s="914"/>
      <c r="TQD29" s="914"/>
      <c r="TQE29" s="914"/>
      <c r="TQF29" s="911"/>
      <c r="TQG29" s="911"/>
      <c r="TQH29" s="911"/>
      <c r="TQI29" s="915"/>
      <c r="TQJ29" s="914"/>
      <c r="TQK29" s="914"/>
      <c r="TQL29" s="914"/>
      <c r="TQM29" s="914"/>
      <c r="TQN29" s="914"/>
      <c r="TQO29" s="914"/>
      <c r="TQP29" s="914"/>
      <c r="TQQ29" s="911"/>
      <c r="TQR29" s="911"/>
      <c r="TQS29" s="911"/>
      <c r="TQT29" s="915"/>
      <c r="TQU29" s="914"/>
      <c r="TQV29" s="914"/>
      <c r="TQW29" s="914"/>
      <c r="TQX29" s="914"/>
      <c r="TQY29" s="914"/>
      <c r="TQZ29" s="914"/>
      <c r="TRA29" s="914"/>
      <c r="TRB29" s="911"/>
      <c r="TRC29" s="911"/>
      <c r="TRD29" s="911"/>
      <c r="TRE29" s="915"/>
      <c r="TRF29" s="914"/>
      <c r="TRG29" s="914"/>
      <c r="TRH29" s="914"/>
      <c r="TRI29" s="914"/>
      <c r="TRJ29" s="914"/>
      <c r="TRK29" s="914"/>
      <c r="TRL29" s="914"/>
      <c r="TRM29" s="911"/>
      <c r="TRN29" s="911"/>
      <c r="TRO29" s="911"/>
      <c r="TRP29" s="915"/>
      <c r="TRQ29" s="914"/>
      <c r="TRR29" s="914"/>
      <c r="TRS29" s="914"/>
      <c r="TRT29" s="914"/>
      <c r="TRU29" s="914"/>
      <c r="TRV29" s="914"/>
      <c r="TRW29" s="914"/>
      <c r="TRX29" s="911"/>
      <c r="TRY29" s="911"/>
      <c r="TRZ29" s="911"/>
      <c r="TSA29" s="915"/>
      <c r="TSB29" s="914"/>
      <c r="TSC29" s="914"/>
      <c r="TSD29" s="914"/>
      <c r="TSE29" s="914"/>
      <c r="TSF29" s="914"/>
      <c r="TSG29" s="914"/>
      <c r="TSH29" s="914"/>
      <c r="TSI29" s="911"/>
      <c r="TSJ29" s="911"/>
      <c r="TSK29" s="911"/>
      <c r="TSL29" s="915"/>
      <c r="TSM29" s="914"/>
      <c r="TSN29" s="914"/>
      <c r="TSO29" s="914"/>
      <c r="TSP29" s="914"/>
      <c r="TSQ29" s="914"/>
      <c r="TSR29" s="914"/>
      <c r="TSS29" s="914"/>
      <c r="TST29" s="911"/>
      <c r="TSU29" s="911"/>
      <c r="TSV29" s="911"/>
      <c r="TSW29" s="915"/>
      <c r="TSX29" s="914"/>
      <c r="TSY29" s="914"/>
      <c r="TSZ29" s="914"/>
      <c r="TTA29" s="914"/>
      <c r="TTB29" s="914"/>
      <c r="TTC29" s="914"/>
      <c r="TTD29" s="914"/>
      <c r="TTE29" s="911"/>
      <c r="TTF29" s="911"/>
      <c r="TTG29" s="911"/>
      <c r="TTH29" s="915"/>
      <c r="TTI29" s="914"/>
      <c r="TTJ29" s="914"/>
      <c r="TTK29" s="914"/>
      <c r="TTL29" s="914"/>
      <c r="TTM29" s="914"/>
      <c r="TTN29" s="914"/>
      <c r="TTO29" s="914"/>
      <c r="TTP29" s="911"/>
      <c r="TTQ29" s="911"/>
      <c r="TTR29" s="911"/>
      <c r="TTS29" s="915"/>
      <c r="TTT29" s="914"/>
      <c r="TTU29" s="914"/>
      <c r="TTV29" s="914"/>
      <c r="TTW29" s="914"/>
      <c r="TTX29" s="914"/>
      <c r="TTY29" s="914"/>
      <c r="TTZ29" s="914"/>
      <c r="TUA29" s="911"/>
      <c r="TUB29" s="911"/>
      <c r="TUC29" s="911"/>
      <c r="TUD29" s="915"/>
      <c r="TUE29" s="914"/>
      <c r="TUF29" s="914"/>
      <c r="TUG29" s="914"/>
      <c r="TUH29" s="914"/>
      <c r="TUI29" s="914"/>
      <c r="TUJ29" s="914"/>
      <c r="TUK29" s="914"/>
      <c r="TUL29" s="911"/>
      <c r="TUM29" s="911"/>
      <c r="TUN29" s="911"/>
      <c r="TUO29" s="915"/>
      <c r="TUP29" s="914"/>
      <c r="TUQ29" s="914"/>
      <c r="TUR29" s="914"/>
      <c r="TUS29" s="914"/>
      <c r="TUT29" s="914"/>
      <c r="TUU29" s="914"/>
      <c r="TUV29" s="914"/>
      <c r="TUW29" s="911"/>
      <c r="TUX29" s="911"/>
      <c r="TUY29" s="911"/>
      <c r="TUZ29" s="915"/>
      <c r="TVA29" s="914"/>
      <c r="TVB29" s="914"/>
      <c r="TVC29" s="914"/>
      <c r="TVD29" s="914"/>
      <c r="TVE29" s="914"/>
      <c r="TVF29" s="914"/>
      <c r="TVG29" s="914"/>
      <c r="TVH29" s="911"/>
      <c r="TVI29" s="911"/>
      <c r="TVJ29" s="911"/>
      <c r="TVK29" s="915"/>
      <c r="TVL29" s="914"/>
      <c r="TVM29" s="914"/>
      <c r="TVN29" s="914"/>
      <c r="TVO29" s="914"/>
      <c r="TVP29" s="914"/>
      <c r="TVQ29" s="914"/>
      <c r="TVR29" s="914"/>
      <c r="TVS29" s="911"/>
      <c r="TVT29" s="911"/>
      <c r="TVU29" s="911"/>
      <c r="TVV29" s="915"/>
      <c r="TVW29" s="914"/>
      <c r="TVX29" s="914"/>
      <c r="TVY29" s="914"/>
      <c r="TVZ29" s="914"/>
      <c r="TWA29" s="914"/>
      <c r="TWB29" s="914"/>
      <c r="TWC29" s="914"/>
      <c r="TWD29" s="911"/>
      <c r="TWE29" s="911"/>
      <c r="TWF29" s="911"/>
      <c r="TWG29" s="915"/>
      <c r="TWH29" s="914"/>
      <c r="TWI29" s="914"/>
      <c r="TWJ29" s="914"/>
      <c r="TWK29" s="914"/>
      <c r="TWL29" s="914"/>
      <c r="TWM29" s="914"/>
      <c r="TWN29" s="914"/>
      <c r="TWO29" s="911"/>
      <c r="TWP29" s="911"/>
      <c r="TWQ29" s="911"/>
      <c r="TWR29" s="915"/>
      <c r="TWS29" s="914"/>
      <c r="TWT29" s="914"/>
      <c r="TWU29" s="914"/>
      <c r="TWV29" s="914"/>
      <c r="TWW29" s="914"/>
      <c r="TWX29" s="914"/>
      <c r="TWY29" s="914"/>
      <c r="TWZ29" s="911"/>
      <c r="TXA29" s="911"/>
      <c r="TXB29" s="911"/>
      <c r="TXC29" s="915"/>
      <c r="TXD29" s="914"/>
      <c r="TXE29" s="914"/>
      <c r="TXF29" s="914"/>
      <c r="TXG29" s="914"/>
      <c r="TXH29" s="914"/>
      <c r="TXI29" s="914"/>
      <c r="TXJ29" s="914"/>
      <c r="TXK29" s="911"/>
      <c r="TXL29" s="911"/>
      <c r="TXM29" s="911"/>
      <c r="TXN29" s="915"/>
      <c r="TXO29" s="914"/>
      <c r="TXP29" s="914"/>
      <c r="TXQ29" s="914"/>
      <c r="TXR29" s="914"/>
      <c r="TXS29" s="914"/>
      <c r="TXT29" s="914"/>
      <c r="TXU29" s="914"/>
      <c r="TXV29" s="911"/>
      <c r="TXW29" s="911"/>
      <c r="TXX29" s="911"/>
      <c r="TXY29" s="915"/>
      <c r="TXZ29" s="914"/>
      <c r="TYA29" s="914"/>
      <c r="TYB29" s="914"/>
      <c r="TYC29" s="914"/>
      <c r="TYD29" s="914"/>
      <c r="TYE29" s="914"/>
      <c r="TYF29" s="914"/>
      <c r="TYG29" s="911"/>
      <c r="TYH29" s="911"/>
      <c r="TYI29" s="911"/>
      <c r="TYJ29" s="915"/>
      <c r="TYK29" s="914"/>
      <c r="TYL29" s="914"/>
      <c r="TYM29" s="914"/>
      <c r="TYN29" s="914"/>
      <c r="TYO29" s="914"/>
      <c r="TYP29" s="914"/>
      <c r="TYQ29" s="914"/>
      <c r="TYR29" s="911"/>
      <c r="TYS29" s="911"/>
      <c r="TYT29" s="911"/>
      <c r="TYU29" s="915"/>
      <c r="TYV29" s="914"/>
      <c r="TYW29" s="914"/>
      <c r="TYX29" s="914"/>
      <c r="TYY29" s="914"/>
      <c r="TYZ29" s="914"/>
      <c r="TZA29" s="914"/>
      <c r="TZB29" s="914"/>
      <c r="TZC29" s="911"/>
      <c r="TZD29" s="911"/>
      <c r="TZE29" s="911"/>
      <c r="TZF29" s="915"/>
      <c r="TZG29" s="914"/>
      <c r="TZH29" s="914"/>
      <c r="TZI29" s="914"/>
      <c r="TZJ29" s="914"/>
      <c r="TZK29" s="914"/>
      <c r="TZL29" s="914"/>
      <c r="TZM29" s="914"/>
      <c r="TZN29" s="911"/>
      <c r="TZO29" s="911"/>
      <c r="TZP29" s="911"/>
      <c r="TZQ29" s="915"/>
      <c r="TZR29" s="914"/>
      <c r="TZS29" s="914"/>
      <c r="TZT29" s="914"/>
      <c r="TZU29" s="914"/>
      <c r="TZV29" s="914"/>
      <c r="TZW29" s="914"/>
      <c r="TZX29" s="914"/>
      <c r="TZY29" s="911"/>
      <c r="TZZ29" s="911"/>
      <c r="UAA29" s="911"/>
      <c r="UAB29" s="915"/>
      <c r="UAC29" s="914"/>
      <c r="UAD29" s="914"/>
      <c r="UAE29" s="914"/>
      <c r="UAF29" s="914"/>
      <c r="UAG29" s="914"/>
      <c r="UAH29" s="914"/>
      <c r="UAI29" s="914"/>
      <c r="UAJ29" s="911"/>
      <c r="UAK29" s="911"/>
      <c r="UAL29" s="911"/>
      <c r="UAM29" s="915"/>
      <c r="UAN29" s="914"/>
      <c r="UAO29" s="914"/>
      <c r="UAP29" s="914"/>
      <c r="UAQ29" s="914"/>
      <c r="UAR29" s="914"/>
      <c r="UAS29" s="914"/>
      <c r="UAT29" s="914"/>
      <c r="UAU29" s="911"/>
      <c r="UAV29" s="911"/>
      <c r="UAW29" s="911"/>
      <c r="UAX29" s="915"/>
      <c r="UAY29" s="914"/>
      <c r="UAZ29" s="914"/>
      <c r="UBA29" s="914"/>
      <c r="UBB29" s="914"/>
      <c r="UBC29" s="914"/>
      <c r="UBD29" s="914"/>
      <c r="UBE29" s="914"/>
      <c r="UBF29" s="911"/>
      <c r="UBG29" s="911"/>
      <c r="UBH29" s="911"/>
      <c r="UBI29" s="915"/>
      <c r="UBJ29" s="914"/>
      <c r="UBK29" s="914"/>
      <c r="UBL29" s="914"/>
      <c r="UBM29" s="914"/>
      <c r="UBN29" s="914"/>
      <c r="UBO29" s="914"/>
      <c r="UBP29" s="914"/>
      <c r="UBQ29" s="911"/>
      <c r="UBR29" s="911"/>
      <c r="UBS29" s="911"/>
      <c r="UBT29" s="915"/>
      <c r="UBU29" s="914"/>
      <c r="UBV29" s="914"/>
      <c r="UBW29" s="914"/>
      <c r="UBX29" s="914"/>
      <c r="UBY29" s="914"/>
      <c r="UBZ29" s="914"/>
      <c r="UCA29" s="914"/>
      <c r="UCB29" s="911"/>
      <c r="UCC29" s="911"/>
      <c r="UCD29" s="911"/>
      <c r="UCE29" s="915"/>
      <c r="UCF29" s="914"/>
      <c r="UCG29" s="914"/>
      <c r="UCH29" s="914"/>
      <c r="UCI29" s="914"/>
      <c r="UCJ29" s="914"/>
      <c r="UCK29" s="914"/>
      <c r="UCL29" s="914"/>
      <c r="UCM29" s="911"/>
      <c r="UCN29" s="911"/>
      <c r="UCO29" s="911"/>
      <c r="UCP29" s="915"/>
      <c r="UCQ29" s="914"/>
      <c r="UCR29" s="914"/>
      <c r="UCS29" s="914"/>
      <c r="UCT29" s="914"/>
      <c r="UCU29" s="914"/>
      <c r="UCV29" s="914"/>
      <c r="UCW29" s="914"/>
      <c r="UCX29" s="911"/>
      <c r="UCY29" s="911"/>
      <c r="UCZ29" s="911"/>
      <c r="UDA29" s="915"/>
      <c r="UDB29" s="914"/>
      <c r="UDC29" s="914"/>
      <c r="UDD29" s="914"/>
      <c r="UDE29" s="914"/>
      <c r="UDF29" s="914"/>
      <c r="UDG29" s="914"/>
      <c r="UDH29" s="914"/>
      <c r="UDI29" s="911"/>
      <c r="UDJ29" s="911"/>
      <c r="UDK29" s="911"/>
      <c r="UDL29" s="915"/>
      <c r="UDM29" s="914"/>
      <c r="UDN29" s="914"/>
      <c r="UDO29" s="914"/>
      <c r="UDP29" s="914"/>
      <c r="UDQ29" s="914"/>
      <c r="UDR29" s="914"/>
      <c r="UDS29" s="914"/>
      <c r="UDT29" s="911"/>
      <c r="UDU29" s="911"/>
      <c r="UDV29" s="911"/>
      <c r="UDW29" s="915"/>
      <c r="UDX29" s="914"/>
      <c r="UDY29" s="914"/>
      <c r="UDZ29" s="914"/>
      <c r="UEA29" s="914"/>
      <c r="UEB29" s="914"/>
      <c r="UEC29" s="914"/>
      <c r="UED29" s="914"/>
      <c r="UEE29" s="911"/>
      <c r="UEF29" s="911"/>
      <c r="UEG29" s="911"/>
      <c r="UEH29" s="915"/>
      <c r="UEI29" s="914"/>
      <c r="UEJ29" s="914"/>
      <c r="UEK29" s="914"/>
      <c r="UEL29" s="914"/>
      <c r="UEM29" s="914"/>
      <c r="UEN29" s="914"/>
      <c r="UEO29" s="914"/>
      <c r="UEP29" s="911"/>
      <c r="UEQ29" s="911"/>
      <c r="UER29" s="911"/>
      <c r="UES29" s="915"/>
      <c r="UET29" s="914"/>
      <c r="UEU29" s="914"/>
      <c r="UEV29" s="914"/>
      <c r="UEW29" s="914"/>
      <c r="UEX29" s="914"/>
      <c r="UEY29" s="914"/>
      <c r="UEZ29" s="914"/>
      <c r="UFA29" s="911"/>
      <c r="UFB29" s="911"/>
      <c r="UFC29" s="911"/>
      <c r="UFD29" s="915"/>
      <c r="UFE29" s="914"/>
      <c r="UFF29" s="914"/>
      <c r="UFG29" s="914"/>
      <c r="UFH29" s="914"/>
      <c r="UFI29" s="914"/>
      <c r="UFJ29" s="914"/>
      <c r="UFK29" s="914"/>
      <c r="UFL29" s="911"/>
      <c r="UFM29" s="911"/>
      <c r="UFN29" s="911"/>
      <c r="UFO29" s="915"/>
      <c r="UFP29" s="914"/>
      <c r="UFQ29" s="914"/>
      <c r="UFR29" s="914"/>
      <c r="UFS29" s="914"/>
      <c r="UFT29" s="914"/>
      <c r="UFU29" s="914"/>
      <c r="UFV29" s="914"/>
      <c r="UFW29" s="911"/>
      <c r="UFX29" s="911"/>
      <c r="UFY29" s="911"/>
      <c r="UFZ29" s="915"/>
      <c r="UGA29" s="914"/>
      <c r="UGB29" s="914"/>
      <c r="UGC29" s="914"/>
      <c r="UGD29" s="914"/>
      <c r="UGE29" s="914"/>
      <c r="UGF29" s="914"/>
      <c r="UGG29" s="914"/>
      <c r="UGH29" s="911"/>
      <c r="UGI29" s="911"/>
      <c r="UGJ29" s="911"/>
      <c r="UGK29" s="915"/>
      <c r="UGL29" s="914"/>
      <c r="UGM29" s="914"/>
      <c r="UGN29" s="914"/>
      <c r="UGO29" s="914"/>
      <c r="UGP29" s="914"/>
      <c r="UGQ29" s="914"/>
      <c r="UGR29" s="914"/>
      <c r="UGS29" s="911"/>
      <c r="UGT29" s="911"/>
      <c r="UGU29" s="911"/>
      <c r="UGV29" s="915"/>
      <c r="UGW29" s="914"/>
      <c r="UGX29" s="914"/>
      <c r="UGY29" s="914"/>
      <c r="UGZ29" s="914"/>
      <c r="UHA29" s="914"/>
      <c r="UHB29" s="914"/>
      <c r="UHC29" s="914"/>
      <c r="UHD29" s="911"/>
      <c r="UHE29" s="911"/>
      <c r="UHF29" s="911"/>
      <c r="UHG29" s="915"/>
      <c r="UHH29" s="914"/>
      <c r="UHI29" s="914"/>
      <c r="UHJ29" s="914"/>
      <c r="UHK29" s="914"/>
      <c r="UHL29" s="914"/>
      <c r="UHM29" s="914"/>
      <c r="UHN29" s="914"/>
      <c r="UHO29" s="911"/>
      <c r="UHP29" s="911"/>
      <c r="UHQ29" s="911"/>
      <c r="UHR29" s="915"/>
      <c r="UHS29" s="914"/>
      <c r="UHT29" s="914"/>
      <c r="UHU29" s="914"/>
      <c r="UHV29" s="914"/>
      <c r="UHW29" s="914"/>
      <c r="UHX29" s="914"/>
      <c r="UHY29" s="914"/>
      <c r="UHZ29" s="911"/>
      <c r="UIA29" s="911"/>
      <c r="UIB29" s="911"/>
      <c r="UIC29" s="915"/>
      <c r="UID29" s="914"/>
      <c r="UIE29" s="914"/>
      <c r="UIF29" s="914"/>
      <c r="UIG29" s="914"/>
      <c r="UIH29" s="914"/>
      <c r="UII29" s="914"/>
      <c r="UIJ29" s="914"/>
      <c r="UIK29" s="911"/>
      <c r="UIL29" s="911"/>
      <c r="UIM29" s="911"/>
      <c r="UIN29" s="915"/>
      <c r="UIO29" s="914"/>
      <c r="UIP29" s="914"/>
      <c r="UIQ29" s="914"/>
      <c r="UIR29" s="914"/>
      <c r="UIS29" s="914"/>
      <c r="UIT29" s="914"/>
      <c r="UIU29" s="914"/>
      <c r="UIV29" s="911"/>
      <c r="UIW29" s="911"/>
      <c r="UIX29" s="911"/>
      <c r="UIY29" s="915"/>
      <c r="UIZ29" s="914"/>
      <c r="UJA29" s="914"/>
      <c r="UJB29" s="914"/>
      <c r="UJC29" s="914"/>
      <c r="UJD29" s="914"/>
      <c r="UJE29" s="914"/>
      <c r="UJF29" s="914"/>
      <c r="UJG29" s="911"/>
      <c r="UJH29" s="911"/>
      <c r="UJI29" s="911"/>
      <c r="UJJ29" s="915"/>
      <c r="UJK29" s="914"/>
      <c r="UJL29" s="914"/>
      <c r="UJM29" s="914"/>
      <c r="UJN29" s="914"/>
      <c r="UJO29" s="914"/>
      <c r="UJP29" s="914"/>
      <c r="UJQ29" s="914"/>
      <c r="UJR29" s="911"/>
      <c r="UJS29" s="911"/>
      <c r="UJT29" s="911"/>
      <c r="UJU29" s="915"/>
      <c r="UJV29" s="914"/>
      <c r="UJW29" s="914"/>
      <c r="UJX29" s="914"/>
      <c r="UJY29" s="914"/>
      <c r="UJZ29" s="914"/>
      <c r="UKA29" s="914"/>
      <c r="UKB29" s="914"/>
      <c r="UKC29" s="911"/>
      <c r="UKD29" s="911"/>
      <c r="UKE29" s="911"/>
      <c r="UKF29" s="915"/>
      <c r="UKG29" s="914"/>
      <c r="UKH29" s="914"/>
      <c r="UKI29" s="914"/>
      <c r="UKJ29" s="914"/>
      <c r="UKK29" s="914"/>
      <c r="UKL29" s="914"/>
      <c r="UKM29" s="914"/>
      <c r="UKN29" s="911"/>
      <c r="UKO29" s="911"/>
      <c r="UKP29" s="911"/>
      <c r="UKQ29" s="915"/>
      <c r="UKR29" s="914"/>
      <c r="UKS29" s="914"/>
      <c r="UKT29" s="914"/>
      <c r="UKU29" s="914"/>
      <c r="UKV29" s="914"/>
      <c r="UKW29" s="914"/>
      <c r="UKX29" s="914"/>
      <c r="UKY29" s="911"/>
      <c r="UKZ29" s="911"/>
      <c r="ULA29" s="911"/>
      <c r="ULB29" s="915"/>
      <c r="ULC29" s="914"/>
      <c r="ULD29" s="914"/>
      <c r="ULE29" s="914"/>
      <c r="ULF29" s="914"/>
      <c r="ULG29" s="914"/>
      <c r="ULH29" s="914"/>
      <c r="ULI29" s="914"/>
      <c r="ULJ29" s="911"/>
      <c r="ULK29" s="911"/>
      <c r="ULL29" s="911"/>
      <c r="ULM29" s="915"/>
      <c r="ULN29" s="914"/>
      <c r="ULO29" s="914"/>
      <c r="ULP29" s="914"/>
      <c r="ULQ29" s="914"/>
      <c r="ULR29" s="914"/>
      <c r="ULS29" s="914"/>
      <c r="ULT29" s="914"/>
      <c r="ULU29" s="911"/>
      <c r="ULV29" s="911"/>
      <c r="ULW29" s="911"/>
      <c r="ULX29" s="915"/>
      <c r="ULY29" s="914"/>
      <c r="ULZ29" s="914"/>
      <c r="UMA29" s="914"/>
      <c r="UMB29" s="914"/>
      <c r="UMC29" s="914"/>
      <c r="UMD29" s="914"/>
      <c r="UME29" s="914"/>
      <c r="UMF29" s="911"/>
      <c r="UMG29" s="911"/>
      <c r="UMH29" s="911"/>
      <c r="UMI29" s="915"/>
      <c r="UMJ29" s="914"/>
      <c r="UMK29" s="914"/>
      <c r="UML29" s="914"/>
      <c r="UMM29" s="914"/>
      <c r="UMN29" s="914"/>
      <c r="UMO29" s="914"/>
      <c r="UMP29" s="914"/>
      <c r="UMQ29" s="911"/>
      <c r="UMR29" s="911"/>
      <c r="UMS29" s="911"/>
      <c r="UMT29" s="915"/>
      <c r="UMU29" s="914"/>
      <c r="UMV29" s="914"/>
      <c r="UMW29" s="914"/>
      <c r="UMX29" s="914"/>
      <c r="UMY29" s="914"/>
      <c r="UMZ29" s="914"/>
      <c r="UNA29" s="914"/>
      <c r="UNB29" s="911"/>
      <c r="UNC29" s="911"/>
      <c r="UND29" s="911"/>
      <c r="UNE29" s="915"/>
      <c r="UNF29" s="914"/>
      <c r="UNG29" s="914"/>
      <c r="UNH29" s="914"/>
      <c r="UNI29" s="914"/>
      <c r="UNJ29" s="914"/>
      <c r="UNK29" s="914"/>
      <c r="UNL29" s="914"/>
      <c r="UNM29" s="911"/>
      <c r="UNN29" s="911"/>
      <c r="UNO29" s="911"/>
      <c r="UNP29" s="915"/>
      <c r="UNQ29" s="914"/>
      <c r="UNR29" s="914"/>
      <c r="UNS29" s="914"/>
      <c r="UNT29" s="914"/>
      <c r="UNU29" s="914"/>
      <c r="UNV29" s="914"/>
      <c r="UNW29" s="914"/>
      <c r="UNX29" s="911"/>
      <c r="UNY29" s="911"/>
      <c r="UNZ29" s="911"/>
      <c r="UOA29" s="915"/>
      <c r="UOB29" s="914"/>
      <c r="UOC29" s="914"/>
      <c r="UOD29" s="914"/>
      <c r="UOE29" s="914"/>
      <c r="UOF29" s="914"/>
      <c r="UOG29" s="914"/>
      <c r="UOH29" s="914"/>
      <c r="UOI29" s="911"/>
      <c r="UOJ29" s="911"/>
      <c r="UOK29" s="911"/>
      <c r="UOL29" s="915"/>
      <c r="UOM29" s="914"/>
      <c r="UON29" s="914"/>
      <c r="UOO29" s="914"/>
      <c r="UOP29" s="914"/>
      <c r="UOQ29" s="914"/>
      <c r="UOR29" s="914"/>
      <c r="UOS29" s="914"/>
      <c r="UOT29" s="911"/>
      <c r="UOU29" s="911"/>
      <c r="UOV29" s="911"/>
      <c r="UOW29" s="915"/>
      <c r="UOX29" s="914"/>
      <c r="UOY29" s="914"/>
      <c r="UOZ29" s="914"/>
      <c r="UPA29" s="914"/>
      <c r="UPB29" s="914"/>
      <c r="UPC29" s="914"/>
      <c r="UPD29" s="914"/>
      <c r="UPE29" s="911"/>
      <c r="UPF29" s="911"/>
      <c r="UPG29" s="911"/>
      <c r="UPH29" s="915"/>
      <c r="UPI29" s="914"/>
      <c r="UPJ29" s="914"/>
      <c r="UPK29" s="914"/>
      <c r="UPL29" s="914"/>
      <c r="UPM29" s="914"/>
      <c r="UPN29" s="914"/>
      <c r="UPO29" s="914"/>
      <c r="UPP29" s="911"/>
      <c r="UPQ29" s="911"/>
      <c r="UPR29" s="911"/>
      <c r="UPS29" s="915"/>
      <c r="UPT29" s="914"/>
      <c r="UPU29" s="914"/>
      <c r="UPV29" s="914"/>
      <c r="UPW29" s="914"/>
      <c r="UPX29" s="914"/>
      <c r="UPY29" s="914"/>
      <c r="UPZ29" s="914"/>
      <c r="UQA29" s="911"/>
      <c r="UQB29" s="911"/>
      <c r="UQC29" s="911"/>
      <c r="UQD29" s="915"/>
      <c r="UQE29" s="914"/>
      <c r="UQF29" s="914"/>
      <c r="UQG29" s="914"/>
      <c r="UQH29" s="914"/>
      <c r="UQI29" s="914"/>
      <c r="UQJ29" s="914"/>
      <c r="UQK29" s="914"/>
      <c r="UQL29" s="911"/>
      <c r="UQM29" s="911"/>
      <c r="UQN29" s="911"/>
      <c r="UQO29" s="915"/>
      <c r="UQP29" s="914"/>
      <c r="UQQ29" s="914"/>
      <c r="UQR29" s="914"/>
      <c r="UQS29" s="914"/>
      <c r="UQT29" s="914"/>
      <c r="UQU29" s="914"/>
      <c r="UQV29" s="914"/>
      <c r="UQW29" s="911"/>
      <c r="UQX29" s="911"/>
      <c r="UQY29" s="911"/>
      <c r="UQZ29" s="915"/>
      <c r="URA29" s="914"/>
      <c r="URB29" s="914"/>
      <c r="URC29" s="914"/>
      <c r="URD29" s="914"/>
      <c r="URE29" s="914"/>
      <c r="URF29" s="914"/>
      <c r="URG29" s="914"/>
      <c r="URH29" s="911"/>
      <c r="URI29" s="911"/>
      <c r="URJ29" s="911"/>
      <c r="URK29" s="915"/>
      <c r="URL29" s="914"/>
      <c r="URM29" s="914"/>
      <c r="URN29" s="914"/>
      <c r="URO29" s="914"/>
      <c r="URP29" s="914"/>
      <c r="URQ29" s="914"/>
      <c r="URR29" s="914"/>
      <c r="URS29" s="911"/>
      <c r="URT29" s="911"/>
      <c r="URU29" s="911"/>
      <c r="URV29" s="915"/>
      <c r="URW29" s="914"/>
      <c r="URX29" s="914"/>
      <c r="URY29" s="914"/>
      <c r="URZ29" s="914"/>
      <c r="USA29" s="914"/>
      <c r="USB29" s="914"/>
      <c r="USC29" s="914"/>
      <c r="USD29" s="911"/>
      <c r="USE29" s="911"/>
      <c r="USF29" s="911"/>
      <c r="USG29" s="915"/>
      <c r="USH29" s="914"/>
      <c r="USI29" s="914"/>
      <c r="USJ29" s="914"/>
      <c r="USK29" s="914"/>
      <c r="USL29" s="914"/>
      <c r="USM29" s="914"/>
      <c r="USN29" s="914"/>
      <c r="USO29" s="911"/>
      <c r="USP29" s="911"/>
      <c r="USQ29" s="911"/>
      <c r="USR29" s="915"/>
      <c r="USS29" s="914"/>
      <c r="UST29" s="914"/>
      <c r="USU29" s="914"/>
      <c r="USV29" s="914"/>
      <c r="USW29" s="914"/>
      <c r="USX29" s="914"/>
      <c r="USY29" s="914"/>
      <c r="USZ29" s="911"/>
      <c r="UTA29" s="911"/>
      <c r="UTB29" s="911"/>
      <c r="UTC29" s="915"/>
      <c r="UTD29" s="914"/>
      <c r="UTE29" s="914"/>
      <c r="UTF29" s="914"/>
      <c r="UTG29" s="914"/>
      <c r="UTH29" s="914"/>
      <c r="UTI29" s="914"/>
      <c r="UTJ29" s="914"/>
      <c r="UTK29" s="911"/>
      <c r="UTL29" s="911"/>
      <c r="UTM29" s="911"/>
      <c r="UTN29" s="915"/>
      <c r="UTO29" s="914"/>
      <c r="UTP29" s="914"/>
      <c r="UTQ29" s="914"/>
      <c r="UTR29" s="914"/>
      <c r="UTS29" s="914"/>
      <c r="UTT29" s="914"/>
      <c r="UTU29" s="914"/>
      <c r="UTV29" s="911"/>
      <c r="UTW29" s="911"/>
      <c r="UTX29" s="911"/>
      <c r="UTY29" s="915"/>
      <c r="UTZ29" s="914"/>
      <c r="UUA29" s="914"/>
      <c r="UUB29" s="914"/>
      <c r="UUC29" s="914"/>
      <c r="UUD29" s="914"/>
      <c r="UUE29" s="914"/>
      <c r="UUF29" s="914"/>
      <c r="UUG29" s="911"/>
      <c r="UUH29" s="911"/>
      <c r="UUI29" s="911"/>
      <c r="UUJ29" s="915"/>
      <c r="UUK29" s="914"/>
      <c r="UUL29" s="914"/>
      <c r="UUM29" s="914"/>
      <c r="UUN29" s="914"/>
      <c r="UUO29" s="914"/>
      <c r="UUP29" s="914"/>
      <c r="UUQ29" s="914"/>
      <c r="UUR29" s="911"/>
      <c r="UUS29" s="911"/>
      <c r="UUT29" s="911"/>
      <c r="UUU29" s="915"/>
      <c r="UUV29" s="914"/>
      <c r="UUW29" s="914"/>
      <c r="UUX29" s="914"/>
      <c r="UUY29" s="914"/>
      <c r="UUZ29" s="914"/>
      <c r="UVA29" s="914"/>
      <c r="UVB29" s="914"/>
      <c r="UVC29" s="911"/>
      <c r="UVD29" s="911"/>
      <c r="UVE29" s="911"/>
      <c r="UVF29" s="915"/>
      <c r="UVG29" s="914"/>
      <c r="UVH29" s="914"/>
      <c r="UVI29" s="914"/>
      <c r="UVJ29" s="914"/>
      <c r="UVK29" s="914"/>
      <c r="UVL29" s="914"/>
      <c r="UVM29" s="914"/>
      <c r="UVN29" s="911"/>
      <c r="UVO29" s="911"/>
      <c r="UVP29" s="911"/>
      <c r="UVQ29" s="915"/>
      <c r="UVR29" s="914"/>
      <c r="UVS29" s="914"/>
      <c r="UVT29" s="914"/>
      <c r="UVU29" s="914"/>
      <c r="UVV29" s="914"/>
      <c r="UVW29" s="914"/>
      <c r="UVX29" s="914"/>
      <c r="UVY29" s="911"/>
      <c r="UVZ29" s="911"/>
      <c r="UWA29" s="911"/>
      <c r="UWB29" s="915"/>
      <c r="UWC29" s="914"/>
      <c r="UWD29" s="914"/>
      <c r="UWE29" s="914"/>
      <c r="UWF29" s="914"/>
      <c r="UWG29" s="914"/>
      <c r="UWH29" s="914"/>
      <c r="UWI29" s="914"/>
      <c r="UWJ29" s="911"/>
      <c r="UWK29" s="911"/>
      <c r="UWL29" s="911"/>
      <c r="UWM29" s="915"/>
      <c r="UWN29" s="914"/>
      <c r="UWO29" s="914"/>
      <c r="UWP29" s="914"/>
      <c r="UWQ29" s="914"/>
      <c r="UWR29" s="914"/>
      <c r="UWS29" s="914"/>
      <c r="UWT29" s="914"/>
      <c r="UWU29" s="911"/>
      <c r="UWV29" s="911"/>
      <c r="UWW29" s="911"/>
      <c r="UWX29" s="915"/>
      <c r="UWY29" s="914"/>
      <c r="UWZ29" s="914"/>
      <c r="UXA29" s="914"/>
      <c r="UXB29" s="914"/>
      <c r="UXC29" s="914"/>
      <c r="UXD29" s="914"/>
      <c r="UXE29" s="914"/>
      <c r="UXF29" s="911"/>
      <c r="UXG29" s="911"/>
      <c r="UXH29" s="911"/>
      <c r="UXI29" s="915"/>
      <c r="UXJ29" s="914"/>
      <c r="UXK29" s="914"/>
      <c r="UXL29" s="914"/>
      <c r="UXM29" s="914"/>
      <c r="UXN29" s="914"/>
      <c r="UXO29" s="914"/>
      <c r="UXP29" s="914"/>
      <c r="UXQ29" s="911"/>
      <c r="UXR29" s="911"/>
      <c r="UXS29" s="911"/>
      <c r="UXT29" s="915"/>
      <c r="UXU29" s="914"/>
      <c r="UXV29" s="914"/>
      <c r="UXW29" s="914"/>
      <c r="UXX29" s="914"/>
      <c r="UXY29" s="914"/>
      <c r="UXZ29" s="914"/>
      <c r="UYA29" s="914"/>
      <c r="UYB29" s="911"/>
      <c r="UYC29" s="911"/>
      <c r="UYD29" s="911"/>
      <c r="UYE29" s="915"/>
      <c r="UYF29" s="914"/>
      <c r="UYG29" s="914"/>
      <c r="UYH29" s="914"/>
      <c r="UYI29" s="914"/>
      <c r="UYJ29" s="914"/>
      <c r="UYK29" s="914"/>
      <c r="UYL29" s="914"/>
      <c r="UYM29" s="911"/>
      <c r="UYN29" s="911"/>
      <c r="UYO29" s="911"/>
      <c r="UYP29" s="915"/>
      <c r="UYQ29" s="914"/>
      <c r="UYR29" s="914"/>
      <c r="UYS29" s="914"/>
      <c r="UYT29" s="914"/>
      <c r="UYU29" s="914"/>
      <c r="UYV29" s="914"/>
      <c r="UYW29" s="914"/>
      <c r="UYX29" s="911"/>
      <c r="UYY29" s="911"/>
      <c r="UYZ29" s="911"/>
      <c r="UZA29" s="915"/>
      <c r="UZB29" s="914"/>
      <c r="UZC29" s="914"/>
      <c r="UZD29" s="914"/>
      <c r="UZE29" s="914"/>
      <c r="UZF29" s="914"/>
      <c r="UZG29" s="914"/>
      <c r="UZH29" s="914"/>
      <c r="UZI29" s="911"/>
      <c r="UZJ29" s="911"/>
      <c r="UZK29" s="911"/>
      <c r="UZL29" s="915"/>
      <c r="UZM29" s="914"/>
      <c r="UZN29" s="914"/>
      <c r="UZO29" s="914"/>
      <c r="UZP29" s="914"/>
      <c r="UZQ29" s="914"/>
      <c r="UZR29" s="914"/>
      <c r="UZS29" s="914"/>
      <c r="UZT29" s="911"/>
      <c r="UZU29" s="911"/>
      <c r="UZV29" s="911"/>
      <c r="UZW29" s="915"/>
      <c r="UZX29" s="914"/>
      <c r="UZY29" s="914"/>
      <c r="UZZ29" s="914"/>
      <c r="VAA29" s="914"/>
      <c r="VAB29" s="914"/>
      <c r="VAC29" s="914"/>
      <c r="VAD29" s="914"/>
      <c r="VAE29" s="911"/>
      <c r="VAF29" s="911"/>
      <c r="VAG29" s="911"/>
      <c r="VAH29" s="915"/>
      <c r="VAI29" s="914"/>
      <c r="VAJ29" s="914"/>
      <c r="VAK29" s="914"/>
      <c r="VAL29" s="914"/>
      <c r="VAM29" s="914"/>
      <c r="VAN29" s="914"/>
      <c r="VAO29" s="914"/>
      <c r="VAP29" s="911"/>
      <c r="VAQ29" s="911"/>
      <c r="VAR29" s="911"/>
      <c r="VAS29" s="915"/>
      <c r="VAT29" s="914"/>
      <c r="VAU29" s="914"/>
      <c r="VAV29" s="914"/>
      <c r="VAW29" s="914"/>
      <c r="VAX29" s="914"/>
      <c r="VAY29" s="914"/>
      <c r="VAZ29" s="914"/>
      <c r="VBA29" s="911"/>
      <c r="VBB29" s="911"/>
      <c r="VBC29" s="911"/>
      <c r="VBD29" s="915"/>
      <c r="VBE29" s="914"/>
      <c r="VBF29" s="914"/>
      <c r="VBG29" s="914"/>
      <c r="VBH29" s="914"/>
      <c r="VBI29" s="914"/>
      <c r="VBJ29" s="914"/>
      <c r="VBK29" s="914"/>
      <c r="VBL29" s="911"/>
      <c r="VBM29" s="911"/>
      <c r="VBN29" s="911"/>
      <c r="VBO29" s="915"/>
      <c r="VBP29" s="914"/>
      <c r="VBQ29" s="914"/>
      <c r="VBR29" s="914"/>
      <c r="VBS29" s="914"/>
      <c r="VBT29" s="914"/>
      <c r="VBU29" s="914"/>
      <c r="VBV29" s="914"/>
      <c r="VBW29" s="911"/>
      <c r="VBX29" s="911"/>
      <c r="VBY29" s="911"/>
      <c r="VBZ29" s="915"/>
      <c r="VCA29" s="914"/>
      <c r="VCB29" s="914"/>
      <c r="VCC29" s="914"/>
      <c r="VCD29" s="914"/>
      <c r="VCE29" s="914"/>
      <c r="VCF29" s="914"/>
      <c r="VCG29" s="914"/>
      <c r="VCH29" s="911"/>
      <c r="VCI29" s="911"/>
      <c r="VCJ29" s="911"/>
      <c r="VCK29" s="915"/>
      <c r="VCL29" s="914"/>
      <c r="VCM29" s="914"/>
      <c r="VCN29" s="914"/>
      <c r="VCO29" s="914"/>
      <c r="VCP29" s="914"/>
      <c r="VCQ29" s="914"/>
      <c r="VCR29" s="914"/>
      <c r="VCS29" s="911"/>
      <c r="VCT29" s="911"/>
      <c r="VCU29" s="911"/>
      <c r="VCV29" s="915"/>
      <c r="VCW29" s="914"/>
      <c r="VCX29" s="914"/>
      <c r="VCY29" s="914"/>
      <c r="VCZ29" s="914"/>
      <c r="VDA29" s="914"/>
      <c r="VDB29" s="914"/>
      <c r="VDC29" s="914"/>
      <c r="VDD29" s="911"/>
      <c r="VDE29" s="911"/>
      <c r="VDF29" s="911"/>
      <c r="VDG29" s="915"/>
      <c r="VDH29" s="914"/>
      <c r="VDI29" s="914"/>
      <c r="VDJ29" s="914"/>
      <c r="VDK29" s="914"/>
      <c r="VDL29" s="914"/>
      <c r="VDM29" s="914"/>
      <c r="VDN29" s="914"/>
      <c r="VDO29" s="911"/>
      <c r="VDP29" s="911"/>
      <c r="VDQ29" s="911"/>
      <c r="VDR29" s="915"/>
      <c r="VDS29" s="914"/>
      <c r="VDT29" s="914"/>
      <c r="VDU29" s="914"/>
      <c r="VDV29" s="914"/>
      <c r="VDW29" s="914"/>
      <c r="VDX29" s="914"/>
      <c r="VDY29" s="914"/>
      <c r="VDZ29" s="911"/>
      <c r="VEA29" s="911"/>
      <c r="VEB29" s="911"/>
      <c r="VEC29" s="915"/>
      <c r="VED29" s="914"/>
      <c r="VEE29" s="914"/>
      <c r="VEF29" s="914"/>
      <c r="VEG29" s="914"/>
      <c r="VEH29" s="914"/>
      <c r="VEI29" s="914"/>
      <c r="VEJ29" s="914"/>
      <c r="VEK29" s="911"/>
      <c r="VEL29" s="911"/>
      <c r="VEM29" s="911"/>
      <c r="VEN29" s="915"/>
      <c r="VEO29" s="914"/>
      <c r="VEP29" s="914"/>
      <c r="VEQ29" s="914"/>
      <c r="VER29" s="914"/>
      <c r="VES29" s="914"/>
      <c r="VET29" s="914"/>
      <c r="VEU29" s="914"/>
      <c r="VEV29" s="911"/>
      <c r="VEW29" s="911"/>
      <c r="VEX29" s="911"/>
      <c r="VEY29" s="915"/>
      <c r="VEZ29" s="914"/>
      <c r="VFA29" s="914"/>
      <c r="VFB29" s="914"/>
      <c r="VFC29" s="914"/>
      <c r="VFD29" s="914"/>
      <c r="VFE29" s="914"/>
      <c r="VFF29" s="914"/>
      <c r="VFG29" s="911"/>
      <c r="VFH29" s="911"/>
      <c r="VFI29" s="911"/>
      <c r="VFJ29" s="915"/>
      <c r="VFK29" s="914"/>
      <c r="VFL29" s="914"/>
      <c r="VFM29" s="914"/>
      <c r="VFN29" s="914"/>
      <c r="VFO29" s="914"/>
      <c r="VFP29" s="914"/>
      <c r="VFQ29" s="914"/>
      <c r="VFR29" s="911"/>
      <c r="VFS29" s="911"/>
      <c r="VFT29" s="911"/>
      <c r="VFU29" s="915"/>
      <c r="VFV29" s="914"/>
      <c r="VFW29" s="914"/>
      <c r="VFX29" s="914"/>
      <c r="VFY29" s="914"/>
      <c r="VFZ29" s="914"/>
      <c r="VGA29" s="914"/>
      <c r="VGB29" s="914"/>
      <c r="VGC29" s="911"/>
      <c r="VGD29" s="911"/>
      <c r="VGE29" s="911"/>
      <c r="VGF29" s="915"/>
      <c r="VGG29" s="914"/>
      <c r="VGH29" s="914"/>
      <c r="VGI29" s="914"/>
      <c r="VGJ29" s="914"/>
      <c r="VGK29" s="914"/>
      <c r="VGL29" s="914"/>
      <c r="VGM29" s="914"/>
      <c r="VGN29" s="911"/>
      <c r="VGO29" s="911"/>
      <c r="VGP29" s="911"/>
      <c r="VGQ29" s="915"/>
      <c r="VGR29" s="914"/>
      <c r="VGS29" s="914"/>
      <c r="VGT29" s="914"/>
      <c r="VGU29" s="914"/>
      <c r="VGV29" s="914"/>
      <c r="VGW29" s="914"/>
      <c r="VGX29" s="914"/>
      <c r="VGY29" s="911"/>
      <c r="VGZ29" s="911"/>
      <c r="VHA29" s="911"/>
      <c r="VHB29" s="915"/>
      <c r="VHC29" s="914"/>
      <c r="VHD29" s="914"/>
      <c r="VHE29" s="914"/>
      <c r="VHF29" s="914"/>
      <c r="VHG29" s="914"/>
      <c r="VHH29" s="914"/>
      <c r="VHI29" s="914"/>
      <c r="VHJ29" s="911"/>
      <c r="VHK29" s="911"/>
      <c r="VHL29" s="911"/>
      <c r="VHM29" s="915"/>
      <c r="VHN29" s="914"/>
      <c r="VHO29" s="914"/>
      <c r="VHP29" s="914"/>
      <c r="VHQ29" s="914"/>
      <c r="VHR29" s="914"/>
      <c r="VHS29" s="914"/>
      <c r="VHT29" s="914"/>
      <c r="VHU29" s="911"/>
      <c r="VHV29" s="911"/>
      <c r="VHW29" s="911"/>
      <c r="VHX29" s="915"/>
      <c r="VHY29" s="914"/>
      <c r="VHZ29" s="914"/>
      <c r="VIA29" s="914"/>
      <c r="VIB29" s="914"/>
      <c r="VIC29" s="914"/>
      <c r="VID29" s="914"/>
      <c r="VIE29" s="914"/>
      <c r="VIF29" s="911"/>
      <c r="VIG29" s="911"/>
      <c r="VIH29" s="911"/>
      <c r="VII29" s="915"/>
      <c r="VIJ29" s="914"/>
      <c r="VIK29" s="914"/>
      <c r="VIL29" s="914"/>
      <c r="VIM29" s="914"/>
      <c r="VIN29" s="914"/>
      <c r="VIO29" s="914"/>
      <c r="VIP29" s="914"/>
      <c r="VIQ29" s="911"/>
      <c r="VIR29" s="911"/>
      <c r="VIS29" s="911"/>
      <c r="VIT29" s="915"/>
      <c r="VIU29" s="914"/>
      <c r="VIV29" s="914"/>
      <c r="VIW29" s="914"/>
      <c r="VIX29" s="914"/>
      <c r="VIY29" s="914"/>
      <c r="VIZ29" s="914"/>
      <c r="VJA29" s="914"/>
      <c r="VJB29" s="911"/>
      <c r="VJC29" s="911"/>
      <c r="VJD29" s="911"/>
      <c r="VJE29" s="915"/>
      <c r="VJF29" s="914"/>
      <c r="VJG29" s="914"/>
      <c r="VJH29" s="914"/>
      <c r="VJI29" s="914"/>
      <c r="VJJ29" s="914"/>
      <c r="VJK29" s="914"/>
      <c r="VJL29" s="914"/>
      <c r="VJM29" s="911"/>
      <c r="VJN29" s="911"/>
      <c r="VJO29" s="911"/>
      <c r="VJP29" s="915"/>
      <c r="VJQ29" s="914"/>
      <c r="VJR29" s="914"/>
      <c r="VJS29" s="914"/>
      <c r="VJT29" s="914"/>
      <c r="VJU29" s="914"/>
      <c r="VJV29" s="914"/>
      <c r="VJW29" s="914"/>
      <c r="VJX29" s="911"/>
      <c r="VJY29" s="911"/>
      <c r="VJZ29" s="911"/>
      <c r="VKA29" s="915"/>
      <c r="VKB29" s="914"/>
      <c r="VKC29" s="914"/>
      <c r="VKD29" s="914"/>
      <c r="VKE29" s="914"/>
      <c r="VKF29" s="914"/>
      <c r="VKG29" s="914"/>
      <c r="VKH29" s="914"/>
      <c r="VKI29" s="911"/>
      <c r="VKJ29" s="911"/>
      <c r="VKK29" s="911"/>
      <c r="VKL29" s="915"/>
      <c r="VKM29" s="914"/>
      <c r="VKN29" s="914"/>
      <c r="VKO29" s="914"/>
      <c r="VKP29" s="914"/>
      <c r="VKQ29" s="914"/>
      <c r="VKR29" s="914"/>
      <c r="VKS29" s="914"/>
      <c r="VKT29" s="911"/>
      <c r="VKU29" s="911"/>
      <c r="VKV29" s="911"/>
      <c r="VKW29" s="915"/>
      <c r="VKX29" s="914"/>
      <c r="VKY29" s="914"/>
      <c r="VKZ29" s="914"/>
      <c r="VLA29" s="914"/>
      <c r="VLB29" s="914"/>
      <c r="VLC29" s="914"/>
      <c r="VLD29" s="914"/>
      <c r="VLE29" s="911"/>
      <c r="VLF29" s="911"/>
      <c r="VLG29" s="911"/>
      <c r="VLH29" s="915"/>
      <c r="VLI29" s="914"/>
      <c r="VLJ29" s="914"/>
      <c r="VLK29" s="914"/>
      <c r="VLL29" s="914"/>
      <c r="VLM29" s="914"/>
      <c r="VLN29" s="914"/>
      <c r="VLO29" s="914"/>
      <c r="VLP29" s="911"/>
      <c r="VLQ29" s="911"/>
      <c r="VLR29" s="911"/>
      <c r="VLS29" s="915"/>
      <c r="VLT29" s="914"/>
      <c r="VLU29" s="914"/>
      <c r="VLV29" s="914"/>
      <c r="VLW29" s="914"/>
      <c r="VLX29" s="914"/>
      <c r="VLY29" s="914"/>
      <c r="VLZ29" s="914"/>
      <c r="VMA29" s="911"/>
      <c r="VMB29" s="911"/>
      <c r="VMC29" s="911"/>
      <c r="VMD29" s="915"/>
      <c r="VME29" s="914"/>
      <c r="VMF29" s="914"/>
      <c r="VMG29" s="914"/>
      <c r="VMH29" s="914"/>
      <c r="VMI29" s="914"/>
      <c r="VMJ29" s="914"/>
      <c r="VMK29" s="914"/>
      <c r="VML29" s="911"/>
      <c r="VMM29" s="911"/>
      <c r="VMN29" s="911"/>
      <c r="VMO29" s="915"/>
      <c r="VMP29" s="914"/>
      <c r="VMQ29" s="914"/>
      <c r="VMR29" s="914"/>
      <c r="VMS29" s="914"/>
      <c r="VMT29" s="914"/>
      <c r="VMU29" s="914"/>
      <c r="VMV29" s="914"/>
      <c r="VMW29" s="911"/>
      <c r="VMX29" s="911"/>
      <c r="VMY29" s="911"/>
      <c r="VMZ29" s="915"/>
      <c r="VNA29" s="914"/>
      <c r="VNB29" s="914"/>
      <c r="VNC29" s="914"/>
      <c r="VND29" s="914"/>
      <c r="VNE29" s="914"/>
      <c r="VNF29" s="914"/>
      <c r="VNG29" s="914"/>
      <c r="VNH29" s="911"/>
      <c r="VNI29" s="911"/>
      <c r="VNJ29" s="911"/>
      <c r="VNK29" s="915"/>
      <c r="VNL29" s="914"/>
      <c r="VNM29" s="914"/>
      <c r="VNN29" s="914"/>
      <c r="VNO29" s="914"/>
      <c r="VNP29" s="914"/>
      <c r="VNQ29" s="914"/>
      <c r="VNR29" s="914"/>
      <c r="VNS29" s="911"/>
      <c r="VNT29" s="911"/>
      <c r="VNU29" s="911"/>
      <c r="VNV29" s="915"/>
      <c r="VNW29" s="914"/>
      <c r="VNX29" s="914"/>
      <c r="VNY29" s="914"/>
      <c r="VNZ29" s="914"/>
      <c r="VOA29" s="914"/>
      <c r="VOB29" s="914"/>
      <c r="VOC29" s="914"/>
      <c r="VOD29" s="911"/>
      <c r="VOE29" s="911"/>
      <c r="VOF29" s="911"/>
      <c r="VOG29" s="915"/>
      <c r="VOH29" s="914"/>
      <c r="VOI29" s="914"/>
      <c r="VOJ29" s="914"/>
      <c r="VOK29" s="914"/>
      <c r="VOL29" s="914"/>
      <c r="VOM29" s="914"/>
      <c r="VON29" s="914"/>
      <c r="VOO29" s="911"/>
      <c r="VOP29" s="911"/>
      <c r="VOQ29" s="911"/>
      <c r="VOR29" s="915"/>
      <c r="VOS29" s="914"/>
      <c r="VOT29" s="914"/>
      <c r="VOU29" s="914"/>
      <c r="VOV29" s="914"/>
      <c r="VOW29" s="914"/>
      <c r="VOX29" s="914"/>
      <c r="VOY29" s="914"/>
      <c r="VOZ29" s="911"/>
      <c r="VPA29" s="911"/>
      <c r="VPB29" s="911"/>
      <c r="VPC29" s="915"/>
      <c r="VPD29" s="914"/>
      <c r="VPE29" s="914"/>
      <c r="VPF29" s="914"/>
      <c r="VPG29" s="914"/>
      <c r="VPH29" s="914"/>
      <c r="VPI29" s="914"/>
      <c r="VPJ29" s="914"/>
      <c r="VPK29" s="911"/>
      <c r="VPL29" s="911"/>
      <c r="VPM29" s="911"/>
      <c r="VPN29" s="915"/>
      <c r="VPO29" s="914"/>
      <c r="VPP29" s="914"/>
      <c r="VPQ29" s="914"/>
      <c r="VPR29" s="914"/>
      <c r="VPS29" s="914"/>
      <c r="VPT29" s="914"/>
      <c r="VPU29" s="914"/>
      <c r="VPV29" s="911"/>
      <c r="VPW29" s="911"/>
      <c r="VPX29" s="911"/>
      <c r="VPY29" s="915"/>
      <c r="VPZ29" s="914"/>
      <c r="VQA29" s="914"/>
      <c r="VQB29" s="914"/>
      <c r="VQC29" s="914"/>
      <c r="VQD29" s="914"/>
      <c r="VQE29" s="914"/>
      <c r="VQF29" s="914"/>
      <c r="VQG29" s="911"/>
      <c r="VQH29" s="911"/>
      <c r="VQI29" s="911"/>
      <c r="VQJ29" s="915"/>
      <c r="VQK29" s="914"/>
      <c r="VQL29" s="914"/>
      <c r="VQM29" s="914"/>
      <c r="VQN29" s="914"/>
      <c r="VQO29" s="914"/>
      <c r="VQP29" s="914"/>
      <c r="VQQ29" s="914"/>
      <c r="VQR29" s="911"/>
      <c r="VQS29" s="911"/>
      <c r="VQT29" s="911"/>
      <c r="VQU29" s="915"/>
      <c r="VQV29" s="914"/>
      <c r="VQW29" s="914"/>
      <c r="VQX29" s="914"/>
      <c r="VQY29" s="914"/>
      <c r="VQZ29" s="914"/>
      <c r="VRA29" s="914"/>
      <c r="VRB29" s="914"/>
      <c r="VRC29" s="911"/>
      <c r="VRD29" s="911"/>
      <c r="VRE29" s="911"/>
      <c r="VRF29" s="915"/>
      <c r="VRG29" s="914"/>
      <c r="VRH29" s="914"/>
      <c r="VRI29" s="914"/>
      <c r="VRJ29" s="914"/>
      <c r="VRK29" s="914"/>
      <c r="VRL29" s="914"/>
      <c r="VRM29" s="914"/>
      <c r="VRN29" s="911"/>
      <c r="VRO29" s="911"/>
      <c r="VRP29" s="911"/>
      <c r="VRQ29" s="915"/>
      <c r="VRR29" s="914"/>
      <c r="VRS29" s="914"/>
      <c r="VRT29" s="914"/>
      <c r="VRU29" s="914"/>
      <c r="VRV29" s="914"/>
      <c r="VRW29" s="914"/>
      <c r="VRX29" s="914"/>
      <c r="VRY29" s="911"/>
      <c r="VRZ29" s="911"/>
      <c r="VSA29" s="911"/>
      <c r="VSB29" s="915"/>
      <c r="VSC29" s="914"/>
      <c r="VSD29" s="914"/>
      <c r="VSE29" s="914"/>
      <c r="VSF29" s="914"/>
      <c r="VSG29" s="914"/>
      <c r="VSH29" s="914"/>
      <c r="VSI29" s="914"/>
      <c r="VSJ29" s="911"/>
      <c r="VSK29" s="911"/>
      <c r="VSL29" s="911"/>
      <c r="VSM29" s="915"/>
      <c r="VSN29" s="914"/>
      <c r="VSO29" s="914"/>
      <c r="VSP29" s="914"/>
      <c r="VSQ29" s="914"/>
      <c r="VSR29" s="914"/>
      <c r="VSS29" s="914"/>
      <c r="VST29" s="914"/>
      <c r="VSU29" s="911"/>
      <c r="VSV29" s="911"/>
      <c r="VSW29" s="911"/>
      <c r="VSX29" s="915"/>
      <c r="VSY29" s="914"/>
      <c r="VSZ29" s="914"/>
      <c r="VTA29" s="914"/>
      <c r="VTB29" s="914"/>
      <c r="VTC29" s="914"/>
      <c r="VTD29" s="914"/>
      <c r="VTE29" s="914"/>
      <c r="VTF29" s="911"/>
      <c r="VTG29" s="911"/>
      <c r="VTH29" s="911"/>
      <c r="VTI29" s="915"/>
      <c r="VTJ29" s="914"/>
      <c r="VTK29" s="914"/>
      <c r="VTL29" s="914"/>
      <c r="VTM29" s="914"/>
      <c r="VTN29" s="914"/>
      <c r="VTO29" s="914"/>
      <c r="VTP29" s="914"/>
      <c r="VTQ29" s="911"/>
      <c r="VTR29" s="911"/>
      <c r="VTS29" s="911"/>
      <c r="VTT29" s="915"/>
      <c r="VTU29" s="914"/>
      <c r="VTV29" s="914"/>
      <c r="VTW29" s="914"/>
      <c r="VTX29" s="914"/>
      <c r="VTY29" s="914"/>
      <c r="VTZ29" s="914"/>
      <c r="VUA29" s="914"/>
      <c r="VUB29" s="911"/>
      <c r="VUC29" s="911"/>
      <c r="VUD29" s="911"/>
      <c r="VUE29" s="915"/>
      <c r="VUF29" s="914"/>
      <c r="VUG29" s="914"/>
      <c r="VUH29" s="914"/>
      <c r="VUI29" s="914"/>
      <c r="VUJ29" s="914"/>
      <c r="VUK29" s="914"/>
      <c r="VUL29" s="914"/>
      <c r="VUM29" s="911"/>
      <c r="VUN29" s="911"/>
      <c r="VUO29" s="911"/>
      <c r="VUP29" s="915"/>
      <c r="VUQ29" s="914"/>
      <c r="VUR29" s="914"/>
      <c r="VUS29" s="914"/>
      <c r="VUT29" s="914"/>
      <c r="VUU29" s="914"/>
      <c r="VUV29" s="914"/>
      <c r="VUW29" s="914"/>
      <c r="VUX29" s="911"/>
      <c r="VUY29" s="911"/>
      <c r="VUZ29" s="911"/>
      <c r="VVA29" s="915"/>
      <c r="VVB29" s="914"/>
      <c r="VVC29" s="914"/>
      <c r="VVD29" s="914"/>
      <c r="VVE29" s="914"/>
      <c r="VVF29" s="914"/>
      <c r="VVG29" s="914"/>
      <c r="VVH29" s="914"/>
      <c r="VVI29" s="911"/>
      <c r="VVJ29" s="911"/>
      <c r="VVK29" s="911"/>
      <c r="VVL29" s="915"/>
      <c r="VVM29" s="914"/>
      <c r="VVN29" s="914"/>
      <c r="VVO29" s="914"/>
      <c r="VVP29" s="914"/>
      <c r="VVQ29" s="914"/>
      <c r="VVR29" s="914"/>
      <c r="VVS29" s="914"/>
      <c r="VVT29" s="911"/>
      <c r="VVU29" s="911"/>
      <c r="VVV29" s="911"/>
      <c r="VVW29" s="915"/>
      <c r="VVX29" s="914"/>
      <c r="VVY29" s="914"/>
      <c r="VVZ29" s="914"/>
      <c r="VWA29" s="914"/>
      <c r="VWB29" s="914"/>
      <c r="VWC29" s="914"/>
      <c r="VWD29" s="914"/>
      <c r="VWE29" s="911"/>
      <c r="VWF29" s="911"/>
      <c r="VWG29" s="911"/>
      <c r="VWH29" s="915"/>
      <c r="VWI29" s="914"/>
      <c r="VWJ29" s="914"/>
      <c r="VWK29" s="914"/>
      <c r="VWL29" s="914"/>
      <c r="VWM29" s="914"/>
      <c r="VWN29" s="914"/>
      <c r="VWO29" s="914"/>
      <c r="VWP29" s="911"/>
      <c r="VWQ29" s="911"/>
      <c r="VWR29" s="911"/>
      <c r="VWS29" s="915"/>
      <c r="VWT29" s="914"/>
      <c r="VWU29" s="914"/>
      <c r="VWV29" s="914"/>
      <c r="VWW29" s="914"/>
      <c r="VWX29" s="914"/>
      <c r="VWY29" s="914"/>
      <c r="VWZ29" s="914"/>
      <c r="VXA29" s="911"/>
      <c r="VXB29" s="911"/>
      <c r="VXC29" s="911"/>
      <c r="VXD29" s="915"/>
      <c r="VXE29" s="914"/>
      <c r="VXF29" s="914"/>
      <c r="VXG29" s="914"/>
      <c r="VXH29" s="914"/>
      <c r="VXI29" s="914"/>
      <c r="VXJ29" s="914"/>
      <c r="VXK29" s="914"/>
      <c r="VXL29" s="911"/>
      <c r="VXM29" s="911"/>
      <c r="VXN29" s="911"/>
      <c r="VXO29" s="915"/>
      <c r="VXP29" s="914"/>
      <c r="VXQ29" s="914"/>
      <c r="VXR29" s="914"/>
      <c r="VXS29" s="914"/>
      <c r="VXT29" s="914"/>
      <c r="VXU29" s="914"/>
      <c r="VXV29" s="914"/>
      <c r="VXW29" s="911"/>
      <c r="VXX29" s="911"/>
      <c r="VXY29" s="911"/>
      <c r="VXZ29" s="915"/>
      <c r="VYA29" s="914"/>
      <c r="VYB29" s="914"/>
      <c r="VYC29" s="914"/>
      <c r="VYD29" s="914"/>
      <c r="VYE29" s="914"/>
      <c r="VYF29" s="914"/>
      <c r="VYG29" s="914"/>
      <c r="VYH29" s="911"/>
      <c r="VYI29" s="911"/>
      <c r="VYJ29" s="911"/>
      <c r="VYK29" s="915"/>
      <c r="VYL29" s="914"/>
      <c r="VYM29" s="914"/>
      <c r="VYN29" s="914"/>
      <c r="VYO29" s="914"/>
      <c r="VYP29" s="914"/>
      <c r="VYQ29" s="914"/>
      <c r="VYR29" s="914"/>
      <c r="VYS29" s="911"/>
      <c r="VYT29" s="911"/>
      <c r="VYU29" s="911"/>
      <c r="VYV29" s="915"/>
      <c r="VYW29" s="914"/>
      <c r="VYX29" s="914"/>
      <c r="VYY29" s="914"/>
      <c r="VYZ29" s="914"/>
      <c r="VZA29" s="914"/>
      <c r="VZB29" s="914"/>
      <c r="VZC29" s="914"/>
      <c r="VZD29" s="911"/>
      <c r="VZE29" s="911"/>
      <c r="VZF29" s="911"/>
      <c r="VZG29" s="915"/>
      <c r="VZH29" s="914"/>
      <c r="VZI29" s="914"/>
      <c r="VZJ29" s="914"/>
      <c r="VZK29" s="914"/>
      <c r="VZL29" s="914"/>
      <c r="VZM29" s="914"/>
      <c r="VZN29" s="914"/>
      <c r="VZO29" s="911"/>
      <c r="VZP29" s="911"/>
      <c r="VZQ29" s="911"/>
      <c r="VZR29" s="915"/>
      <c r="VZS29" s="914"/>
      <c r="VZT29" s="914"/>
      <c r="VZU29" s="914"/>
      <c r="VZV29" s="914"/>
      <c r="VZW29" s="914"/>
      <c r="VZX29" s="914"/>
      <c r="VZY29" s="914"/>
      <c r="VZZ29" s="911"/>
      <c r="WAA29" s="911"/>
      <c r="WAB29" s="911"/>
      <c r="WAC29" s="915"/>
      <c r="WAD29" s="914"/>
      <c r="WAE29" s="914"/>
      <c r="WAF29" s="914"/>
      <c r="WAG29" s="914"/>
      <c r="WAH29" s="914"/>
      <c r="WAI29" s="914"/>
      <c r="WAJ29" s="914"/>
      <c r="WAK29" s="911"/>
      <c r="WAL29" s="911"/>
      <c r="WAM29" s="911"/>
      <c r="WAN29" s="915"/>
      <c r="WAO29" s="914"/>
      <c r="WAP29" s="914"/>
      <c r="WAQ29" s="914"/>
      <c r="WAR29" s="914"/>
      <c r="WAS29" s="914"/>
      <c r="WAT29" s="914"/>
      <c r="WAU29" s="914"/>
      <c r="WAV29" s="911"/>
      <c r="WAW29" s="911"/>
      <c r="WAX29" s="911"/>
      <c r="WAY29" s="915"/>
      <c r="WAZ29" s="914"/>
      <c r="WBA29" s="914"/>
      <c r="WBB29" s="914"/>
      <c r="WBC29" s="914"/>
      <c r="WBD29" s="914"/>
      <c r="WBE29" s="914"/>
      <c r="WBF29" s="914"/>
      <c r="WBG29" s="911"/>
      <c r="WBH29" s="911"/>
      <c r="WBI29" s="911"/>
      <c r="WBJ29" s="915"/>
      <c r="WBK29" s="914"/>
      <c r="WBL29" s="914"/>
      <c r="WBM29" s="914"/>
      <c r="WBN29" s="914"/>
      <c r="WBO29" s="914"/>
      <c r="WBP29" s="914"/>
      <c r="WBQ29" s="914"/>
      <c r="WBR29" s="911"/>
      <c r="WBS29" s="911"/>
      <c r="WBT29" s="911"/>
      <c r="WBU29" s="915"/>
      <c r="WBV29" s="914"/>
      <c r="WBW29" s="914"/>
      <c r="WBX29" s="914"/>
      <c r="WBY29" s="914"/>
      <c r="WBZ29" s="914"/>
      <c r="WCA29" s="914"/>
      <c r="WCB29" s="914"/>
      <c r="WCC29" s="911"/>
      <c r="WCD29" s="911"/>
      <c r="WCE29" s="911"/>
      <c r="WCF29" s="915"/>
      <c r="WCG29" s="914"/>
      <c r="WCH29" s="914"/>
      <c r="WCI29" s="914"/>
      <c r="WCJ29" s="914"/>
      <c r="WCK29" s="914"/>
      <c r="WCL29" s="914"/>
      <c r="WCM29" s="914"/>
      <c r="WCN29" s="911"/>
      <c r="WCO29" s="911"/>
      <c r="WCP29" s="911"/>
      <c r="WCQ29" s="915"/>
      <c r="WCR29" s="914"/>
      <c r="WCS29" s="914"/>
      <c r="WCT29" s="914"/>
      <c r="WCU29" s="914"/>
      <c r="WCV29" s="914"/>
      <c r="WCW29" s="914"/>
      <c r="WCX29" s="914"/>
      <c r="WCY29" s="911"/>
      <c r="WCZ29" s="911"/>
      <c r="WDA29" s="911"/>
      <c r="WDB29" s="915"/>
      <c r="WDC29" s="914"/>
      <c r="WDD29" s="914"/>
      <c r="WDE29" s="914"/>
      <c r="WDF29" s="914"/>
      <c r="WDG29" s="914"/>
      <c r="WDH29" s="914"/>
      <c r="WDI29" s="914"/>
      <c r="WDJ29" s="911"/>
      <c r="WDK29" s="911"/>
      <c r="WDL29" s="911"/>
      <c r="WDM29" s="915"/>
      <c r="WDN29" s="914"/>
      <c r="WDO29" s="914"/>
      <c r="WDP29" s="914"/>
      <c r="WDQ29" s="914"/>
      <c r="WDR29" s="914"/>
      <c r="WDS29" s="914"/>
      <c r="WDT29" s="914"/>
      <c r="WDU29" s="911"/>
      <c r="WDV29" s="911"/>
      <c r="WDW29" s="911"/>
      <c r="WDX29" s="915"/>
      <c r="WDY29" s="914"/>
      <c r="WDZ29" s="914"/>
      <c r="WEA29" s="914"/>
      <c r="WEB29" s="914"/>
      <c r="WEC29" s="914"/>
      <c r="WED29" s="914"/>
      <c r="WEE29" s="914"/>
      <c r="WEF29" s="911"/>
      <c r="WEG29" s="911"/>
      <c r="WEH29" s="911"/>
      <c r="WEI29" s="915"/>
      <c r="WEJ29" s="914"/>
      <c r="WEK29" s="914"/>
      <c r="WEL29" s="914"/>
      <c r="WEM29" s="914"/>
      <c r="WEN29" s="914"/>
      <c r="WEO29" s="914"/>
      <c r="WEP29" s="914"/>
      <c r="WEQ29" s="911"/>
      <c r="WER29" s="911"/>
      <c r="WES29" s="911"/>
      <c r="WET29" s="915"/>
      <c r="WEU29" s="914"/>
      <c r="WEV29" s="914"/>
      <c r="WEW29" s="914"/>
      <c r="WEX29" s="914"/>
      <c r="WEY29" s="914"/>
      <c r="WEZ29" s="914"/>
      <c r="WFA29" s="914"/>
      <c r="WFB29" s="911"/>
      <c r="WFC29" s="911"/>
      <c r="WFD29" s="911"/>
      <c r="WFE29" s="915"/>
      <c r="WFF29" s="914"/>
      <c r="WFG29" s="914"/>
      <c r="WFH29" s="914"/>
      <c r="WFI29" s="914"/>
      <c r="WFJ29" s="914"/>
      <c r="WFK29" s="914"/>
      <c r="WFL29" s="914"/>
      <c r="WFM29" s="911"/>
      <c r="WFN29" s="911"/>
      <c r="WFO29" s="911"/>
      <c r="WFP29" s="915"/>
      <c r="WFQ29" s="914"/>
      <c r="WFR29" s="914"/>
      <c r="WFS29" s="914"/>
      <c r="WFT29" s="914"/>
      <c r="WFU29" s="914"/>
      <c r="WFV29" s="914"/>
      <c r="WFW29" s="914"/>
      <c r="WFX29" s="911"/>
      <c r="WFY29" s="911"/>
      <c r="WFZ29" s="911"/>
      <c r="WGA29" s="915"/>
      <c r="WGB29" s="914"/>
      <c r="WGC29" s="914"/>
      <c r="WGD29" s="914"/>
      <c r="WGE29" s="914"/>
      <c r="WGF29" s="914"/>
      <c r="WGG29" s="914"/>
      <c r="WGH29" s="914"/>
      <c r="WGI29" s="911"/>
      <c r="WGJ29" s="911"/>
      <c r="WGK29" s="911"/>
      <c r="WGL29" s="915"/>
      <c r="WGM29" s="914"/>
      <c r="WGN29" s="914"/>
      <c r="WGO29" s="914"/>
      <c r="WGP29" s="914"/>
      <c r="WGQ29" s="914"/>
      <c r="WGR29" s="914"/>
      <c r="WGS29" s="914"/>
      <c r="WGT29" s="911"/>
      <c r="WGU29" s="911"/>
      <c r="WGV29" s="911"/>
      <c r="WGW29" s="915"/>
      <c r="WGX29" s="914"/>
      <c r="WGY29" s="914"/>
      <c r="WGZ29" s="914"/>
      <c r="WHA29" s="914"/>
      <c r="WHB29" s="914"/>
      <c r="WHC29" s="914"/>
      <c r="WHD29" s="914"/>
      <c r="WHE29" s="911"/>
      <c r="WHF29" s="911"/>
      <c r="WHG29" s="911"/>
      <c r="WHH29" s="915"/>
      <c r="WHI29" s="914"/>
      <c r="WHJ29" s="914"/>
      <c r="WHK29" s="914"/>
      <c r="WHL29" s="914"/>
      <c r="WHM29" s="914"/>
      <c r="WHN29" s="914"/>
      <c r="WHO29" s="914"/>
      <c r="WHP29" s="911"/>
      <c r="WHQ29" s="911"/>
      <c r="WHR29" s="911"/>
      <c r="WHS29" s="915"/>
      <c r="WHT29" s="914"/>
      <c r="WHU29" s="914"/>
      <c r="WHV29" s="914"/>
      <c r="WHW29" s="914"/>
      <c r="WHX29" s="914"/>
      <c r="WHY29" s="914"/>
      <c r="WHZ29" s="914"/>
      <c r="WIA29" s="911"/>
      <c r="WIB29" s="911"/>
      <c r="WIC29" s="911"/>
      <c r="WID29" s="915"/>
      <c r="WIE29" s="914"/>
      <c r="WIF29" s="914"/>
      <c r="WIG29" s="914"/>
      <c r="WIH29" s="914"/>
      <c r="WII29" s="914"/>
      <c r="WIJ29" s="914"/>
      <c r="WIK29" s="914"/>
      <c r="WIL29" s="911"/>
      <c r="WIM29" s="911"/>
      <c r="WIN29" s="911"/>
      <c r="WIO29" s="915"/>
      <c r="WIP29" s="914"/>
      <c r="WIQ29" s="914"/>
      <c r="WIR29" s="914"/>
      <c r="WIS29" s="914"/>
      <c r="WIT29" s="914"/>
      <c r="WIU29" s="914"/>
      <c r="WIV29" s="914"/>
      <c r="WIW29" s="911"/>
      <c r="WIX29" s="911"/>
      <c r="WIY29" s="911"/>
      <c r="WIZ29" s="915"/>
      <c r="WJA29" s="914"/>
      <c r="WJB29" s="914"/>
      <c r="WJC29" s="914"/>
      <c r="WJD29" s="914"/>
      <c r="WJE29" s="914"/>
      <c r="WJF29" s="914"/>
      <c r="WJG29" s="914"/>
      <c r="WJH29" s="911"/>
      <c r="WJI29" s="911"/>
      <c r="WJJ29" s="911"/>
      <c r="WJK29" s="915"/>
      <c r="WJL29" s="914"/>
      <c r="WJM29" s="914"/>
      <c r="WJN29" s="914"/>
      <c r="WJO29" s="914"/>
      <c r="WJP29" s="914"/>
      <c r="WJQ29" s="914"/>
      <c r="WJR29" s="914"/>
      <c r="WJS29" s="911"/>
      <c r="WJT29" s="911"/>
      <c r="WJU29" s="911"/>
      <c r="WJV29" s="915"/>
      <c r="WJW29" s="914"/>
      <c r="WJX29" s="914"/>
      <c r="WJY29" s="914"/>
      <c r="WJZ29" s="914"/>
      <c r="WKA29" s="914"/>
      <c r="WKB29" s="914"/>
      <c r="WKC29" s="914"/>
      <c r="WKD29" s="911"/>
      <c r="WKE29" s="911"/>
      <c r="WKF29" s="911"/>
      <c r="WKG29" s="915"/>
      <c r="WKH29" s="914"/>
      <c r="WKI29" s="914"/>
      <c r="WKJ29" s="914"/>
      <c r="WKK29" s="914"/>
      <c r="WKL29" s="914"/>
      <c r="WKM29" s="914"/>
      <c r="WKN29" s="914"/>
      <c r="WKO29" s="911"/>
      <c r="WKP29" s="911"/>
      <c r="WKQ29" s="911"/>
      <c r="WKR29" s="915"/>
      <c r="WKS29" s="914"/>
      <c r="WKT29" s="914"/>
      <c r="WKU29" s="914"/>
      <c r="WKV29" s="914"/>
      <c r="WKW29" s="914"/>
      <c r="WKX29" s="914"/>
      <c r="WKY29" s="914"/>
      <c r="WKZ29" s="911"/>
      <c r="WLA29" s="911"/>
      <c r="WLB29" s="911"/>
      <c r="WLC29" s="915"/>
      <c r="WLD29" s="914"/>
      <c r="WLE29" s="914"/>
      <c r="WLF29" s="914"/>
      <c r="WLG29" s="914"/>
      <c r="WLH29" s="914"/>
      <c r="WLI29" s="914"/>
      <c r="WLJ29" s="914"/>
      <c r="WLK29" s="911"/>
      <c r="WLL29" s="911"/>
      <c r="WLM29" s="911"/>
      <c r="WLN29" s="915"/>
      <c r="WLO29" s="914"/>
      <c r="WLP29" s="914"/>
      <c r="WLQ29" s="914"/>
      <c r="WLR29" s="914"/>
      <c r="WLS29" s="914"/>
      <c r="WLT29" s="914"/>
      <c r="WLU29" s="914"/>
      <c r="WLV29" s="911"/>
      <c r="WLW29" s="911"/>
      <c r="WLX29" s="911"/>
      <c r="WLY29" s="915"/>
      <c r="WLZ29" s="914"/>
      <c r="WMA29" s="914"/>
      <c r="WMB29" s="914"/>
      <c r="WMC29" s="914"/>
      <c r="WMD29" s="914"/>
      <c r="WME29" s="914"/>
      <c r="WMF29" s="914"/>
      <c r="WMG29" s="911"/>
      <c r="WMH29" s="911"/>
      <c r="WMI29" s="911"/>
      <c r="WMJ29" s="915"/>
      <c r="WMK29" s="914"/>
      <c r="WML29" s="914"/>
      <c r="WMM29" s="914"/>
      <c r="WMN29" s="914"/>
      <c r="WMO29" s="914"/>
      <c r="WMP29" s="914"/>
      <c r="WMQ29" s="914"/>
      <c r="WMR29" s="911"/>
      <c r="WMS29" s="911"/>
      <c r="WMT29" s="911"/>
      <c r="WMU29" s="915"/>
      <c r="WMV29" s="914"/>
      <c r="WMW29" s="914"/>
      <c r="WMX29" s="914"/>
      <c r="WMY29" s="914"/>
      <c r="WMZ29" s="914"/>
      <c r="WNA29" s="914"/>
      <c r="WNB29" s="914"/>
      <c r="WNC29" s="911"/>
      <c r="WND29" s="911"/>
      <c r="WNE29" s="911"/>
      <c r="WNF29" s="915"/>
      <c r="WNG29" s="914"/>
      <c r="WNH29" s="914"/>
      <c r="WNI29" s="914"/>
      <c r="WNJ29" s="914"/>
      <c r="WNK29" s="914"/>
      <c r="WNL29" s="914"/>
      <c r="WNM29" s="914"/>
      <c r="WNN29" s="911"/>
      <c r="WNO29" s="911"/>
      <c r="WNP29" s="911"/>
      <c r="WNQ29" s="915"/>
      <c r="WNR29" s="914"/>
      <c r="WNS29" s="914"/>
      <c r="WNT29" s="914"/>
      <c r="WNU29" s="914"/>
      <c r="WNV29" s="914"/>
      <c r="WNW29" s="914"/>
      <c r="WNX29" s="914"/>
      <c r="WNY29" s="911"/>
      <c r="WNZ29" s="911"/>
      <c r="WOA29" s="911"/>
      <c r="WOB29" s="915"/>
      <c r="WOC29" s="914"/>
      <c r="WOD29" s="914"/>
      <c r="WOE29" s="914"/>
      <c r="WOF29" s="914"/>
      <c r="WOG29" s="914"/>
      <c r="WOH29" s="914"/>
      <c r="WOI29" s="914"/>
      <c r="WOJ29" s="911"/>
      <c r="WOK29" s="911"/>
      <c r="WOL29" s="911"/>
      <c r="WOM29" s="915"/>
      <c r="WON29" s="914"/>
      <c r="WOO29" s="914"/>
      <c r="WOP29" s="914"/>
      <c r="WOQ29" s="914"/>
      <c r="WOR29" s="914"/>
      <c r="WOS29" s="914"/>
      <c r="WOT29" s="914"/>
      <c r="WOU29" s="911"/>
      <c r="WOV29" s="911"/>
      <c r="WOW29" s="911"/>
      <c r="WOX29" s="915"/>
      <c r="WOY29" s="914"/>
      <c r="WOZ29" s="914"/>
      <c r="WPA29" s="914"/>
      <c r="WPB29" s="914"/>
      <c r="WPC29" s="914"/>
      <c r="WPD29" s="914"/>
      <c r="WPE29" s="914"/>
      <c r="WPF29" s="911"/>
      <c r="WPG29" s="911"/>
      <c r="WPH29" s="911"/>
      <c r="WPI29" s="915"/>
      <c r="WPJ29" s="914"/>
      <c r="WPK29" s="914"/>
      <c r="WPL29" s="914"/>
      <c r="WPM29" s="914"/>
      <c r="WPN29" s="914"/>
      <c r="WPO29" s="914"/>
      <c r="WPP29" s="914"/>
      <c r="WPQ29" s="911"/>
      <c r="WPR29" s="911"/>
      <c r="WPS29" s="911"/>
      <c r="WPT29" s="915"/>
      <c r="WPU29" s="914"/>
      <c r="WPV29" s="914"/>
      <c r="WPW29" s="914"/>
      <c r="WPX29" s="914"/>
      <c r="WPY29" s="914"/>
      <c r="WPZ29" s="914"/>
      <c r="WQA29" s="914"/>
      <c r="WQB29" s="911"/>
      <c r="WQC29" s="911"/>
      <c r="WQD29" s="911"/>
      <c r="WQE29" s="915"/>
      <c r="WQF29" s="914"/>
      <c r="WQG29" s="914"/>
      <c r="WQH29" s="914"/>
      <c r="WQI29" s="914"/>
      <c r="WQJ29" s="914"/>
      <c r="WQK29" s="914"/>
      <c r="WQL29" s="914"/>
      <c r="WQM29" s="911"/>
      <c r="WQN29" s="911"/>
      <c r="WQO29" s="911"/>
      <c r="WQP29" s="915"/>
      <c r="WQQ29" s="914"/>
      <c r="WQR29" s="914"/>
      <c r="WQS29" s="914"/>
      <c r="WQT29" s="914"/>
      <c r="WQU29" s="914"/>
      <c r="WQV29" s="914"/>
      <c r="WQW29" s="914"/>
      <c r="WQX29" s="911"/>
      <c r="WQY29" s="911"/>
      <c r="WQZ29" s="911"/>
      <c r="WRA29" s="915"/>
      <c r="WRB29" s="914"/>
      <c r="WRC29" s="914"/>
      <c r="WRD29" s="914"/>
      <c r="WRE29" s="914"/>
      <c r="WRF29" s="914"/>
      <c r="WRG29" s="914"/>
      <c r="WRH29" s="914"/>
      <c r="WRI29" s="911"/>
      <c r="WRJ29" s="911"/>
      <c r="WRK29" s="911"/>
      <c r="WRL29" s="915"/>
      <c r="WRM29" s="914"/>
      <c r="WRN29" s="914"/>
      <c r="WRO29" s="914"/>
      <c r="WRP29" s="914"/>
      <c r="WRQ29" s="914"/>
      <c r="WRR29" s="914"/>
      <c r="WRS29" s="914"/>
      <c r="WRT29" s="911"/>
      <c r="WRU29" s="911"/>
      <c r="WRV29" s="911"/>
      <c r="WRW29" s="915"/>
      <c r="WRX29" s="914"/>
      <c r="WRY29" s="914"/>
      <c r="WRZ29" s="914"/>
      <c r="WSA29" s="914"/>
      <c r="WSB29" s="914"/>
      <c r="WSC29" s="914"/>
      <c r="WSD29" s="914"/>
      <c r="WSE29" s="911"/>
      <c r="WSF29" s="911"/>
      <c r="WSG29" s="911"/>
      <c r="WSH29" s="915"/>
      <c r="WSI29" s="914"/>
      <c r="WSJ29" s="914"/>
      <c r="WSK29" s="914"/>
      <c r="WSL29" s="914"/>
      <c r="WSM29" s="914"/>
      <c r="WSN29" s="914"/>
      <c r="WSO29" s="914"/>
      <c r="WSP29" s="911"/>
      <c r="WSQ29" s="911"/>
      <c r="WSR29" s="911"/>
      <c r="WSS29" s="915"/>
      <c r="WST29" s="914"/>
      <c r="WSU29" s="914"/>
      <c r="WSV29" s="914"/>
      <c r="WSW29" s="914"/>
      <c r="WSX29" s="914"/>
      <c r="WSY29" s="914"/>
      <c r="WSZ29" s="914"/>
      <c r="WTA29" s="911"/>
      <c r="WTB29" s="911"/>
      <c r="WTC29" s="911"/>
      <c r="WTD29" s="915"/>
      <c r="WTE29" s="914"/>
      <c r="WTF29" s="914"/>
      <c r="WTG29" s="914"/>
      <c r="WTH29" s="914"/>
      <c r="WTI29" s="914"/>
      <c r="WTJ29" s="914"/>
      <c r="WTK29" s="914"/>
      <c r="WTL29" s="911"/>
      <c r="WTM29" s="911"/>
      <c r="WTN29" s="911"/>
      <c r="WTO29" s="915"/>
      <c r="WTP29" s="914"/>
      <c r="WTQ29" s="914"/>
      <c r="WTR29" s="914"/>
      <c r="WTS29" s="914"/>
      <c r="WTT29" s="914"/>
      <c r="WTU29" s="914"/>
      <c r="WTV29" s="914"/>
      <c r="WTW29" s="911"/>
      <c r="WTX29" s="911"/>
      <c r="WTY29" s="911"/>
      <c r="WTZ29" s="915"/>
      <c r="WUA29" s="914"/>
      <c r="WUB29" s="914"/>
      <c r="WUC29" s="914"/>
      <c r="WUD29" s="914"/>
      <c r="WUE29" s="914"/>
      <c r="WUF29" s="914"/>
      <c r="WUG29" s="914"/>
      <c r="WUH29" s="911"/>
      <c r="WUI29" s="911"/>
      <c r="WUJ29" s="911"/>
      <c r="WUK29" s="915"/>
      <c r="WUL29" s="914"/>
      <c r="WUM29" s="914"/>
      <c r="WUN29" s="914"/>
      <c r="WUO29" s="914"/>
      <c r="WUP29" s="914"/>
      <c r="WUQ29" s="914"/>
      <c r="WUR29" s="914"/>
      <c r="WUS29" s="911"/>
      <c r="WUT29" s="911"/>
      <c r="WUU29" s="911"/>
      <c r="WUV29" s="915"/>
      <c r="WUW29" s="914"/>
      <c r="WUX29" s="914"/>
      <c r="WUY29" s="914"/>
      <c r="WUZ29" s="914"/>
      <c r="WVA29" s="914"/>
      <c r="WVB29" s="914"/>
      <c r="WVC29" s="914"/>
      <c r="WVD29" s="911"/>
      <c r="WVE29" s="911"/>
      <c r="WVF29" s="911"/>
      <c r="WVG29" s="915"/>
      <c r="WVH29" s="914"/>
      <c r="WVI29" s="914"/>
      <c r="WVJ29" s="914"/>
      <c r="WVK29" s="914"/>
      <c r="WVL29" s="914"/>
      <c r="WVM29" s="914"/>
      <c r="WVN29" s="914"/>
      <c r="WVO29" s="911"/>
      <c r="WVP29" s="911"/>
      <c r="WVQ29" s="911"/>
      <c r="WVR29" s="915"/>
      <c r="WVS29" s="914"/>
      <c r="WVT29" s="914"/>
      <c r="WVU29" s="914"/>
      <c r="WVV29" s="914"/>
      <c r="WVW29" s="914"/>
      <c r="WVX29" s="914"/>
      <c r="WVY29" s="914"/>
      <c r="WVZ29" s="911"/>
      <c r="WWA29" s="911"/>
      <c r="WWB29" s="911"/>
      <c r="WWC29" s="915"/>
      <c r="WWD29" s="914"/>
      <c r="WWE29" s="914"/>
      <c r="WWF29" s="914"/>
      <c r="WWG29" s="914"/>
      <c r="WWH29" s="914"/>
      <c r="WWI29" s="914"/>
      <c r="WWJ29" s="914"/>
      <c r="WWK29" s="911"/>
      <c r="WWL29" s="911"/>
      <c r="WWM29" s="911"/>
      <c r="WWN29" s="915"/>
      <c r="WWO29" s="914"/>
      <c r="WWP29" s="914"/>
      <c r="WWQ29" s="914"/>
      <c r="WWR29" s="914"/>
      <c r="WWS29" s="914"/>
      <c r="WWT29" s="914"/>
      <c r="WWU29" s="914"/>
      <c r="WWV29" s="911"/>
      <c r="WWW29" s="911"/>
      <c r="WWX29" s="911"/>
      <c r="WWY29" s="915"/>
      <c r="WWZ29" s="914"/>
      <c r="WXA29" s="914"/>
      <c r="WXB29" s="914"/>
      <c r="WXC29" s="914"/>
      <c r="WXD29" s="914"/>
      <c r="WXE29" s="914"/>
      <c r="WXF29" s="914"/>
      <c r="WXG29" s="911"/>
      <c r="WXH29" s="911"/>
      <c r="WXI29" s="911"/>
      <c r="WXJ29" s="915"/>
      <c r="WXK29" s="914"/>
      <c r="WXL29" s="914"/>
      <c r="WXM29" s="914"/>
      <c r="WXN29" s="914"/>
      <c r="WXO29" s="914"/>
      <c r="WXP29" s="914"/>
      <c r="WXQ29" s="914"/>
      <c r="WXR29" s="911"/>
      <c r="WXS29" s="911"/>
      <c r="WXT29" s="911"/>
      <c r="WXU29" s="915"/>
      <c r="WXV29" s="914"/>
      <c r="WXW29" s="914"/>
      <c r="WXX29" s="914"/>
      <c r="WXY29" s="914"/>
      <c r="WXZ29" s="914"/>
      <c r="WYA29" s="914"/>
      <c r="WYB29" s="914"/>
      <c r="WYC29" s="911"/>
      <c r="WYD29" s="911"/>
      <c r="WYE29" s="911"/>
      <c r="WYF29" s="915"/>
      <c r="WYG29" s="914"/>
      <c r="WYH29" s="914"/>
      <c r="WYI29" s="914"/>
      <c r="WYJ29" s="914"/>
      <c r="WYK29" s="914"/>
      <c r="WYL29" s="914"/>
      <c r="WYM29" s="914"/>
      <c r="WYN29" s="911"/>
      <c r="WYO29" s="911"/>
      <c r="WYP29" s="911"/>
      <c r="WYQ29" s="915"/>
      <c r="WYR29" s="914"/>
      <c r="WYS29" s="914"/>
      <c r="WYT29" s="914"/>
      <c r="WYU29" s="914"/>
      <c r="WYV29" s="914"/>
      <c r="WYW29" s="914"/>
      <c r="WYX29" s="914"/>
      <c r="WYY29" s="911"/>
      <c r="WYZ29" s="911"/>
      <c r="WZA29" s="911"/>
      <c r="WZB29" s="915"/>
      <c r="WZC29" s="914"/>
      <c r="WZD29" s="914"/>
      <c r="WZE29" s="914"/>
      <c r="WZF29" s="914"/>
      <c r="WZG29" s="914"/>
      <c r="WZH29" s="914"/>
      <c r="WZI29" s="914"/>
      <c r="WZJ29" s="911"/>
      <c r="WZK29" s="911"/>
      <c r="WZL29" s="911"/>
      <c r="WZM29" s="915"/>
      <c r="WZN29" s="914"/>
      <c r="WZO29" s="914"/>
      <c r="WZP29" s="914"/>
      <c r="WZQ29" s="914"/>
      <c r="WZR29" s="914"/>
      <c r="WZS29" s="914"/>
      <c r="WZT29" s="914"/>
      <c r="WZU29" s="911"/>
      <c r="WZV29" s="911"/>
      <c r="WZW29" s="911"/>
      <c r="WZX29" s="915"/>
      <c r="WZY29" s="914"/>
      <c r="WZZ29" s="914"/>
      <c r="XAA29" s="914"/>
      <c r="XAB29" s="914"/>
      <c r="XAC29" s="914"/>
      <c r="XAD29" s="914"/>
      <c r="XAE29" s="914"/>
      <c r="XAF29" s="911"/>
      <c r="XAG29" s="911"/>
      <c r="XAH29" s="911"/>
      <c r="XAI29" s="915"/>
      <c r="XAJ29" s="914"/>
      <c r="XAK29" s="914"/>
      <c r="XAL29" s="914"/>
      <c r="XAM29" s="914"/>
      <c r="XAN29" s="914"/>
      <c r="XAO29" s="914"/>
      <c r="XAP29" s="914"/>
      <c r="XAQ29" s="911"/>
      <c r="XAR29" s="911"/>
      <c r="XAS29" s="911"/>
      <c r="XAT29" s="915"/>
      <c r="XAU29" s="914"/>
      <c r="XAV29" s="914"/>
      <c r="XAW29" s="914"/>
      <c r="XAX29" s="914"/>
      <c r="XAY29" s="914"/>
      <c r="XAZ29" s="914"/>
      <c r="XBA29" s="914"/>
      <c r="XBB29" s="911"/>
      <c r="XBC29" s="911"/>
      <c r="XBD29" s="911"/>
      <c r="XBE29" s="915"/>
      <c r="XBF29" s="914"/>
      <c r="XBG29" s="914"/>
      <c r="XBH29" s="914"/>
      <c r="XBI29" s="914"/>
      <c r="XBJ29" s="914"/>
      <c r="XBK29" s="914"/>
      <c r="XBL29" s="914"/>
      <c r="XBM29" s="911"/>
      <c r="XBN29" s="911"/>
      <c r="XBO29" s="911"/>
      <c r="XBP29" s="915"/>
      <c r="XBQ29" s="914"/>
      <c r="XBR29" s="914"/>
      <c r="XBS29" s="914"/>
      <c r="XBT29" s="914"/>
      <c r="XBU29" s="914"/>
      <c r="XBV29" s="914"/>
      <c r="XBW29" s="914"/>
      <c r="XBX29" s="911"/>
      <c r="XBY29" s="911"/>
      <c r="XBZ29" s="911"/>
      <c r="XCA29" s="915"/>
      <c r="XCB29" s="914"/>
      <c r="XCC29" s="914"/>
      <c r="XCD29" s="914"/>
      <c r="XCE29" s="914"/>
      <c r="XCF29" s="914"/>
      <c r="XCG29" s="914"/>
      <c r="XCH29" s="914"/>
      <c r="XCI29" s="911"/>
      <c r="XCJ29" s="911"/>
      <c r="XCK29" s="911"/>
      <c r="XCL29" s="915"/>
      <c r="XCM29" s="914"/>
      <c r="XCN29" s="914"/>
      <c r="XCO29" s="914"/>
      <c r="XCP29" s="914"/>
      <c r="XCQ29" s="914"/>
      <c r="XCR29" s="914"/>
      <c r="XCS29" s="914"/>
      <c r="XCT29" s="911"/>
      <c r="XCU29" s="911"/>
      <c r="XCV29" s="911"/>
      <c r="XCW29" s="915"/>
      <c r="XCX29" s="914"/>
      <c r="XCY29" s="914"/>
      <c r="XCZ29" s="914"/>
      <c r="XDA29" s="914"/>
      <c r="XDB29" s="914"/>
      <c r="XDC29" s="914"/>
      <c r="XDD29" s="914"/>
      <c r="XDE29" s="911"/>
      <c r="XDF29" s="911"/>
      <c r="XDG29" s="911"/>
      <c r="XDH29" s="915"/>
      <c r="XDI29" s="914"/>
      <c r="XDJ29" s="914"/>
      <c r="XDK29" s="914"/>
      <c r="XDL29" s="914"/>
      <c r="XDM29" s="914"/>
      <c r="XDN29" s="914"/>
      <c r="XDO29" s="914"/>
      <c r="XDP29" s="911"/>
      <c r="XDQ29" s="911"/>
      <c r="XDR29" s="911"/>
      <c r="XDS29" s="915"/>
      <c r="XDT29" s="914"/>
      <c r="XDU29" s="914"/>
      <c r="XDV29" s="914"/>
      <c r="XDW29" s="914"/>
      <c r="XDX29" s="914"/>
      <c r="XDY29" s="914"/>
      <c r="XDZ29" s="914"/>
      <c r="XEA29" s="911"/>
      <c r="XEB29" s="911"/>
      <c r="XEC29" s="911"/>
      <c r="XED29" s="915"/>
      <c r="XEE29" s="914"/>
      <c r="XEF29" s="914"/>
      <c r="XEG29" s="914"/>
      <c r="XEH29" s="914"/>
      <c r="XEI29" s="914"/>
      <c r="XEJ29" s="914"/>
      <c r="XEK29" s="914"/>
      <c r="XEL29" s="911"/>
      <c r="XEM29" s="911"/>
      <c r="XEN29" s="911"/>
      <c r="XEO29" s="915"/>
      <c r="XEP29" s="914"/>
      <c r="XEQ29" s="914"/>
      <c r="XER29" s="914"/>
      <c r="XES29" s="914"/>
      <c r="XET29" s="914"/>
      <c r="XEU29" s="914"/>
      <c r="XEV29" s="914"/>
      <c r="XEW29" s="911"/>
      <c r="XEX29" s="911"/>
      <c r="XEY29" s="911"/>
      <c r="XEZ29" s="915"/>
      <c r="XFA29" s="914"/>
      <c r="XFB29" s="914"/>
      <c r="XFC29" s="914"/>
      <c r="XFD29" s="914"/>
    </row>
    <row r="30" spans="1:16384" s="675" customFormat="1" ht="16" customHeight="1">
      <c r="A30" s="911"/>
      <c r="B30" s="910"/>
      <c r="C30" s="910"/>
      <c r="D30" s="910"/>
      <c r="E30" s="910"/>
      <c r="F30" s="910" t="s">
        <v>537</v>
      </c>
      <c r="G30" s="910"/>
      <c r="H30" s="910"/>
      <c r="I30" s="910"/>
      <c r="J30" s="910"/>
      <c r="K30" s="911"/>
      <c r="L30" s="911"/>
      <c r="M30" s="910"/>
      <c r="N30" s="910"/>
      <c r="O30" s="910"/>
      <c r="P30" s="910"/>
      <c r="Q30" s="910"/>
      <c r="R30" s="910"/>
      <c r="S30" s="910"/>
      <c r="T30" s="910"/>
      <c r="U30" s="910"/>
      <c r="V30" s="911"/>
      <c r="W30" s="911"/>
      <c r="X30" s="910"/>
      <c r="Y30" s="910"/>
      <c r="Z30" s="910"/>
      <c r="AA30" s="910"/>
      <c r="AB30" s="910"/>
      <c r="AC30" s="910"/>
      <c r="AD30" s="910"/>
      <c r="AE30" s="910"/>
      <c r="AF30" s="910"/>
      <c r="AG30" s="911"/>
      <c r="AH30" s="911"/>
      <c r="AI30" s="910"/>
      <c r="AJ30" s="910"/>
      <c r="AK30" s="910"/>
      <c r="AL30" s="910"/>
      <c r="AM30" s="910"/>
      <c r="AN30" s="910"/>
      <c r="AO30" s="910"/>
      <c r="AP30" s="910"/>
      <c r="AQ30" s="910"/>
      <c r="AR30" s="911"/>
      <c r="AS30" s="911"/>
      <c r="AT30" s="910"/>
      <c r="AU30" s="910"/>
      <c r="AV30" s="910"/>
      <c r="AW30" s="910"/>
      <c r="AX30" s="910"/>
      <c r="AY30" s="910"/>
      <c r="AZ30" s="910"/>
      <c r="BA30" s="910"/>
      <c r="BB30" s="910"/>
      <c r="BC30" s="911"/>
      <c r="BD30" s="911"/>
      <c r="BE30" s="910"/>
      <c r="BF30" s="910"/>
      <c r="BG30" s="910"/>
      <c r="BH30" s="910"/>
      <c r="BI30" s="910"/>
      <c r="BJ30" s="910"/>
      <c r="BK30" s="910"/>
      <c r="BL30" s="910"/>
      <c r="BM30" s="910"/>
      <c r="BN30" s="911"/>
      <c r="BO30" s="911"/>
      <c r="BP30" s="910"/>
      <c r="BQ30" s="910"/>
      <c r="BR30" s="910"/>
      <c r="BS30" s="910"/>
      <c r="BT30" s="910"/>
      <c r="BU30" s="910"/>
      <c r="BV30" s="910"/>
      <c r="BW30" s="910"/>
      <c r="BX30" s="910"/>
      <c r="BY30" s="911"/>
      <c r="BZ30" s="911"/>
      <c r="CA30" s="910"/>
      <c r="CB30" s="910"/>
      <c r="CC30" s="910"/>
      <c r="CD30" s="910"/>
      <c r="CE30" s="910"/>
      <c r="CF30" s="910"/>
      <c r="CG30" s="910"/>
      <c r="CH30" s="910"/>
      <c r="CI30" s="910"/>
      <c r="CJ30" s="911"/>
      <c r="CK30" s="911"/>
      <c r="CL30" s="910"/>
      <c r="CM30" s="910"/>
      <c r="CN30" s="910"/>
      <c r="CO30" s="910"/>
      <c r="CP30" s="910"/>
      <c r="CQ30" s="910"/>
      <c r="CR30" s="910"/>
      <c r="CS30" s="910"/>
      <c r="CT30" s="910"/>
      <c r="CU30" s="911"/>
      <c r="CV30" s="911"/>
      <c r="CW30" s="910"/>
      <c r="CX30" s="910"/>
      <c r="CY30" s="910"/>
      <c r="CZ30" s="910"/>
      <c r="DA30" s="910"/>
      <c r="DB30" s="910"/>
      <c r="DC30" s="910"/>
      <c r="DD30" s="910"/>
      <c r="DE30" s="910"/>
      <c r="DF30" s="911"/>
      <c r="DG30" s="911"/>
      <c r="DH30" s="910"/>
      <c r="DI30" s="910"/>
      <c r="DJ30" s="910"/>
      <c r="DK30" s="910"/>
      <c r="DL30" s="910"/>
      <c r="DM30" s="910"/>
      <c r="DN30" s="910"/>
      <c r="DO30" s="910"/>
      <c r="DP30" s="910"/>
      <c r="DQ30" s="911"/>
      <c r="DR30" s="911"/>
      <c r="DS30" s="910"/>
      <c r="DT30" s="910"/>
      <c r="DU30" s="910"/>
      <c r="DV30" s="910"/>
      <c r="DW30" s="910"/>
      <c r="DX30" s="910"/>
      <c r="DY30" s="910"/>
      <c r="DZ30" s="910"/>
      <c r="EA30" s="910"/>
      <c r="EB30" s="911"/>
      <c r="EC30" s="911"/>
      <c r="ED30" s="910"/>
      <c r="EE30" s="910"/>
      <c r="EF30" s="910"/>
      <c r="EG30" s="910"/>
      <c r="EH30" s="910"/>
      <c r="EI30" s="910"/>
      <c r="EJ30" s="910"/>
      <c r="EK30" s="910"/>
      <c r="EL30" s="910"/>
      <c r="EM30" s="911"/>
      <c r="EN30" s="911"/>
      <c r="EO30" s="910"/>
      <c r="EP30" s="910"/>
      <c r="EQ30" s="910"/>
      <c r="ER30" s="910"/>
      <c r="ES30" s="910"/>
      <c r="ET30" s="910"/>
      <c r="EU30" s="910"/>
      <c r="EV30" s="910"/>
      <c r="EW30" s="910"/>
      <c r="EX30" s="911"/>
      <c r="EY30" s="911"/>
      <c r="EZ30" s="910"/>
      <c r="FA30" s="910"/>
      <c r="FB30" s="910"/>
      <c r="FC30" s="910"/>
      <c r="FD30" s="910"/>
      <c r="FE30" s="910"/>
      <c r="FF30" s="910"/>
      <c r="FG30" s="910"/>
      <c r="FH30" s="910"/>
      <c r="FI30" s="911"/>
      <c r="FJ30" s="911"/>
      <c r="FK30" s="910"/>
      <c r="FL30" s="910"/>
      <c r="FM30" s="910"/>
      <c r="FN30" s="910"/>
      <c r="FO30" s="910"/>
      <c r="FP30" s="910"/>
      <c r="FQ30" s="910"/>
      <c r="FR30" s="910"/>
      <c r="FS30" s="910"/>
      <c r="FT30" s="911"/>
      <c r="FU30" s="911"/>
      <c r="FV30" s="910"/>
      <c r="FW30" s="910"/>
      <c r="FX30" s="910"/>
      <c r="FY30" s="910"/>
      <c r="FZ30" s="910"/>
      <c r="GA30" s="910"/>
      <c r="GB30" s="910"/>
      <c r="GC30" s="910"/>
      <c r="GD30" s="910"/>
      <c r="GE30" s="911"/>
      <c r="GF30" s="911"/>
      <c r="GG30" s="910"/>
      <c r="GH30" s="910"/>
      <c r="GI30" s="910"/>
      <c r="GJ30" s="910"/>
      <c r="GK30" s="910"/>
      <c r="GL30" s="910"/>
      <c r="GM30" s="910"/>
      <c r="GN30" s="910"/>
      <c r="GO30" s="910"/>
      <c r="GP30" s="911"/>
      <c r="GQ30" s="911"/>
      <c r="GR30" s="910"/>
      <c r="GS30" s="910"/>
      <c r="GT30" s="910"/>
      <c r="GU30" s="910"/>
      <c r="GV30" s="910"/>
      <c r="GW30" s="910"/>
      <c r="GX30" s="910"/>
      <c r="GY30" s="910"/>
      <c r="GZ30" s="910"/>
      <c r="HA30" s="911"/>
      <c r="HB30" s="911"/>
      <c r="HC30" s="910"/>
      <c r="HD30" s="910"/>
      <c r="HE30" s="910"/>
      <c r="HF30" s="910"/>
      <c r="HG30" s="910"/>
      <c r="HH30" s="910"/>
      <c r="HI30" s="910"/>
      <c r="HJ30" s="910"/>
      <c r="HK30" s="910"/>
      <c r="HL30" s="911"/>
      <c r="HM30" s="911"/>
      <c r="HN30" s="910"/>
      <c r="HO30" s="910"/>
      <c r="HP30" s="910"/>
      <c r="HQ30" s="910"/>
      <c r="HR30" s="910"/>
      <c r="HS30" s="910"/>
      <c r="HT30" s="910"/>
      <c r="HU30" s="910"/>
      <c r="HV30" s="910"/>
      <c r="HW30" s="911"/>
      <c r="HX30" s="911"/>
      <c r="HY30" s="910"/>
      <c r="HZ30" s="910"/>
      <c r="IA30" s="910"/>
      <c r="IB30" s="910"/>
      <c r="IC30" s="910"/>
      <c r="ID30" s="910"/>
      <c r="IE30" s="910"/>
      <c r="IF30" s="910"/>
      <c r="IG30" s="910"/>
      <c r="IH30" s="911"/>
      <c r="II30" s="911"/>
      <c r="IJ30" s="910"/>
      <c r="IK30" s="910"/>
      <c r="IL30" s="910"/>
      <c r="IM30" s="910"/>
      <c r="IN30" s="910"/>
      <c r="IO30" s="910"/>
      <c r="IP30" s="910"/>
      <c r="IQ30" s="910"/>
      <c r="IR30" s="910"/>
      <c r="IS30" s="911"/>
      <c r="IT30" s="911"/>
      <c r="IU30" s="910"/>
      <c r="IV30" s="910"/>
      <c r="IW30" s="910"/>
      <c r="IX30" s="910"/>
      <c r="IY30" s="910"/>
      <c r="IZ30" s="910"/>
      <c r="JA30" s="910"/>
      <c r="JB30" s="910"/>
      <c r="JC30" s="910"/>
      <c r="JD30" s="911"/>
      <c r="JE30" s="911"/>
      <c r="JF30" s="910"/>
      <c r="JG30" s="910"/>
      <c r="JH30" s="910"/>
      <c r="JI30" s="910"/>
      <c r="JJ30" s="910"/>
      <c r="JK30" s="910"/>
      <c r="JL30" s="910"/>
      <c r="JM30" s="910"/>
      <c r="JN30" s="910"/>
      <c r="JO30" s="911"/>
      <c r="JP30" s="911"/>
      <c r="JQ30" s="910"/>
      <c r="JR30" s="910"/>
      <c r="JS30" s="910"/>
      <c r="JT30" s="910"/>
      <c r="JU30" s="910"/>
      <c r="JV30" s="910"/>
      <c r="JW30" s="910"/>
      <c r="JX30" s="910"/>
      <c r="JY30" s="910"/>
      <c r="JZ30" s="911"/>
      <c r="KA30" s="911"/>
      <c r="KB30" s="910"/>
      <c r="KC30" s="910"/>
      <c r="KD30" s="910"/>
      <c r="KE30" s="910"/>
      <c r="KF30" s="910"/>
      <c r="KG30" s="910"/>
      <c r="KH30" s="910"/>
      <c r="KI30" s="910"/>
      <c r="KJ30" s="910"/>
      <c r="KK30" s="911"/>
      <c r="KL30" s="911"/>
      <c r="KM30" s="910"/>
      <c r="KN30" s="910"/>
      <c r="KO30" s="910"/>
      <c r="KP30" s="910"/>
      <c r="KQ30" s="910"/>
      <c r="KR30" s="910"/>
      <c r="KS30" s="910"/>
      <c r="KT30" s="910"/>
      <c r="KU30" s="910"/>
      <c r="KV30" s="911"/>
      <c r="KW30" s="911"/>
      <c r="KX30" s="910"/>
      <c r="KY30" s="910"/>
      <c r="KZ30" s="910"/>
      <c r="LA30" s="910"/>
      <c r="LB30" s="910"/>
      <c r="LC30" s="910"/>
      <c r="LD30" s="910"/>
      <c r="LE30" s="910"/>
      <c r="LF30" s="910"/>
      <c r="LG30" s="911"/>
      <c r="LH30" s="911"/>
      <c r="LI30" s="910"/>
      <c r="LJ30" s="910"/>
      <c r="LK30" s="910"/>
      <c r="LL30" s="910"/>
      <c r="LM30" s="910"/>
      <c r="LN30" s="910"/>
      <c r="LO30" s="910"/>
      <c r="LP30" s="910"/>
      <c r="LQ30" s="910"/>
      <c r="LR30" s="911"/>
      <c r="LS30" s="911"/>
      <c r="LT30" s="910"/>
      <c r="LU30" s="910"/>
      <c r="LV30" s="910"/>
      <c r="LW30" s="910"/>
      <c r="LX30" s="910"/>
      <c r="LY30" s="910"/>
      <c r="LZ30" s="910"/>
      <c r="MA30" s="910"/>
      <c r="MB30" s="910"/>
      <c r="MC30" s="911"/>
      <c r="MD30" s="911"/>
      <c r="ME30" s="910"/>
      <c r="MF30" s="910"/>
      <c r="MG30" s="910"/>
      <c r="MH30" s="910"/>
      <c r="MI30" s="910"/>
      <c r="MJ30" s="910"/>
      <c r="MK30" s="910"/>
      <c r="ML30" s="910"/>
      <c r="MM30" s="910"/>
      <c r="MN30" s="911"/>
      <c r="MO30" s="911"/>
      <c r="MP30" s="910"/>
      <c r="MQ30" s="910"/>
      <c r="MR30" s="910"/>
      <c r="MS30" s="910"/>
      <c r="MT30" s="910"/>
      <c r="MU30" s="910"/>
      <c r="MV30" s="910"/>
      <c r="MW30" s="910"/>
      <c r="MX30" s="910"/>
      <c r="MY30" s="911"/>
      <c r="MZ30" s="911"/>
      <c r="NA30" s="910"/>
      <c r="NB30" s="910"/>
      <c r="NC30" s="910"/>
      <c r="ND30" s="910"/>
      <c r="NE30" s="910"/>
      <c r="NF30" s="910"/>
      <c r="NG30" s="910"/>
      <c r="NH30" s="910"/>
      <c r="NI30" s="910"/>
      <c r="NJ30" s="911"/>
      <c r="NK30" s="911"/>
      <c r="NL30" s="910"/>
      <c r="NM30" s="910"/>
      <c r="NN30" s="910"/>
      <c r="NO30" s="910"/>
      <c r="NP30" s="910"/>
      <c r="NQ30" s="910"/>
      <c r="NR30" s="910"/>
      <c r="NS30" s="910"/>
      <c r="NT30" s="910"/>
      <c r="NU30" s="911"/>
      <c r="NV30" s="911"/>
      <c r="NW30" s="910"/>
      <c r="NX30" s="910"/>
      <c r="NY30" s="910"/>
      <c r="NZ30" s="910"/>
      <c r="OA30" s="910"/>
      <c r="OB30" s="910"/>
      <c r="OC30" s="910"/>
      <c r="OD30" s="910"/>
      <c r="OE30" s="910"/>
      <c r="OF30" s="911"/>
      <c r="OG30" s="911"/>
      <c r="OH30" s="910"/>
      <c r="OI30" s="910"/>
      <c r="OJ30" s="910"/>
      <c r="OK30" s="910"/>
      <c r="OL30" s="910"/>
      <c r="OM30" s="910"/>
      <c r="ON30" s="910"/>
      <c r="OO30" s="910"/>
      <c r="OP30" s="910"/>
      <c r="OQ30" s="911"/>
      <c r="OR30" s="911"/>
      <c r="OS30" s="910"/>
      <c r="OT30" s="910"/>
      <c r="OU30" s="910"/>
      <c r="OV30" s="910"/>
      <c r="OW30" s="910"/>
      <c r="OX30" s="910"/>
      <c r="OY30" s="910"/>
      <c r="OZ30" s="910"/>
      <c r="PA30" s="910"/>
      <c r="PB30" s="911"/>
      <c r="PC30" s="911"/>
      <c r="PD30" s="910"/>
      <c r="PE30" s="910"/>
      <c r="PF30" s="910"/>
      <c r="PG30" s="910"/>
      <c r="PH30" s="910"/>
      <c r="PI30" s="910"/>
      <c r="PJ30" s="910"/>
      <c r="PK30" s="910"/>
      <c r="PL30" s="910"/>
      <c r="PM30" s="911"/>
      <c r="PN30" s="911"/>
      <c r="PO30" s="910"/>
      <c r="PP30" s="910"/>
      <c r="PQ30" s="910"/>
      <c r="PR30" s="910"/>
      <c r="PS30" s="910"/>
      <c r="PT30" s="910"/>
      <c r="PU30" s="910"/>
      <c r="PV30" s="910"/>
      <c r="PW30" s="910"/>
      <c r="PX30" s="911"/>
      <c r="PY30" s="911"/>
      <c r="PZ30" s="910"/>
      <c r="QA30" s="910"/>
      <c r="QB30" s="910"/>
      <c r="QC30" s="910"/>
      <c r="QD30" s="910"/>
      <c r="QE30" s="910"/>
      <c r="QF30" s="910"/>
      <c r="QG30" s="910"/>
      <c r="QH30" s="910"/>
      <c r="QI30" s="911"/>
      <c r="QJ30" s="911"/>
      <c r="QK30" s="910"/>
      <c r="QL30" s="910"/>
      <c r="QM30" s="910"/>
      <c r="QN30" s="910"/>
      <c r="QO30" s="910"/>
      <c r="QP30" s="910"/>
      <c r="QQ30" s="910"/>
      <c r="QR30" s="910"/>
      <c r="QS30" s="910"/>
      <c r="QT30" s="911"/>
      <c r="QU30" s="911"/>
      <c r="QV30" s="910"/>
      <c r="QW30" s="910"/>
      <c r="QX30" s="910"/>
      <c r="QY30" s="910"/>
      <c r="QZ30" s="910"/>
      <c r="RA30" s="910"/>
      <c r="RB30" s="910"/>
      <c r="RC30" s="910"/>
      <c r="RD30" s="910"/>
      <c r="RE30" s="911"/>
      <c r="RF30" s="911"/>
      <c r="RG30" s="910"/>
      <c r="RH30" s="910"/>
      <c r="RI30" s="910"/>
      <c r="RJ30" s="910"/>
      <c r="RK30" s="910"/>
      <c r="RL30" s="910"/>
      <c r="RM30" s="910"/>
      <c r="RN30" s="910"/>
      <c r="RO30" s="910"/>
      <c r="RP30" s="911"/>
      <c r="RQ30" s="911"/>
      <c r="RR30" s="910"/>
      <c r="RS30" s="910"/>
      <c r="RT30" s="910"/>
      <c r="RU30" s="910"/>
      <c r="RV30" s="910"/>
      <c r="RW30" s="910"/>
      <c r="RX30" s="910"/>
      <c r="RY30" s="910"/>
      <c r="RZ30" s="910"/>
      <c r="SA30" s="911"/>
      <c r="SB30" s="911"/>
      <c r="SC30" s="910"/>
      <c r="SD30" s="910"/>
      <c r="SE30" s="910"/>
      <c r="SF30" s="910"/>
      <c r="SG30" s="910"/>
      <c r="SH30" s="910"/>
      <c r="SI30" s="910"/>
      <c r="SJ30" s="910"/>
      <c r="SK30" s="910"/>
      <c r="SL30" s="911"/>
      <c r="SM30" s="911"/>
      <c r="SN30" s="910"/>
      <c r="SO30" s="910"/>
      <c r="SP30" s="910"/>
      <c r="SQ30" s="910"/>
      <c r="SR30" s="910"/>
      <c r="SS30" s="910"/>
      <c r="ST30" s="910"/>
      <c r="SU30" s="910"/>
      <c r="SV30" s="910"/>
      <c r="SW30" s="911"/>
      <c r="SX30" s="911"/>
      <c r="SY30" s="910"/>
      <c r="SZ30" s="910"/>
      <c r="TA30" s="910"/>
      <c r="TB30" s="910"/>
      <c r="TC30" s="910"/>
      <c r="TD30" s="910"/>
      <c r="TE30" s="910"/>
      <c r="TF30" s="910"/>
      <c r="TG30" s="910"/>
      <c r="TH30" s="911"/>
      <c r="TI30" s="911"/>
      <c r="TJ30" s="910"/>
      <c r="TK30" s="910"/>
      <c r="TL30" s="910"/>
      <c r="TM30" s="910"/>
      <c r="TN30" s="910"/>
      <c r="TO30" s="910"/>
      <c r="TP30" s="910"/>
      <c r="TQ30" s="910"/>
      <c r="TR30" s="910"/>
      <c r="TS30" s="911"/>
      <c r="TT30" s="911"/>
      <c r="TU30" s="910"/>
      <c r="TV30" s="910"/>
      <c r="TW30" s="910"/>
      <c r="TX30" s="910"/>
      <c r="TY30" s="910"/>
      <c r="TZ30" s="910"/>
      <c r="UA30" s="910"/>
      <c r="UB30" s="910"/>
      <c r="UC30" s="910"/>
      <c r="UD30" s="911"/>
      <c r="UE30" s="911"/>
      <c r="UF30" s="910"/>
      <c r="UG30" s="910"/>
      <c r="UH30" s="910"/>
      <c r="UI30" s="910"/>
      <c r="UJ30" s="910"/>
      <c r="UK30" s="910"/>
      <c r="UL30" s="910"/>
      <c r="UM30" s="910"/>
      <c r="UN30" s="910"/>
      <c r="UO30" s="911"/>
      <c r="UP30" s="911"/>
      <c r="UQ30" s="910"/>
      <c r="UR30" s="910"/>
      <c r="US30" s="910"/>
      <c r="UT30" s="910"/>
      <c r="UU30" s="910"/>
      <c r="UV30" s="910"/>
      <c r="UW30" s="910"/>
      <c r="UX30" s="910"/>
      <c r="UY30" s="910"/>
      <c r="UZ30" s="911"/>
      <c r="VA30" s="911"/>
      <c r="VB30" s="910"/>
      <c r="VC30" s="910"/>
      <c r="VD30" s="910"/>
      <c r="VE30" s="910"/>
      <c r="VF30" s="910"/>
      <c r="VG30" s="910"/>
      <c r="VH30" s="910"/>
      <c r="VI30" s="910"/>
      <c r="VJ30" s="910"/>
      <c r="VK30" s="911"/>
      <c r="VL30" s="911"/>
      <c r="VM30" s="910"/>
      <c r="VN30" s="910"/>
      <c r="VO30" s="910"/>
      <c r="VP30" s="910"/>
      <c r="VQ30" s="910"/>
      <c r="VR30" s="910"/>
      <c r="VS30" s="910"/>
      <c r="VT30" s="910"/>
      <c r="VU30" s="910"/>
      <c r="VV30" s="911"/>
      <c r="VW30" s="911"/>
      <c r="VX30" s="910"/>
      <c r="VY30" s="910"/>
      <c r="VZ30" s="910"/>
      <c r="WA30" s="910"/>
      <c r="WB30" s="910"/>
      <c r="WC30" s="910"/>
      <c r="WD30" s="910"/>
      <c r="WE30" s="910"/>
      <c r="WF30" s="910"/>
      <c r="WG30" s="911"/>
      <c r="WH30" s="911"/>
      <c r="WI30" s="910"/>
      <c r="WJ30" s="910"/>
      <c r="WK30" s="910"/>
      <c r="WL30" s="910"/>
      <c r="WM30" s="910"/>
      <c r="WN30" s="910"/>
      <c r="WO30" s="910"/>
      <c r="WP30" s="910"/>
      <c r="WQ30" s="910"/>
      <c r="WR30" s="911"/>
      <c r="WS30" s="911"/>
      <c r="WT30" s="910"/>
      <c r="WU30" s="910"/>
      <c r="WV30" s="910"/>
      <c r="WW30" s="910"/>
      <c r="WX30" s="910"/>
      <c r="WY30" s="910"/>
      <c r="WZ30" s="910"/>
      <c r="XA30" s="910"/>
      <c r="XB30" s="910"/>
      <c r="XC30" s="911"/>
      <c r="XD30" s="911"/>
      <c r="XE30" s="910"/>
      <c r="XF30" s="910"/>
      <c r="XG30" s="910"/>
      <c r="XH30" s="910"/>
      <c r="XI30" s="910"/>
      <c r="XJ30" s="910"/>
      <c r="XK30" s="910"/>
      <c r="XL30" s="910"/>
      <c r="XM30" s="910"/>
      <c r="XN30" s="911"/>
      <c r="XO30" s="911"/>
      <c r="XP30" s="910"/>
      <c r="XQ30" s="910"/>
      <c r="XR30" s="910"/>
      <c r="XS30" s="910"/>
      <c r="XT30" s="910"/>
      <c r="XU30" s="910"/>
      <c r="XV30" s="910"/>
      <c r="XW30" s="910"/>
      <c r="XX30" s="910"/>
      <c r="XY30" s="911"/>
      <c r="XZ30" s="911"/>
      <c r="YA30" s="910"/>
      <c r="YB30" s="910"/>
      <c r="YC30" s="910"/>
      <c r="YD30" s="910"/>
      <c r="YE30" s="910"/>
      <c r="YF30" s="910"/>
      <c r="YG30" s="910"/>
      <c r="YH30" s="910"/>
      <c r="YI30" s="910"/>
      <c r="YJ30" s="911"/>
      <c r="YK30" s="911"/>
      <c r="YL30" s="910"/>
      <c r="YM30" s="910"/>
      <c r="YN30" s="910"/>
      <c r="YO30" s="910"/>
      <c r="YP30" s="910"/>
      <c r="YQ30" s="910"/>
      <c r="YR30" s="910"/>
      <c r="YS30" s="910"/>
      <c r="YT30" s="910"/>
      <c r="YU30" s="911"/>
      <c r="YV30" s="911"/>
      <c r="YW30" s="910"/>
      <c r="YX30" s="910"/>
      <c r="YY30" s="910"/>
      <c r="YZ30" s="910"/>
      <c r="ZA30" s="910"/>
      <c r="ZB30" s="910"/>
      <c r="ZC30" s="910"/>
      <c r="ZD30" s="910"/>
      <c r="ZE30" s="910"/>
      <c r="ZF30" s="911"/>
      <c r="ZG30" s="911"/>
      <c r="ZH30" s="910"/>
      <c r="ZI30" s="910"/>
      <c r="ZJ30" s="910"/>
      <c r="ZK30" s="910"/>
      <c r="ZL30" s="910"/>
      <c r="ZM30" s="910"/>
      <c r="ZN30" s="910"/>
      <c r="ZO30" s="910"/>
      <c r="ZP30" s="910"/>
      <c r="ZQ30" s="911"/>
      <c r="ZR30" s="911"/>
      <c r="ZS30" s="910"/>
      <c r="ZT30" s="910"/>
      <c r="ZU30" s="910"/>
      <c r="ZV30" s="910"/>
      <c r="ZW30" s="910"/>
      <c r="ZX30" s="910"/>
      <c r="ZY30" s="910"/>
      <c r="ZZ30" s="910"/>
      <c r="AAA30" s="910"/>
      <c r="AAB30" s="911"/>
      <c r="AAC30" s="911"/>
      <c r="AAD30" s="910"/>
      <c r="AAE30" s="910"/>
      <c r="AAF30" s="910"/>
      <c r="AAG30" s="910"/>
      <c r="AAH30" s="910"/>
      <c r="AAI30" s="910"/>
      <c r="AAJ30" s="910"/>
      <c r="AAK30" s="910"/>
      <c r="AAL30" s="910"/>
      <c r="AAM30" s="911"/>
      <c r="AAN30" s="911"/>
      <c r="AAO30" s="910"/>
      <c r="AAP30" s="910"/>
      <c r="AAQ30" s="910"/>
      <c r="AAR30" s="910"/>
      <c r="AAS30" s="910"/>
      <c r="AAT30" s="910"/>
      <c r="AAU30" s="910"/>
      <c r="AAV30" s="910"/>
      <c r="AAW30" s="910"/>
      <c r="AAX30" s="911"/>
      <c r="AAY30" s="911"/>
      <c r="AAZ30" s="910"/>
      <c r="ABA30" s="910"/>
      <c r="ABB30" s="910"/>
      <c r="ABC30" s="910"/>
      <c r="ABD30" s="910"/>
      <c r="ABE30" s="910"/>
      <c r="ABF30" s="910"/>
      <c r="ABG30" s="910"/>
      <c r="ABH30" s="910"/>
      <c r="ABI30" s="911"/>
      <c r="ABJ30" s="911"/>
      <c r="ABK30" s="910"/>
      <c r="ABL30" s="910"/>
      <c r="ABM30" s="910"/>
      <c r="ABN30" s="910"/>
      <c r="ABO30" s="910"/>
      <c r="ABP30" s="910"/>
      <c r="ABQ30" s="910"/>
      <c r="ABR30" s="910"/>
      <c r="ABS30" s="910"/>
      <c r="ABT30" s="911"/>
      <c r="ABU30" s="911"/>
      <c r="ABV30" s="910"/>
      <c r="ABW30" s="910"/>
      <c r="ABX30" s="910"/>
      <c r="ABY30" s="910"/>
      <c r="ABZ30" s="910"/>
      <c r="ACA30" s="910"/>
      <c r="ACB30" s="910"/>
      <c r="ACC30" s="910"/>
      <c r="ACD30" s="910"/>
      <c r="ACE30" s="911"/>
      <c r="ACF30" s="911"/>
      <c r="ACG30" s="910"/>
      <c r="ACH30" s="910"/>
      <c r="ACI30" s="910"/>
      <c r="ACJ30" s="910"/>
      <c r="ACK30" s="910"/>
      <c r="ACL30" s="910"/>
      <c r="ACM30" s="910"/>
      <c r="ACN30" s="910"/>
      <c r="ACO30" s="910"/>
      <c r="ACP30" s="911"/>
      <c r="ACQ30" s="911"/>
      <c r="ACR30" s="910"/>
      <c r="ACS30" s="910"/>
      <c r="ACT30" s="910"/>
      <c r="ACU30" s="910"/>
      <c r="ACV30" s="910"/>
      <c r="ACW30" s="910"/>
      <c r="ACX30" s="910"/>
      <c r="ACY30" s="910"/>
      <c r="ACZ30" s="910"/>
      <c r="ADA30" s="911"/>
      <c r="ADB30" s="911"/>
      <c r="ADC30" s="910"/>
      <c r="ADD30" s="910"/>
      <c r="ADE30" s="910"/>
      <c r="ADF30" s="910"/>
      <c r="ADG30" s="910"/>
      <c r="ADH30" s="910"/>
      <c r="ADI30" s="910"/>
      <c r="ADJ30" s="910"/>
      <c r="ADK30" s="910"/>
      <c r="ADL30" s="911"/>
      <c r="ADM30" s="911"/>
      <c r="ADN30" s="910"/>
      <c r="ADO30" s="910"/>
      <c r="ADP30" s="910"/>
      <c r="ADQ30" s="910"/>
      <c r="ADR30" s="910"/>
      <c r="ADS30" s="910"/>
      <c r="ADT30" s="910"/>
      <c r="ADU30" s="910"/>
      <c r="ADV30" s="910"/>
      <c r="ADW30" s="911"/>
      <c r="ADX30" s="911"/>
      <c r="ADY30" s="910"/>
      <c r="ADZ30" s="910"/>
      <c r="AEA30" s="910"/>
      <c r="AEB30" s="910"/>
      <c r="AEC30" s="910"/>
      <c r="AED30" s="910"/>
      <c r="AEE30" s="910"/>
      <c r="AEF30" s="910"/>
      <c r="AEG30" s="910"/>
      <c r="AEH30" s="911"/>
      <c r="AEI30" s="911"/>
      <c r="AEJ30" s="910"/>
      <c r="AEK30" s="910"/>
      <c r="AEL30" s="910"/>
      <c r="AEM30" s="910"/>
      <c r="AEN30" s="910"/>
      <c r="AEO30" s="910"/>
      <c r="AEP30" s="910"/>
      <c r="AEQ30" s="910"/>
      <c r="AER30" s="910"/>
      <c r="AES30" s="911"/>
      <c r="AET30" s="911"/>
      <c r="AEU30" s="910"/>
      <c r="AEV30" s="910"/>
      <c r="AEW30" s="910"/>
      <c r="AEX30" s="910"/>
      <c r="AEY30" s="910"/>
      <c r="AEZ30" s="910"/>
      <c r="AFA30" s="910"/>
      <c r="AFB30" s="910"/>
      <c r="AFC30" s="910"/>
      <c r="AFD30" s="911"/>
      <c r="AFE30" s="911"/>
      <c r="AFF30" s="910"/>
      <c r="AFG30" s="910"/>
      <c r="AFH30" s="910"/>
      <c r="AFI30" s="910"/>
      <c r="AFJ30" s="910"/>
      <c r="AFK30" s="910"/>
      <c r="AFL30" s="910"/>
      <c r="AFM30" s="910"/>
      <c r="AFN30" s="910"/>
      <c r="AFO30" s="911"/>
      <c r="AFP30" s="911"/>
      <c r="AFQ30" s="910"/>
      <c r="AFR30" s="910"/>
      <c r="AFS30" s="910"/>
      <c r="AFT30" s="910"/>
      <c r="AFU30" s="910"/>
      <c r="AFV30" s="910"/>
      <c r="AFW30" s="910"/>
      <c r="AFX30" s="910"/>
      <c r="AFY30" s="910"/>
      <c r="AFZ30" s="911"/>
      <c r="AGA30" s="911"/>
      <c r="AGB30" s="910"/>
      <c r="AGC30" s="910"/>
      <c r="AGD30" s="910"/>
      <c r="AGE30" s="910"/>
      <c r="AGF30" s="910"/>
      <c r="AGG30" s="910"/>
      <c r="AGH30" s="910"/>
      <c r="AGI30" s="910"/>
      <c r="AGJ30" s="910"/>
      <c r="AGK30" s="911"/>
      <c r="AGL30" s="911"/>
      <c r="AGM30" s="910"/>
      <c r="AGN30" s="910"/>
      <c r="AGO30" s="910"/>
      <c r="AGP30" s="910"/>
      <c r="AGQ30" s="910"/>
      <c r="AGR30" s="910"/>
      <c r="AGS30" s="910"/>
      <c r="AGT30" s="910"/>
      <c r="AGU30" s="910"/>
      <c r="AGV30" s="911"/>
      <c r="AGW30" s="911"/>
      <c r="AGX30" s="910"/>
      <c r="AGY30" s="910"/>
      <c r="AGZ30" s="910"/>
      <c r="AHA30" s="910"/>
      <c r="AHB30" s="910"/>
      <c r="AHC30" s="910"/>
      <c r="AHD30" s="910"/>
      <c r="AHE30" s="910"/>
      <c r="AHF30" s="910"/>
      <c r="AHG30" s="911"/>
      <c r="AHH30" s="911"/>
      <c r="AHI30" s="910"/>
      <c r="AHJ30" s="910"/>
      <c r="AHK30" s="910"/>
      <c r="AHL30" s="910"/>
      <c r="AHM30" s="910"/>
      <c r="AHN30" s="910"/>
      <c r="AHO30" s="910"/>
      <c r="AHP30" s="910"/>
      <c r="AHQ30" s="910"/>
      <c r="AHR30" s="911"/>
      <c r="AHS30" s="911"/>
      <c r="AHT30" s="910"/>
      <c r="AHU30" s="910"/>
      <c r="AHV30" s="910"/>
      <c r="AHW30" s="910"/>
      <c r="AHX30" s="910"/>
      <c r="AHY30" s="910"/>
      <c r="AHZ30" s="910"/>
      <c r="AIA30" s="910"/>
      <c r="AIB30" s="910"/>
      <c r="AIC30" s="911"/>
      <c r="AID30" s="911"/>
      <c r="AIE30" s="910"/>
      <c r="AIF30" s="910"/>
      <c r="AIG30" s="910"/>
      <c r="AIH30" s="910"/>
      <c r="AII30" s="910"/>
      <c r="AIJ30" s="910"/>
      <c r="AIK30" s="910"/>
      <c r="AIL30" s="910"/>
      <c r="AIM30" s="910"/>
      <c r="AIN30" s="911"/>
      <c r="AIO30" s="911"/>
      <c r="AIP30" s="910"/>
      <c r="AIQ30" s="910"/>
      <c r="AIR30" s="910"/>
      <c r="AIS30" s="910"/>
      <c r="AIT30" s="910"/>
      <c r="AIU30" s="910"/>
      <c r="AIV30" s="910"/>
      <c r="AIW30" s="910"/>
      <c r="AIX30" s="910"/>
      <c r="AIY30" s="911"/>
      <c r="AIZ30" s="911"/>
      <c r="AJA30" s="910"/>
      <c r="AJB30" s="910"/>
      <c r="AJC30" s="910"/>
      <c r="AJD30" s="910"/>
      <c r="AJE30" s="910"/>
      <c r="AJF30" s="910"/>
      <c r="AJG30" s="910"/>
      <c r="AJH30" s="910"/>
      <c r="AJI30" s="910"/>
      <c r="AJJ30" s="911"/>
      <c r="AJK30" s="911"/>
      <c r="AJL30" s="910"/>
      <c r="AJM30" s="910"/>
      <c r="AJN30" s="910"/>
      <c r="AJO30" s="910"/>
      <c r="AJP30" s="910"/>
      <c r="AJQ30" s="910"/>
      <c r="AJR30" s="910"/>
      <c r="AJS30" s="910"/>
      <c r="AJT30" s="910"/>
      <c r="AJU30" s="911"/>
      <c r="AJV30" s="911"/>
      <c r="AJW30" s="910"/>
      <c r="AJX30" s="910"/>
      <c r="AJY30" s="910"/>
      <c r="AJZ30" s="910"/>
      <c r="AKA30" s="910"/>
      <c r="AKB30" s="910"/>
      <c r="AKC30" s="910"/>
      <c r="AKD30" s="910"/>
      <c r="AKE30" s="910"/>
      <c r="AKF30" s="911"/>
      <c r="AKG30" s="911"/>
      <c r="AKH30" s="910"/>
      <c r="AKI30" s="910"/>
      <c r="AKJ30" s="910"/>
      <c r="AKK30" s="910"/>
      <c r="AKL30" s="910"/>
      <c r="AKM30" s="910"/>
      <c r="AKN30" s="910"/>
      <c r="AKO30" s="910"/>
      <c r="AKP30" s="910"/>
      <c r="AKQ30" s="911"/>
      <c r="AKR30" s="911"/>
      <c r="AKS30" s="910"/>
      <c r="AKT30" s="910"/>
      <c r="AKU30" s="910"/>
      <c r="AKV30" s="910"/>
      <c r="AKW30" s="910"/>
      <c r="AKX30" s="910"/>
      <c r="AKY30" s="910"/>
      <c r="AKZ30" s="910"/>
      <c r="ALA30" s="910"/>
      <c r="ALB30" s="911"/>
      <c r="ALC30" s="911"/>
      <c r="ALD30" s="910"/>
      <c r="ALE30" s="910"/>
      <c r="ALF30" s="910"/>
      <c r="ALG30" s="910"/>
      <c r="ALH30" s="910"/>
      <c r="ALI30" s="910"/>
      <c r="ALJ30" s="910"/>
      <c r="ALK30" s="910"/>
      <c r="ALL30" s="910"/>
      <c r="ALM30" s="911"/>
      <c r="ALN30" s="911"/>
      <c r="ALO30" s="910"/>
      <c r="ALP30" s="910"/>
      <c r="ALQ30" s="910"/>
      <c r="ALR30" s="910"/>
      <c r="ALS30" s="910"/>
      <c r="ALT30" s="910"/>
      <c r="ALU30" s="910"/>
      <c r="ALV30" s="910"/>
      <c r="ALW30" s="910"/>
      <c r="ALX30" s="911"/>
      <c r="ALY30" s="911"/>
      <c r="ALZ30" s="910"/>
      <c r="AMA30" s="910"/>
      <c r="AMB30" s="910"/>
      <c r="AMC30" s="910"/>
      <c r="AMD30" s="910"/>
      <c r="AME30" s="910"/>
      <c r="AMF30" s="910"/>
      <c r="AMG30" s="910"/>
      <c r="AMH30" s="910"/>
      <c r="AMI30" s="911"/>
      <c r="AMJ30" s="911"/>
      <c r="AMK30" s="910"/>
      <c r="AML30" s="910"/>
      <c r="AMM30" s="910"/>
      <c r="AMN30" s="910"/>
      <c r="AMO30" s="910"/>
      <c r="AMP30" s="910"/>
      <c r="AMQ30" s="910"/>
      <c r="AMR30" s="910"/>
      <c r="AMS30" s="910"/>
      <c r="AMT30" s="911"/>
      <c r="AMU30" s="911"/>
      <c r="AMV30" s="910"/>
      <c r="AMW30" s="910"/>
      <c r="AMX30" s="910"/>
      <c r="AMY30" s="910"/>
      <c r="AMZ30" s="910"/>
      <c r="ANA30" s="910"/>
      <c r="ANB30" s="910"/>
      <c r="ANC30" s="910"/>
      <c r="AND30" s="910"/>
      <c r="ANE30" s="911"/>
      <c r="ANF30" s="911"/>
      <c r="ANG30" s="910"/>
      <c r="ANH30" s="910"/>
      <c r="ANI30" s="910"/>
      <c r="ANJ30" s="910"/>
      <c r="ANK30" s="910"/>
      <c r="ANL30" s="910"/>
      <c r="ANM30" s="910"/>
      <c r="ANN30" s="910"/>
      <c r="ANO30" s="910"/>
      <c r="ANP30" s="911"/>
      <c r="ANQ30" s="911"/>
      <c r="ANR30" s="910"/>
      <c r="ANS30" s="910"/>
      <c r="ANT30" s="910"/>
      <c r="ANU30" s="910"/>
      <c r="ANV30" s="910"/>
      <c r="ANW30" s="910"/>
      <c r="ANX30" s="910"/>
      <c r="ANY30" s="910"/>
      <c r="ANZ30" s="910"/>
      <c r="AOA30" s="911"/>
      <c r="AOB30" s="911"/>
      <c r="AOC30" s="910"/>
      <c r="AOD30" s="910"/>
      <c r="AOE30" s="910"/>
      <c r="AOF30" s="910"/>
      <c r="AOG30" s="910"/>
      <c r="AOH30" s="910"/>
      <c r="AOI30" s="910"/>
      <c r="AOJ30" s="910"/>
      <c r="AOK30" s="910"/>
      <c r="AOL30" s="911"/>
      <c r="AOM30" s="911"/>
      <c r="AON30" s="910"/>
      <c r="AOO30" s="910"/>
      <c r="AOP30" s="910"/>
      <c r="AOQ30" s="910"/>
      <c r="AOR30" s="910"/>
      <c r="AOS30" s="910"/>
      <c r="AOT30" s="910"/>
      <c r="AOU30" s="910"/>
      <c r="AOV30" s="910"/>
      <c r="AOW30" s="911"/>
      <c r="AOX30" s="911"/>
      <c r="AOY30" s="910"/>
      <c r="AOZ30" s="910"/>
      <c r="APA30" s="910"/>
      <c r="APB30" s="910"/>
      <c r="APC30" s="910"/>
      <c r="APD30" s="910"/>
      <c r="APE30" s="910"/>
      <c r="APF30" s="910"/>
      <c r="APG30" s="910"/>
      <c r="APH30" s="911"/>
      <c r="API30" s="911"/>
      <c r="APJ30" s="910"/>
      <c r="APK30" s="910"/>
      <c r="APL30" s="910"/>
      <c r="APM30" s="910"/>
      <c r="APN30" s="910"/>
      <c r="APO30" s="910"/>
      <c r="APP30" s="910"/>
      <c r="APQ30" s="910"/>
      <c r="APR30" s="910"/>
      <c r="APS30" s="911"/>
      <c r="APT30" s="911"/>
      <c r="APU30" s="910"/>
      <c r="APV30" s="910"/>
      <c r="APW30" s="910"/>
      <c r="APX30" s="910"/>
      <c r="APY30" s="910"/>
      <c r="APZ30" s="910"/>
      <c r="AQA30" s="910"/>
      <c r="AQB30" s="910"/>
      <c r="AQC30" s="910"/>
      <c r="AQD30" s="911"/>
      <c r="AQE30" s="911"/>
      <c r="AQF30" s="910"/>
      <c r="AQG30" s="910"/>
      <c r="AQH30" s="910"/>
      <c r="AQI30" s="910"/>
      <c r="AQJ30" s="910"/>
      <c r="AQK30" s="910"/>
      <c r="AQL30" s="910"/>
      <c r="AQM30" s="910"/>
      <c r="AQN30" s="910"/>
      <c r="AQO30" s="911"/>
      <c r="AQP30" s="911"/>
      <c r="AQQ30" s="910"/>
      <c r="AQR30" s="910"/>
      <c r="AQS30" s="910"/>
      <c r="AQT30" s="910"/>
      <c r="AQU30" s="910"/>
      <c r="AQV30" s="910"/>
      <c r="AQW30" s="910"/>
      <c r="AQX30" s="910"/>
      <c r="AQY30" s="910"/>
      <c r="AQZ30" s="911"/>
      <c r="ARA30" s="911"/>
      <c r="ARB30" s="910"/>
      <c r="ARC30" s="910"/>
      <c r="ARD30" s="910"/>
      <c r="ARE30" s="910"/>
      <c r="ARF30" s="910"/>
      <c r="ARG30" s="910"/>
      <c r="ARH30" s="910"/>
      <c r="ARI30" s="910"/>
      <c r="ARJ30" s="910"/>
      <c r="ARK30" s="911"/>
      <c r="ARL30" s="911"/>
      <c r="ARM30" s="910"/>
      <c r="ARN30" s="910"/>
      <c r="ARO30" s="910"/>
      <c r="ARP30" s="910"/>
      <c r="ARQ30" s="910"/>
      <c r="ARR30" s="910"/>
      <c r="ARS30" s="910"/>
      <c r="ART30" s="910"/>
      <c r="ARU30" s="910"/>
      <c r="ARV30" s="911"/>
      <c r="ARW30" s="911"/>
      <c r="ARX30" s="910"/>
      <c r="ARY30" s="910"/>
      <c r="ARZ30" s="910"/>
      <c r="ASA30" s="910"/>
      <c r="ASB30" s="910"/>
      <c r="ASC30" s="910"/>
      <c r="ASD30" s="910"/>
      <c r="ASE30" s="910"/>
      <c r="ASF30" s="910"/>
      <c r="ASG30" s="911"/>
      <c r="ASH30" s="911"/>
      <c r="ASI30" s="910"/>
      <c r="ASJ30" s="910"/>
      <c r="ASK30" s="910"/>
      <c r="ASL30" s="910"/>
      <c r="ASM30" s="910"/>
      <c r="ASN30" s="910"/>
      <c r="ASO30" s="910"/>
      <c r="ASP30" s="910"/>
      <c r="ASQ30" s="910"/>
      <c r="ASR30" s="911"/>
      <c r="ASS30" s="911"/>
      <c r="AST30" s="910"/>
      <c r="ASU30" s="910"/>
      <c r="ASV30" s="910"/>
      <c r="ASW30" s="910"/>
      <c r="ASX30" s="910"/>
      <c r="ASY30" s="910"/>
      <c r="ASZ30" s="910"/>
      <c r="ATA30" s="910"/>
      <c r="ATB30" s="910"/>
      <c r="ATC30" s="911"/>
      <c r="ATD30" s="911"/>
      <c r="ATE30" s="910"/>
      <c r="ATF30" s="910"/>
      <c r="ATG30" s="910"/>
      <c r="ATH30" s="910"/>
      <c r="ATI30" s="910"/>
      <c r="ATJ30" s="910"/>
      <c r="ATK30" s="910"/>
      <c r="ATL30" s="910"/>
      <c r="ATM30" s="910"/>
      <c r="ATN30" s="911"/>
      <c r="ATO30" s="911"/>
      <c r="ATP30" s="910"/>
      <c r="ATQ30" s="910"/>
      <c r="ATR30" s="910"/>
      <c r="ATS30" s="910"/>
      <c r="ATT30" s="910"/>
      <c r="ATU30" s="910"/>
      <c r="ATV30" s="910"/>
      <c r="ATW30" s="910"/>
      <c r="ATX30" s="910"/>
      <c r="ATY30" s="911"/>
      <c r="ATZ30" s="911"/>
      <c r="AUA30" s="910"/>
      <c r="AUB30" s="910"/>
      <c r="AUC30" s="910"/>
      <c r="AUD30" s="910"/>
      <c r="AUE30" s="910"/>
      <c r="AUF30" s="910"/>
      <c r="AUG30" s="910"/>
      <c r="AUH30" s="910"/>
      <c r="AUI30" s="910"/>
      <c r="AUJ30" s="911"/>
      <c r="AUK30" s="911"/>
      <c r="AUL30" s="910"/>
      <c r="AUM30" s="910"/>
      <c r="AUN30" s="910"/>
      <c r="AUO30" s="910"/>
      <c r="AUP30" s="910"/>
      <c r="AUQ30" s="910"/>
      <c r="AUR30" s="910"/>
      <c r="AUS30" s="910"/>
      <c r="AUT30" s="910"/>
      <c r="AUU30" s="911"/>
      <c r="AUV30" s="911"/>
      <c r="AUW30" s="910"/>
      <c r="AUX30" s="910"/>
      <c r="AUY30" s="910"/>
      <c r="AUZ30" s="910"/>
      <c r="AVA30" s="910"/>
      <c r="AVB30" s="910"/>
      <c r="AVC30" s="910"/>
      <c r="AVD30" s="910"/>
      <c r="AVE30" s="910"/>
      <c r="AVF30" s="911"/>
      <c r="AVG30" s="911"/>
      <c r="AVH30" s="910"/>
      <c r="AVI30" s="910"/>
      <c r="AVJ30" s="910"/>
      <c r="AVK30" s="910"/>
      <c r="AVL30" s="910"/>
      <c r="AVM30" s="910"/>
      <c r="AVN30" s="910"/>
      <c r="AVO30" s="910"/>
      <c r="AVP30" s="910"/>
      <c r="AVQ30" s="911"/>
      <c r="AVR30" s="911"/>
      <c r="AVS30" s="910"/>
      <c r="AVT30" s="910"/>
      <c r="AVU30" s="910"/>
      <c r="AVV30" s="910"/>
      <c r="AVW30" s="910"/>
      <c r="AVX30" s="910"/>
      <c r="AVY30" s="910"/>
      <c r="AVZ30" s="910"/>
      <c r="AWA30" s="910"/>
      <c r="AWB30" s="911"/>
      <c r="AWC30" s="911"/>
      <c r="AWD30" s="910"/>
      <c r="AWE30" s="910"/>
      <c r="AWF30" s="910"/>
      <c r="AWG30" s="910"/>
      <c r="AWH30" s="910"/>
      <c r="AWI30" s="910"/>
      <c r="AWJ30" s="910"/>
      <c r="AWK30" s="910"/>
      <c r="AWL30" s="910"/>
      <c r="AWM30" s="911"/>
      <c r="AWN30" s="911"/>
      <c r="AWO30" s="910"/>
      <c r="AWP30" s="910"/>
      <c r="AWQ30" s="910"/>
      <c r="AWR30" s="910"/>
      <c r="AWS30" s="910"/>
      <c r="AWT30" s="910"/>
      <c r="AWU30" s="910"/>
      <c r="AWV30" s="910"/>
      <c r="AWW30" s="910"/>
      <c r="AWX30" s="911"/>
      <c r="AWY30" s="911"/>
      <c r="AWZ30" s="910"/>
      <c r="AXA30" s="910"/>
      <c r="AXB30" s="910"/>
      <c r="AXC30" s="910"/>
      <c r="AXD30" s="910"/>
      <c r="AXE30" s="910"/>
      <c r="AXF30" s="910"/>
      <c r="AXG30" s="910"/>
      <c r="AXH30" s="910"/>
      <c r="AXI30" s="911"/>
      <c r="AXJ30" s="911"/>
      <c r="AXK30" s="910"/>
      <c r="AXL30" s="910"/>
      <c r="AXM30" s="910"/>
      <c r="AXN30" s="910"/>
      <c r="AXO30" s="910"/>
      <c r="AXP30" s="910"/>
      <c r="AXQ30" s="910"/>
      <c r="AXR30" s="910"/>
      <c r="AXS30" s="910"/>
      <c r="AXT30" s="911"/>
      <c r="AXU30" s="911"/>
      <c r="AXV30" s="910"/>
      <c r="AXW30" s="910"/>
      <c r="AXX30" s="910"/>
      <c r="AXY30" s="910"/>
      <c r="AXZ30" s="910"/>
      <c r="AYA30" s="910"/>
      <c r="AYB30" s="910"/>
      <c r="AYC30" s="910"/>
      <c r="AYD30" s="910"/>
      <c r="AYE30" s="911"/>
      <c r="AYF30" s="911"/>
      <c r="AYG30" s="910"/>
      <c r="AYH30" s="910"/>
      <c r="AYI30" s="910"/>
      <c r="AYJ30" s="910"/>
      <c r="AYK30" s="910"/>
      <c r="AYL30" s="910"/>
      <c r="AYM30" s="910"/>
      <c r="AYN30" s="910"/>
      <c r="AYO30" s="910"/>
      <c r="AYP30" s="911"/>
      <c r="AYQ30" s="911"/>
      <c r="AYR30" s="910"/>
      <c r="AYS30" s="910"/>
      <c r="AYT30" s="910"/>
      <c r="AYU30" s="910"/>
      <c r="AYV30" s="910"/>
      <c r="AYW30" s="910"/>
      <c r="AYX30" s="910"/>
      <c r="AYY30" s="910"/>
      <c r="AYZ30" s="910"/>
      <c r="AZA30" s="911"/>
      <c r="AZB30" s="911"/>
      <c r="AZC30" s="910"/>
      <c r="AZD30" s="910"/>
      <c r="AZE30" s="910"/>
      <c r="AZF30" s="910"/>
      <c r="AZG30" s="910"/>
      <c r="AZH30" s="910"/>
      <c r="AZI30" s="910"/>
      <c r="AZJ30" s="910"/>
      <c r="AZK30" s="910"/>
      <c r="AZL30" s="911"/>
      <c r="AZM30" s="911"/>
      <c r="AZN30" s="910"/>
      <c r="AZO30" s="910"/>
      <c r="AZP30" s="910"/>
      <c r="AZQ30" s="910"/>
      <c r="AZR30" s="910"/>
      <c r="AZS30" s="910"/>
      <c r="AZT30" s="910"/>
      <c r="AZU30" s="910"/>
      <c r="AZV30" s="910"/>
      <c r="AZW30" s="911"/>
      <c r="AZX30" s="911"/>
      <c r="AZY30" s="910"/>
      <c r="AZZ30" s="910"/>
      <c r="BAA30" s="910"/>
      <c r="BAB30" s="910"/>
      <c r="BAC30" s="910"/>
      <c r="BAD30" s="910"/>
      <c r="BAE30" s="910"/>
      <c r="BAF30" s="910"/>
      <c r="BAG30" s="910"/>
      <c r="BAH30" s="911"/>
      <c r="BAI30" s="911"/>
      <c r="BAJ30" s="910"/>
      <c r="BAK30" s="910"/>
      <c r="BAL30" s="910"/>
      <c r="BAM30" s="910"/>
      <c r="BAN30" s="910"/>
      <c r="BAO30" s="910"/>
      <c r="BAP30" s="910"/>
      <c r="BAQ30" s="910"/>
      <c r="BAR30" s="910"/>
      <c r="BAS30" s="911"/>
      <c r="BAT30" s="911"/>
      <c r="BAU30" s="910"/>
      <c r="BAV30" s="910"/>
      <c r="BAW30" s="910"/>
      <c r="BAX30" s="910"/>
      <c r="BAY30" s="910"/>
      <c r="BAZ30" s="910"/>
      <c r="BBA30" s="910"/>
      <c r="BBB30" s="910"/>
      <c r="BBC30" s="910"/>
      <c r="BBD30" s="911"/>
      <c r="BBE30" s="911"/>
      <c r="BBF30" s="910"/>
      <c r="BBG30" s="910"/>
      <c r="BBH30" s="910"/>
      <c r="BBI30" s="910"/>
      <c r="BBJ30" s="910"/>
      <c r="BBK30" s="910"/>
      <c r="BBL30" s="910"/>
      <c r="BBM30" s="910"/>
      <c r="BBN30" s="910"/>
      <c r="BBO30" s="911"/>
      <c r="BBP30" s="911"/>
      <c r="BBQ30" s="910"/>
      <c r="BBR30" s="910"/>
      <c r="BBS30" s="910"/>
      <c r="BBT30" s="910"/>
      <c r="BBU30" s="910"/>
      <c r="BBV30" s="910"/>
      <c r="BBW30" s="910"/>
      <c r="BBX30" s="910"/>
      <c r="BBY30" s="910"/>
      <c r="BBZ30" s="911"/>
      <c r="BCA30" s="911"/>
      <c r="BCB30" s="910"/>
      <c r="BCC30" s="910"/>
      <c r="BCD30" s="910"/>
      <c r="BCE30" s="910"/>
      <c r="BCF30" s="910"/>
      <c r="BCG30" s="910"/>
      <c r="BCH30" s="910"/>
      <c r="BCI30" s="910"/>
      <c r="BCJ30" s="910"/>
      <c r="BCK30" s="911"/>
      <c r="BCL30" s="911"/>
      <c r="BCM30" s="910"/>
      <c r="BCN30" s="910"/>
      <c r="BCO30" s="910"/>
      <c r="BCP30" s="910"/>
      <c r="BCQ30" s="910"/>
      <c r="BCR30" s="910"/>
      <c r="BCS30" s="910"/>
      <c r="BCT30" s="910"/>
      <c r="BCU30" s="910"/>
      <c r="BCV30" s="911"/>
      <c r="BCW30" s="911"/>
      <c r="BCX30" s="910"/>
      <c r="BCY30" s="910"/>
      <c r="BCZ30" s="910"/>
      <c r="BDA30" s="910"/>
      <c r="BDB30" s="910"/>
      <c r="BDC30" s="910"/>
      <c r="BDD30" s="910"/>
      <c r="BDE30" s="910"/>
      <c r="BDF30" s="910"/>
      <c r="BDG30" s="911"/>
      <c r="BDH30" s="911"/>
      <c r="BDI30" s="910"/>
      <c r="BDJ30" s="910"/>
      <c r="BDK30" s="910"/>
      <c r="BDL30" s="910"/>
      <c r="BDM30" s="910"/>
      <c r="BDN30" s="910"/>
      <c r="BDO30" s="910"/>
      <c r="BDP30" s="910"/>
      <c r="BDQ30" s="910"/>
      <c r="BDR30" s="911"/>
      <c r="BDS30" s="911"/>
      <c r="BDT30" s="910"/>
      <c r="BDU30" s="910"/>
      <c r="BDV30" s="910"/>
      <c r="BDW30" s="910"/>
      <c r="BDX30" s="910"/>
      <c r="BDY30" s="910"/>
      <c r="BDZ30" s="910"/>
      <c r="BEA30" s="910"/>
      <c r="BEB30" s="910"/>
      <c r="BEC30" s="911"/>
      <c r="BED30" s="911"/>
      <c r="BEE30" s="910"/>
      <c r="BEF30" s="910"/>
      <c r="BEG30" s="910"/>
      <c r="BEH30" s="910"/>
      <c r="BEI30" s="910"/>
      <c r="BEJ30" s="910"/>
      <c r="BEK30" s="910"/>
      <c r="BEL30" s="910"/>
      <c r="BEM30" s="910"/>
      <c r="BEN30" s="911"/>
      <c r="BEO30" s="911"/>
      <c r="BEP30" s="910"/>
      <c r="BEQ30" s="910"/>
      <c r="BER30" s="910"/>
      <c r="BES30" s="910"/>
      <c r="BET30" s="910"/>
      <c r="BEU30" s="910"/>
      <c r="BEV30" s="910"/>
      <c r="BEW30" s="910"/>
      <c r="BEX30" s="910"/>
      <c r="BEY30" s="911"/>
      <c r="BEZ30" s="911"/>
      <c r="BFA30" s="910"/>
      <c r="BFB30" s="910"/>
      <c r="BFC30" s="910"/>
      <c r="BFD30" s="910"/>
      <c r="BFE30" s="910"/>
      <c r="BFF30" s="910"/>
      <c r="BFG30" s="910"/>
      <c r="BFH30" s="910"/>
      <c r="BFI30" s="910"/>
      <c r="BFJ30" s="911"/>
      <c r="BFK30" s="911"/>
      <c r="BFL30" s="910"/>
      <c r="BFM30" s="910"/>
      <c r="BFN30" s="910"/>
      <c r="BFO30" s="910"/>
      <c r="BFP30" s="910"/>
      <c r="BFQ30" s="910"/>
      <c r="BFR30" s="910"/>
      <c r="BFS30" s="910"/>
      <c r="BFT30" s="910"/>
      <c r="BFU30" s="911"/>
      <c r="BFV30" s="911"/>
      <c r="BFW30" s="910"/>
      <c r="BFX30" s="910"/>
      <c r="BFY30" s="910"/>
      <c r="BFZ30" s="910"/>
      <c r="BGA30" s="910"/>
      <c r="BGB30" s="910"/>
      <c r="BGC30" s="910"/>
      <c r="BGD30" s="910"/>
      <c r="BGE30" s="910"/>
      <c r="BGF30" s="911"/>
      <c r="BGG30" s="911"/>
      <c r="BGH30" s="910"/>
      <c r="BGI30" s="910"/>
      <c r="BGJ30" s="910"/>
      <c r="BGK30" s="910"/>
      <c r="BGL30" s="910"/>
      <c r="BGM30" s="910"/>
      <c r="BGN30" s="910"/>
      <c r="BGO30" s="910"/>
      <c r="BGP30" s="910"/>
      <c r="BGQ30" s="911"/>
      <c r="BGR30" s="911"/>
      <c r="BGS30" s="910"/>
      <c r="BGT30" s="910"/>
      <c r="BGU30" s="910"/>
      <c r="BGV30" s="910"/>
      <c r="BGW30" s="910"/>
      <c r="BGX30" s="910"/>
      <c r="BGY30" s="910"/>
      <c r="BGZ30" s="910"/>
      <c r="BHA30" s="910"/>
      <c r="BHB30" s="911"/>
      <c r="BHC30" s="911"/>
      <c r="BHD30" s="910"/>
      <c r="BHE30" s="910"/>
      <c r="BHF30" s="910"/>
      <c r="BHG30" s="910"/>
      <c r="BHH30" s="910"/>
      <c r="BHI30" s="910"/>
      <c r="BHJ30" s="910"/>
      <c r="BHK30" s="910"/>
      <c r="BHL30" s="910"/>
      <c r="BHM30" s="911"/>
      <c r="BHN30" s="911"/>
      <c r="BHO30" s="910"/>
      <c r="BHP30" s="910"/>
      <c r="BHQ30" s="910"/>
      <c r="BHR30" s="910"/>
      <c r="BHS30" s="910"/>
      <c r="BHT30" s="910"/>
      <c r="BHU30" s="910"/>
      <c r="BHV30" s="910"/>
      <c r="BHW30" s="910"/>
      <c r="BHX30" s="911"/>
      <c r="BHY30" s="911"/>
      <c r="BHZ30" s="910"/>
      <c r="BIA30" s="910"/>
      <c r="BIB30" s="910"/>
      <c r="BIC30" s="910"/>
      <c r="BID30" s="910"/>
      <c r="BIE30" s="910"/>
      <c r="BIF30" s="910"/>
      <c r="BIG30" s="910"/>
      <c r="BIH30" s="910"/>
      <c r="BII30" s="911"/>
      <c r="BIJ30" s="911"/>
      <c r="BIK30" s="910"/>
      <c r="BIL30" s="910"/>
      <c r="BIM30" s="910"/>
      <c r="BIN30" s="910"/>
      <c r="BIO30" s="910"/>
      <c r="BIP30" s="910"/>
      <c r="BIQ30" s="910"/>
      <c r="BIR30" s="910"/>
      <c r="BIS30" s="910"/>
      <c r="BIT30" s="911"/>
      <c r="BIU30" s="911"/>
      <c r="BIV30" s="910"/>
      <c r="BIW30" s="910"/>
      <c r="BIX30" s="910"/>
      <c r="BIY30" s="910"/>
      <c r="BIZ30" s="910"/>
      <c r="BJA30" s="910"/>
      <c r="BJB30" s="910"/>
      <c r="BJC30" s="910"/>
      <c r="BJD30" s="910"/>
      <c r="BJE30" s="911"/>
      <c r="BJF30" s="911"/>
      <c r="BJG30" s="910"/>
      <c r="BJH30" s="910"/>
      <c r="BJI30" s="910"/>
      <c r="BJJ30" s="910"/>
      <c r="BJK30" s="910"/>
      <c r="BJL30" s="910"/>
      <c r="BJM30" s="910"/>
      <c r="BJN30" s="910"/>
      <c r="BJO30" s="910"/>
      <c r="BJP30" s="911"/>
      <c r="BJQ30" s="911"/>
      <c r="BJR30" s="910"/>
      <c r="BJS30" s="910"/>
      <c r="BJT30" s="910"/>
      <c r="BJU30" s="910"/>
      <c r="BJV30" s="910"/>
      <c r="BJW30" s="910"/>
      <c r="BJX30" s="910"/>
      <c r="BJY30" s="910"/>
      <c r="BJZ30" s="910"/>
      <c r="BKA30" s="911"/>
      <c r="BKB30" s="911"/>
      <c r="BKC30" s="910"/>
      <c r="BKD30" s="910"/>
      <c r="BKE30" s="910"/>
      <c r="BKF30" s="910"/>
      <c r="BKG30" s="910"/>
      <c r="BKH30" s="910"/>
      <c r="BKI30" s="910"/>
      <c r="BKJ30" s="910"/>
      <c r="BKK30" s="910"/>
      <c r="BKL30" s="911"/>
      <c r="BKM30" s="911"/>
      <c r="BKN30" s="910"/>
      <c r="BKO30" s="910"/>
      <c r="BKP30" s="910"/>
      <c r="BKQ30" s="910"/>
      <c r="BKR30" s="910"/>
      <c r="BKS30" s="910"/>
      <c r="BKT30" s="910"/>
      <c r="BKU30" s="910"/>
      <c r="BKV30" s="910"/>
      <c r="BKW30" s="911"/>
      <c r="BKX30" s="911"/>
      <c r="BKY30" s="910"/>
      <c r="BKZ30" s="910"/>
      <c r="BLA30" s="910"/>
      <c r="BLB30" s="910"/>
      <c r="BLC30" s="910"/>
      <c r="BLD30" s="910"/>
      <c r="BLE30" s="910"/>
      <c r="BLF30" s="910"/>
      <c r="BLG30" s="910"/>
      <c r="BLH30" s="911"/>
      <c r="BLI30" s="911"/>
      <c r="BLJ30" s="910"/>
      <c r="BLK30" s="910"/>
      <c r="BLL30" s="910"/>
      <c r="BLM30" s="910"/>
      <c r="BLN30" s="910"/>
      <c r="BLO30" s="910"/>
      <c r="BLP30" s="910"/>
      <c r="BLQ30" s="910"/>
      <c r="BLR30" s="910"/>
      <c r="BLS30" s="911"/>
      <c r="BLT30" s="911"/>
      <c r="BLU30" s="910"/>
      <c r="BLV30" s="910"/>
      <c r="BLW30" s="910"/>
      <c r="BLX30" s="910"/>
      <c r="BLY30" s="910"/>
      <c r="BLZ30" s="910"/>
      <c r="BMA30" s="910"/>
      <c r="BMB30" s="910"/>
      <c r="BMC30" s="910"/>
      <c r="BMD30" s="911"/>
      <c r="BME30" s="911"/>
      <c r="BMF30" s="910"/>
      <c r="BMG30" s="910"/>
      <c r="BMH30" s="910"/>
      <c r="BMI30" s="910"/>
      <c r="BMJ30" s="910"/>
      <c r="BMK30" s="910"/>
      <c r="BML30" s="910"/>
      <c r="BMM30" s="910"/>
      <c r="BMN30" s="910"/>
      <c r="BMO30" s="911"/>
      <c r="BMP30" s="911"/>
      <c r="BMQ30" s="910"/>
      <c r="BMR30" s="910"/>
      <c r="BMS30" s="910"/>
      <c r="BMT30" s="910"/>
      <c r="BMU30" s="910"/>
      <c r="BMV30" s="910"/>
      <c r="BMW30" s="910"/>
      <c r="BMX30" s="910"/>
      <c r="BMY30" s="910"/>
      <c r="BMZ30" s="911"/>
      <c r="BNA30" s="911"/>
      <c r="BNB30" s="910"/>
      <c r="BNC30" s="910"/>
      <c r="BND30" s="910"/>
      <c r="BNE30" s="910"/>
      <c r="BNF30" s="910"/>
      <c r="BNG30" s="910"/>
      <c r="BNH30" s="910"/>
      <c r="BNI30" s="910"/>
      <c r="BNJ30" s="910"/>
      <c r="BNK30" s="911"/>
      <c r="BNL30" s="911"/>
      <c r="BNM30" s="910"/>
      <c r="BNN30" s="910"/>
      <c r="BNO30" s="910"/>
      <c r="BNP30" s="910"/>
      <c r="BNQ30" s="910"/>
      <c r="BNR30" s="910"/>
      <c r="BNS30" s="910"/>
      <c r="BNT30" s="910"/>
      <c r="BNU30" s="910"/>
      <c r="BNV30" s="911"/>
      <c r="BNW30" s="911"/>
      <c r="BNX30" s="910"/>
      <c r="BNY30" s="910"/>
      <c r="BNZ30" s="910"/>
      <c r="BOA30" s="910"/>
      <c r="BOB30" s="910"/>
      <c r="BOC30" s="910"/>
      <c r="BOD30" s="910"/>
      <c r="BOE30" s="910"/>
      <c r="BOF30" s="910"/>
      <c r="BOG30" s="911"/>
      <c r="BOH30" s="911"/>
      <c r="BOI30" s="910"/>
      <c r="BOJ30" s="910"/>
      <c r="BOK30" s="910"/>
      <c r="BOL30" s="910"/>
      <c r="BOM30" s="910"/>
      <c r="BON30" s="910"/>
      <c r="BOO30" s="910"/>
      <c r="BOP30" s="910"/>
      <c r="BOQ30" s="910"/>
      <c r="BOR30" s="911"/>
      <c r="BOS30" s="911"/>
      <c r="BOT30" s="910"/>
      <c r="BOU30" s="910"/>
      <c r="BOV30" s="910"/>
      <c r="BOW30" s="910"/>
      <c r="BOX30" s="910"/>
      <c r="BOY30" s="910"/>
      <c r="BOZ30" s="910"/>
      <c r="BPA30" s="910"/>
      <c r="BPB30" s="910"/>
      <c r="BPC30" s="911"/>
      <c r="BPD30" s="911"/>
      <c r="BPE30" s="910"/>
      <c r="BPF30" s="910"/>
      <c r="BPG30" s="910"/>
      <c r="BPH30" s="910"/>
      <c r="BPI30" s="910"/>
      <c r="BPJ30" s="910"/>
      <c r="BPK30" s="910"/>
      <c r="BPL30" s="910"/>
      <c r="BPM30" s="910"/>
      <c r="BPN30" s="911"/>
      <c r="BPO30" s="911"/>
      <c r="BPP30" s="910"/>
      <c r="BPQ30" s="910"/>
      <c r="BPR30" s="910"/>
      <c r="BPS30" s="910"/>
      <c r="BPT30" s="910"/>
      <c r="BPU30" s="910"/>
      <c r="BPV30" s="910"/>
      <c r="BPW30" s="910"/>
      <c r="BPX30" s="910"/>
      <c r="BPY30" s="911"/>
      <c r="BPZ30" s="911"/>
      <c r="BQA30" s="910"/>
      <c r="BQB30" s="910"/>
      <c r="BQC30" s="910"/>
      <c r="BQD30" s="910"/>
      <c r="BQE30" s="910"/>
      <c r="BQF30" s="910"/>
      <c r="BQG30" s="910"/>
      <c r="BQH30" s="910"/>
      <c r="BQI30" s="910"/>
      <c r="BQJ30" s="911"/>
      <c r="BQK30" s="911"/>
      <c r="BQL30" s="910"/>
      <c r="BQM30" s="910"/>
      <c r="BQN30" s="910"/>
      <c r="BQO30" s="910"/>
      <c r="BQP30" s="910"/>
      <c r="BQQ30" s="910"/>
      <c r="BQR30" s="910"/>
      <c r="BQS30" s="910"/>
      <c r="BQT30" s="910"/>
      <c r="BQU30" s="911"/>
      <c r="BQV30" s="911"/>
      <c r="BQW30" s="910"/>
      <c r="BQX30" s="910"/>
      <c r="BQY30" s="910"/>
      <c r="BQZ30" s="910"/>
      <c r="BRA30" s="910"/>
      <c r="BRB30" s="910"/>
      <c r="BRC30" s="910"/>
      <c r="BRD30" s="910"/>
      <c r="BRE30" s="910"/>
      <c r="BRF30" s="911"/>
      <c r="BRG30" s="911"/>
      <c r="BRH30" s="910"/>
      <c r="BRI30" s="910"/>
      <c r="BRJ30" s="910"/>
      <c r="BRK30" s="910"/>
      <c r="BRL30" s="910"/>
      <c r="BRM30" s="910"/>
      <c r="BRN30" s="910"/>
      <c r="BRO30" s="910"/>
      <c r="BRP30" s="910"/>
      <c r="BRQ30" s="911"/>
      <c r="BRR30" s="911"/>
      <c r="BRS30" s="910"/>
      <c r="BRT30" s="910"/>
      <c r="BRU30" s="910"/>
      <c r="BRV30" s="910"/>
      <c r="BRW30" s="910"/>
      <c r="BRX30" s="910"/>
      <c r="BRY30" s="910"/>
      <c r="BRZ30" s="910"/>
      <c r="BSA30" s="910"/>
      <c r="BSB30" s="911"/>
      <c r="BSC30" s="911"/>
      <c r="BSD30" s="910"/>
      <c r="BSE30" s="910"/>
      <c r="BSF30" s="910"/>
      <c r="BSG30" s="910"/>
      <c r="BSH30" s="910"/>
      <c r="BSI30" s="910"/>
      <c r="BSJ30" s="910"/>
      <c r="BSK30" s="910"/>
      <c r="BSL30" s="910"/>
      <c r="BSM30" s="911"/>
      <c r="BSN30" s="911"/>
      <c r="BSO30" s="910"/>
      <c r="BSP30" s="910"/>
      <c r="BSQ30" s="910"/>
      <c r="BSR30" s="910"/>
      <c r="BSS30" s="910"/>
      <c r="BST30" s="910"/>
      <c r="BSU30" s="910"/>
      <c r="BSV30" s="910"/>
      <c r="BSW30" s="910"/>
      <c r="BSX30" s="911"/>
      <c r="BSY30" s="911"/>
      <c r="BSZ30" s="910"/>
      <c r="BTA30" s="910"/>
      <c r="BTB30" s="910"/>
      <c r="BTC30" s="910"/>
      <c r="BTD30" s="910"/>
      <c r="BTE30" s="910"/>
      <c r="BTF30" s="910"/>
      <c r="BTG30" s="910"/>
      <c r="BTH30" s="910"/>
      <c r="BTI30" s="911"/>
      <c r="BTJ30" s="911"/>
      <c r="BTK30" s="910"/>
      <c r="BTL30" s="910"/>
      <c r="BTM30" s="910"/>
      <c r="BTN30" s="910"/>
      <c r="BTO30" s="910"/>
      <c r="BTP30" s="910"/>
      <c r="BTQ30" s="910"/>
      <c r="BTR30" s="910"/>
      <c r="BTS30" s="910"/>
      <c r="BTT30" s="911"/>
      <c r="BTU30" s="911"/>
      <c r="BTV30" s="910"/>
      <c r="BTW30" s="910"/>
      <c r="BTX30" s="910"/>
      <c r="BTY30" s="910"/>
      <c r="BTZ30" s="910"/>
      <c r="BUA30" s="910"/>
      <c r="BUB30" s="910"/>
      <c r="BUC30" s="910"/>
      <c r="BUD30" s="910"/>
      <c r="BUE30" s="911"/>
      <c r="BUF30" s="911"/>
      <c r="BUG30" s="910"/>
      <c r="BUH30" s="910"/>
      <c r="BUI30" s="910"/>
      <c r="BUJ30" s="910"/>
      <c r="BUK30" s="910"/>
      <c r="BUL30" s="910"/>
      <c r="BUM30" s="910"/>
      <c r="BUN30" s="910"/>
      <c r="BUO30" s="910"/>
      <c r="BUP30" s="911"/>
      <c r="BUQ30" s="911"/>
      <c r="BUR30" s="910"/>
      <c r="BUS30" s="910"/>
      <c r="BUT30" s="910"/>
      <c r="BUU30" s="910"/>
      <c r="BUV30" s="910"/>
      <c r="BUW30" s="910"/>
      <c r="BUX30" s="910"/>
      <c r="BUY30" s="910"/>
      <c r="BUZ30" s="910"/>
      <c r="BVA30" s="911"/>
      <c r="BVB30" s="911"/>
      <c r="BVC30" s="910"/>
      <c r="BVD30" s="910"/>
      <c r="BVE30" s="910"/>
      <c r="BVF30" s="910"/>
      <c r="BVG30" s="910"/>
      <c r="BVH30" s="910"/>
      <c r="BVI30" s="910"/>
      <c r="BVJ30" s="910"/>
      <c r="BVK30" s="910"/>
      <c r="BVL30" s="911"/>
      <c r="BVM30" s="911"/>
      <c r="BVN30" s="910"/>
      <c r="BVO30" s="910"/>
      <c r="BVP30" s="910"/>
      <c r="BVQ30" s="910"/>
      <c r="BVR30" s="910"/>
      <c r="BVS30" s="910"/>
      <c r="BVT30" s="910"/>
      <c r="BVU30" s="910"/>
      <c r="BVV30" s="910"/>
      <c r="BVW30" s="911"/>
      <c r="BVX30" s="911"/>
      <c r="BVY30" s="910"/>
      <c r="BVZ30" s="910"/>
      <c r="BWA30" s="910"/>
      <c r="BWB30" s="910"/>
      <c r="BWC30" s="910"/>
      <c r="BWD30" s="910"/>
      <c r="BWE30" s="910"/>
      <c r="BWF30" s="910"/>
      <c r="BWG30" s="910"/>
      <c r="BWH30" s="911"/>
      <c r="BWI30" s="911"/>
      <c r="BWJ30" s="910"/>
      <c r="BWK30" s="910"/>
      <c r="BWL30" s="910"/>
      <c r="BWM30" s="910"/>
      <c r="BWN30" s="910"/>
      <c r="BWO30" s="910"/>
      <c r="BWP30" s="910"/>
      <c r="BWQ30" s="910"/>
      <c r="BWR30" s="910"/>
      <c r="BWS30" s="911"/>
      <c r="BWT30" s="911"/>
      <c r="BWU30" s="910"/>
      <c r="BWV30" s="910"/>
      <c r="BWW30" s="910"/>
      <c r="BWX30" s="910"/>
      <c r="BWY30" s="910"/>
      <c r="BWZ30" s="910"/>
      <c r="BXA30" s="910"/>
      <c r="BXB30" s="910"/>
      <c r="BXC30" s="910"/>
      <c r="BXD30" s="911"/>
      <c r="BXE30" s="911"/>
      <c r="BXF30" s="910"/>
      <c r="BXG30" s="910"/>
      <c r="BXH30" s="910"/>
      <c r="BXI30" s="910"/>
      <c r="BXJ30" s="910"/>
      <c r="BXK30" s="910"/>
      <c r="BXL30" s="910"/>
      <c r="BXM30" s="910"/>
      <c r="BXN30" s="910"/>
      <c r="BXO30" s="911"/>
      <c r="BXP30" s="911"/>
      <c r="BXQ30" s="910"/>
      <c r="BXR30" s="910"/>
      <c r="BXS30" s="910"/>
      <c r="BXT30" s="910"/>
      <c r="BXU30" s="910"/>
      <c r="BXV30" s="910"/>
      <c r="BXW30" s="910"/>
      <c r="BXX30" s="910"/>
      <c r="BXY30" s="910"/>
      <c r="BXZ30" s="911"/>
      <c r="BYA30" s="911"/>
      <c r="BYB30" s="910"/>
      <c r="BYC30" s="910"/>
      <c r="BYD30" s="910"/>
      <c r="BYE30" s="910"/>
      <c r="BYF30" s="910"/>
      <c r="BYG30" s="910"/>
      <c r="BYH30" s="910"/>
      <c r="BYI30" s="910"/>
      <c r="BYJ30" s="910"/>
      <c r="BYK30" s="911"/>
      <c r="BYL30" s="911"/>
      <c r="BYM30" s="910"/>
      <c r="BYN30" s="910"/>
      <c r="BYO30" s="910"/>
      <c r="BYP30" s="910"/>
      <c r="BYQ30" s="910"/>
      <c r="BYR30" s="910"/>
      <c r="BYS30" s="910"/>
      <c r="BYT30" s="910"/>
      <c r="BYU30" s="910"/>
      <c r="BYV30" s="911"/>
      <c r="BYW30" s="911"/>
      <c r="BYX30" s="910"/>
      <c r="BYY30" s="910"/>
      <c r="BYZ30" s="910"/>
      <c r="BZA30" s="910"/>
      <c r="BZB30" s="910"/>
      <c r="BZC30" s="910"/>
      <c r="BZD30" s="910"/>
      <c r="BZE30" s="910"/>
      <c r="BZF30" s="910"/>
      <c r="BZG30" s="911"/>
      <c r="BZH30" s="911"/>
      <c r="BZI30" s="910"/>
      <c r="BZJ30" s="910"/>
      <c r="BZK30" s="910"/>
      <c r="BZL30" s="910"/>
      <c r="BZM30" s="910"/>
      <c r="BZN30" s="910"/>
      <c r="BZO30" s="910"/>
      <c r="BZP30" s="910"/>
      <c r="BZQ30" s="910"/>
      <c r="BZR30" s="911"/>
      <c r="BZS30" s="911"/>
      <c r="BZT30" s="910"/>
      <c r="BZU30" s="910"/>
      <c r="BZV30" s="910"/>
      <c r="BZW30" s="910"/>
      <c r="BZX30" s="910"/>
      <c r="BZY30" s="910"/>
      <c r="BZZ30" s="910"/>
      <c r="CAA30" s="910"/>
      <c r="CAB30" s="910"/>
      <c r="CAC30" s="911"/>
      <c r="CAD30" s="911"/>
      <c r="CAE30" s="910"/>
      <c r="CAF30" s="910"/>
      <c r="CAG30" s="910"/>
      <c r="CAH30" s="910"/>
      <c r="CAI30" s="910"/>
      <c r="CAJ30" s="910"/>
      <c r="CAK30" s="910"/>
      <c r="CAL30" s="910"/>
      <c r="CAM30" s="910"/>
      <c r="CAN30" s="911"/>
      <c r="CAO30" s="911"/>
      <c r="CAP30" s="910"/>
      <c r="CAQ30" s="910"/>
      <c r="CAR30" s="910"/>
      <c r="CAS30" s="910"/>
      <c r="CAT30" s="910"/>
      <c r="CAU30" s="910"/>
      <c r="CAV30" s="910"/>
      <c r="CAW30" s="910"/>
      <c r="CAX30" s="910"/>
      <c r="CAY30" s="911"/>
      <c r="CAZ30" s="911"/>
      <c r="CBA30" s="910"/>
      <c r="CBB30" s="910"/>
      <c r="CBC30" s="910"/>
      <c r="CBD30" s="910"/>
      <c r="CBE30" s="910"/>
      <c r="CBF30" s="910"/>
      <c r="CBG30" s="910"/>
      <c r="CBH30" s="910"/>
      <c r="CBI30" s="910"/>
      <c r="CBJ30" s="911"/>
      <c r="CBK30" s="911"/>
      <c r="CBL30" s="910"/>
      <c r="CBM30" s="910"/>
      <c r="CBN30" s="910"/>
      <c r="CBO30" s="910"/>
      <c r="CBP30" s="910"/>
      <c r="CBQ30" s="910"/>
      <c r="CBR30" s="910"/>
      <c r="CBS30" s="910"/>
      <c r="CBT30" s="910"/>
      <c r="CBU30" s="911"/>
      <c r="CBV30" s="911"/>
      <c r="CBW30" s="910"/>
      <c r="CBX30" s="910"/>
      <c r="CBY30" s="910"/>
      <c r="CBZ30" s="910"/>
      <c r="CCA30" s="910"/>
      <c r="CCB30" s="910"/>
      <c r="CCC30" s="910"/>
      <c r="CCD30" s="910"/>
      <c r="CCE30" s="910"/>
      <c r="CCF30" s="911"/>
      <c r="CCG30" s="911"/>
      <c r="CCH30" s="910"/>
      <c r="CCI30" s="910"/>
      <c r="CCJ30" s="910"/>
      <c r="CCK30" s="910"/>
      <c r="CCL30" s="910"/>
      <c r="CCM30" s="910"/>
      <c r="CCN30" s="910"/>
      <c r="CCO30" s="910"/>
      <c r="CCP30" s="910"/>
      <c r="CCQ30" s="911"/>
      <c r="CCR30" s="911"/>
      <c r="CCS30" s="910"/>
      <c r="CCT30" s="910"/>
      <c r="CCU30" s="910"/>
      <c r="CCV30" s="910"/>
      <c r="CCW30" s="910"/>
      <c r="CCX30" s="910"/>
      <c r="CCY30" s="910"/>
      <c r="CCZ30" s="910"/>
      <c r="CDA30" s="910"/>
      <c r="CDB30" s="911"/>
      <c r="CDC30" s="911"/>
      <c r="CDD30" s="910"/>
      <c r="CDE30" s="910"/>
      <c r="CDF30" s="910"/>
      <c r="CDG30" s="910"/>
      <c r="CDH30" s="910"/>
      <c r="CDI30" s="910"/>
      <c r="CDJ30" s="910"/>
      <c r="CDK30" s="910"/>
      <c r="CDL30" s="910"/>
      <c r="CDM30" s="911"/>
      <c r="CDN30" s="911"/>
      <c r="CDO30" s="910"/>
      <c r="CDP30" s="910"/>
      <c r="CDQ30" s="910"/>
      <c r="CDR30" s="910"/>
      <c r="CDS30" s="910"/>
      <c r="CDT30" s="910"/>
      <c r="CDU30" s="910"/>
      <c r="CDV30" s="910"/>
      <c r="CDW30" s="910"/>
      <c r="CDX30" s="911"/>
      <c r="CDY30" s="911"/>
      <c r="CDZ30" s="910"/>
      <c r="CEA30" s="910"/>
      <c r="CEB30" s="910"/>
      <c r="CEC30" s="910"/>
      <c r="CED30" s="910"/>
      <c r="CEE30" s="910"/>
      <c r="CEF30" s="910"/>
      <c r="CEG30" s="910"/>
      <c r="CEH30" s="910"/>
      <c r="CEI30" s="911"/>
      <c r="CEJ30" s="911"/>
      <c r="CEK30" s="910"/>
      <c r="CEL30" s="910"/>
      <c r="CEM30" s="910"/>
      <c r="CEN30" s="910"/>
      <c r="CEO30" s="910"/>
      <c r="CEP30" s="910"/>
      <c r="CEQ30" s="910"/>
      <c r="CER30" s="910"/>
      <c r="CES30" s="910"/>
      <c r="CET30" s="911"/>
      <c r="CEU30" s="911"/>
      <c r="CEV30" s="910"/>
      <c r="CEW30" s="910"/>
      <c r="CEX30" s="910"/>
      <c r="CEY30" s="910"/>
      <c r="CEZ30" s="910"/>
      <c r="CFA30" s="910"/>
      <c r="CFB30" s="910"/>
      <c r="CFC30" s="910"/>
      <c r="CFD30" s="910"/>
      <c r="CFE30" s="911"/>
      <c r="CFF30" s="911"/>
      <c r="CFG30" s="910"/>
      <c r="CFH30" s="910"/>
      <c r="CFI30" s="910"/>
      <c r="CFJ30" s="910"/>
      <c r="CFK30" s="910"/>
      <c r="CFL30" s="910"/>
      <c r="CFM30" s="910"/>
      <c r="CFN30" s="910"/>
      <c r="CFO30" s="910"/>
      <c r="CFP30" s="911"/>
      <c r="CFQ30" s="911"/>
      <c r="CFR30" s="910"/>
      <c r="CFS30" s="910"/>
      <c r="CFT30" s="910"/>
      <c r="CFU30" s="910"/>
      <c r="CFV30" s="910"/>
      <c r="CFW30" s="910"/>
      <c r="CFX30" s="910"/>
      <c r="CFY30" s="910"/>
      <c r="CFZ30" s="910"/>
      <c r="CGA30" s="911"/>
      <c r="CGB30" s="911"/>
      <c r="CGC30" s="910"/>
      <c r="CGD30" s="910"/>
      <c r="CGE30" s="910"/>
      <c r="CGF30" s="910"/>
      <c r="CGG30" s="910"/>
      <c r="CGH30" s="910"/>
      <c r="CGI30" s="910"/>
      <c r="CGJ30" s="910"/>
      <c r="CGK30" s="910"/>
      <c r="CGL30" s="911"/>
      <c r="CGM30" s="911"/>
      <c r="CGN30" s="910"/>
      <c r="CGO30" s="910"/>
      <c r="CGP30" s="910"/>
      <c r="CGQ30" s="910"/>
      <c r="CGR30" s="910"/>
      <c r="CGS30" s="910"/>
      <c r="CGT30" s="910"/>
      <c r="CGU30" s="910"/>
      <c r="CGV30" s="910"/>
      <c r="CGW30" s="911"/>
      <c r="CGX30" s="911"/>
      <c r="CGY30" s="910"/>
      <c r="CGZ30" s="910"/>
      <c r="CHA30" s="910"/>
      <c r="CHB30" s="910"/>
      <c r="CHC30" s="910"/>
      <c r="CHD30" s="910"/>
      <c r="CHE30" s="910"/>
      <c r="CHF30" s="910"/>
      <c r="CHG30" s="910"/>
      <c r="CHH30" s="911"/>
      <c r="CHI30" s="911"/>
      <c r="CHJ30" s="910"/>
      <c r="CHK30" s="910"/>
      <c r="CHL30" s="910"/>
      <c r="CHM30" s="910"/>
      <c r="CHN30" s="910"/>
      <c r="CHO30" s="910"/>
      <c r="CHP30" s="910"/>
      <c r="CHQ30" s="910"/>
      <c r="CHR30" s="910"/>
      <c r="CHS30" s="911"/>
      <c r="CHT30" s="911"/>
      <c r="CHU30" s="910"/>
      <c r="CHV30" s="910"/>
      <c r="CHW30" s="910"/>
      <c r="CHX30" s="910"/>
      <c r="CHY30" s="910"/>
      <c r="CHZ30" s="910"/>
      <c r="CIA30" s="910"/>
      <c r="CIB30" s="910"/>
      <c r="CIC30" s="910"/>
      <c r="CID30" s="911"/>
      <c r="CIE30" s="911"/>
      <c r="CIF30" s="910"/>
      <c r="CIG30" s="910"/>
      <c r="CIH30" s="910"/>
      <c r="CII30" s="910"/>
      <c r="CIJ30" s="910"/>
      <c r="CIK30" s="910"/>
      <c r="CIL30" s="910"/>
      <c r="CIM30" s="910"/>
      <c r="CIN30" s="910"/>
      <c r="CIO30" s="911"/>
      <c r="CIP30" s="911"/>
      <c r="CIQ30" s="910"/>
      <c r="CIR30" s="910"/>
      <c r="CIS30" s="910"/>
      <c r="CIT30" s="910"/>
      <c r="CIU30" s="910"/>
      <c r="CIV30" s="910"/>
      <c r="CIW30" s="910"/>
      <c r="CIX30" s="910"/>
      <c r="CIY30" s="910"/>
      <c r="CIZ30" s="911"/>
      <c r="CJA30" s="911"/>
      <c r="CJB30" s="910"/>
      <c r="CJC30" s="910"/>
      <c r="CJD30" s="910"/>
      <c r="CJE30" s="910"/>
      <c r="CJF30" s="910"/>
      <c r="CJG30" s="910"/>
      <c r="CJH30" s="910"/>
      <c r="CJI30" s="910"/>
      <c r="CJJ30" s="910"/>
      <c r="CJK30" s="911"/>
      <c r="CJL30" s="911"/>
      <c r="CJM30" s="910"/>
      <c r="CJN30" s="910"/>
      <c r="CJO30" s="910"/>
      <c r="CJP30" s="910"/>
      <c r="CJQ30" s="910"/>
      <c r="CJR30" s="910"/>
      <c r="CJS30" s="910"/>
      <c r="CJT30" s="910"/>
      <c r="CJU30" s="910"/>
      <c r="CJV30" s="911"/>
      <c r="CJW30" s="911"/>
      <c r="CJX30" s="910"/>
      <c r="CJY30" s="910"/>
      <c r="CJZ30" s="910"/>
      <c r="CKA30" s="910"/>
      <c r="CKB30" s="910"/>
      <c r="CKC30" s="910"/>
      <c r="CKD30" s="910"/>
      <c r="CKE30" s="910"/>
      <c r="CKF30" s="910"/>
      <c r="CKG30" s="911"/>
      <c r="CKH30" s="911"/>
      <c r="CKI30" s="910"/>
      <c r="CKJ30" s="910"/>
      <c r="CKK30" s="910"/>
      <c r="CKL30" s="910"/>
      <c r="CKM30" s="910"/>
      <c r="CKN30" s="910"/>
      <c r="CKO30" s="910"/>
      <c r="CKP30" s="910"/>
      <c r="CKQ30" s="910"/>
      <c r="CKR30" s="911"/>
      <c r="CKS30" s="911"/>
      <c r="CKT30" s="910"/>
      <c r="CKU30" s="910"/>
      <c r="CKV30" s="910"/>
      <c r="CKW30" s="910"/>
      <c r="CKX30" s="910"/>
      <c r="CKY30" s="910"/>
      <c r="CKZ30" s="910"/>
      <c r="CLA30" s="910"/>
      <c r="CLB30" s="910"/>
      <c r="CLC30" s="911"/>
      <c r="CLD30" s="911"/>
      <c r="CLE30" s="910"/>
      <c r="CLF30" s="910"/>
      <c r="CLG30" s="910"/>
      <c r="CLH30" s="910"/>
      <c r="CLI30" s="910"/>
      <c r="CLJ30" s="910"/>
      <c r="CLK30" s="910"/>
      <c r="CLL30" s="910"/>
      <c r="CLM30" s="910"/>
      <c r="CLN30" s="911"/>
      <c r="CLO30" s="911"/>
      <c r="CLP30" s="910"/>
      <c r="CLQ30" s="910"/>
      <c r="CLR30" s="910"/>
      <c r="CLS30" s="910"/>
      <c r="CLT30" s="910"/>
      <c r="CLU30" s="910"/>
      <c r="CLV30" s="910"/>
      <c r="CLW30" s="910"/>
      <c r="CLX30" s="910"/>
      <c r="CLY30" s="911"/>
      <c r="CLZ30" s="911"/>
      <c r="CMA30" s="910"/>
      <c r="CMB30" s="910"/>
      <c r="CMC30" s="910"/>
      <c r="CMD30" s="910"/>
      <c r="CME30" s="910"/>
      <c r="CMF30" s="910"/>
      <c r="CMG30" s="910"/>
      <c r="CMH30" s="910"/>
      <c r="CMI30" s="910"/>
      <c r="CMJ30" s="911"/>
      <c r="CMK30" s="911"/>
      <c r="CML30" s="910"/>
      <c r="CMM30" s="910"/>
      <c r="CMN30" s="910"/>
      <c r="CMO30" s="910"/>
      <c r="CMP30" s="910"/>
      <c r="CMQ30" s="910"/>
      <c r="CMR30" s="910"/>
      <c r="CMS30" s="910"/>
      <c r="CMT30" s="910"/>
      <c r="CMU30" s="911"/>
      <c r="CMV30" s="911"/>
      <c r="CMW30" s="910"/>
      <c r="CMX30" s="910"/>
      <c r="CMY30" s="910"/>
      <c r="CMZ30" s="910"/>
      <c r="CNA30" s="910"/>
      <c r="CNB30" s="910"/>
      <c r="CNC30" s="910"/>
      <c r="CND30" s="910"/>
      <c r="CNE30" s="910"/>
      <c r="CNF30" s="911"/>
      <c r="CNG30" s="911"/>
      <c r="CNH30" s="910"/>
      <c r="CNI30" s="910"/>
      <c r="CNJ30" s="910"/>
      <c r="CNK30" s="910"/>
      <c r="CNL30" s="910"/>
      <c r="CNM30" s="910"/>
      <c r="CNN30" s="910"/>
      <c r="CNO30" s="910"/>
      <c r="CNP30" s="910"/>
      <c r="CNQ30" s="911"/>
      <c r="CNR30" s="911"/>
      <c r="CNS30" s="910"/>
      <c r="CNT30" s="910"/>
      <c r="CNU30" s="910"/>
      <c r="CNV30" s="910"/>
      <c r="CNW30" s="910"/>
      <c r="CNX30" s="910"/>
      <c r="CNY30" s="910"/>
      <c r="CNZ30" s="910"/>
      <c r="COA30" s="910"/>
      <c r="COB30" s="911"/>
      <c r="COC30" s="911"/>
      <c r="COD30" s="910"/>
      <c r="COE30" s="910"/>
      <c r="COF30" s="910"/>
      <c r="COG30" s="910"/>
      <c r="COH30" s="910"/>
      <c r="COI30" s="910"/>
      <c r="COJ30" s="910"/>
      <c r="COK30" s="910"/>
      <c r="COL30" s="910"/>
      <c r="COM30" s="911"/>
      <c r="CON30" s="911"/>
      <c r="COO30" s="910"/>
      <c r="COP30" s="910"/>
      <c r="COQ30" s="910"/>
      <c r="COR30" s="910"/>
      <c r="COS30" s="910"/>
      <c r="COT30" s="910"/>
      <c r="COU30" s="910"/>
      <c r="COV30" s="910"/>
      <c r="COW30" s="910"/>
      <c r="COX30" s="911"/>
      <c r="COY30" s="911"/>
      <c r="COZ30" s="910"/>
      <c r="CPA30" s="910"/>
      <c r="CPB30" s="910"/>
      <c r="CPC30" s="910"/>
      <c r="CPD30" s="910"/>
      <c r="CPE30" s="910"/>
      <c r="CPF30" s="910"/>
      <c r="CPG30" s="910"/>
      <c r="CPH30" s="910"/>
      <c r="CPI30" s="911"/>
      <c r="CPJ30" s="911"/>
      <c r="CPK30" s="910"/>
      <c r="CPL30" s="910"/>
      <c r="CPM30" s="910"/>
      <c r="CPN30" s="910"/>
      <c r="CPO30" s="910"/>
      <c r="CPP30" s="910"/>
      <c r="CPQ30" s="910"/>
      <c r="CPR30" s="910"/>
      <c r="CPS30" s="910"/>
      <c r="CPT30" s="911"/>
      <c r="CPU30" s="911"/>
      <c r="CPV30" s="910"/>
      <c r="CPW30" s="910"/>
      <c r="CPX30" s="910"/>
      <c r="CPY30" s="910"/>
      <c r="CPZ30" s="910"/>
      <c r="CQA30" s="910"/>
      <c r="CQB30" s="910"/>
      <c r="CQC30" s="910"/>
      <c r="CQD30" s="910"/>
      <c r="CQE30" s="911"/>
      <c r="CQF30" s="911"/>
      <c r="CQG30" s="910"/>
      <c r="CQH30" s="910"/>
      <c r="CQI30" s="910"/>
      <c r="CQJ30" s="910"/>
      <c r="CQK30" s="910"/>
      <c r="CQL30" s="910"/>
      <c r="CQM30" s="910"/>
      <c r="CQN30" s="910"/>
      <c r="CQO30" s="910"/>
      <c r="CQP30" s="911"/>
      <c r="CQQ30" s="911"/>
      <c r="CQR30" s="910"/>
      <c r="CQS30" s="910"/>
      <c r="CQT30" s="910"/>
      <c r="CQU30" s="910"/>
      <c r="CQV30" s="910"/>
      <c r="CQW30" s="910"/>
      <c r="CQX30" s="910"/>
      <c r="CQY30" s="910"/>
      <c r="CQZ30" s="910"/>
      <c r="CRA30" s="911"/>
      <c r="CRB30" s="911"/>
      <c r="CRC30" s="910"/>
      <c r="CRD30" s="910"/>
      <c r="CRE30" s="910"/>
      <c r="CRF30" s="910"/>
      <c r="CRG30" s="910"/>
      <c r="CRH30" s="910"/>
      <c r="CRI30" s="910"/>
      <c r="CRJ30" s="910"/>
      <c r="CRK30" s="910"/>
      <c r="CRL30" s="911"/>
      <c r="CRM30" s="911"/>
      <c r="CRN30" s="910"/>
      <c r="CRO30" s="910"/>
      <c r="CRP30" s="910"/>
      <c r="CRQ30" s="910"/>
      <c r="CRR30" s="910"/>
      <c r="CRS30" s="910"/>
      <c r="CRT30" s="910"/>
      <c r="CRU30" s="910"/>
      <c r="CRV30" s="910"/>
      <c r="CRW30" s="911"/>
      <c r="CRX30" s="911"/>
      <c r="CRY30" s="910"/>
      <c r="CRZ30" s="910"/>
      <c r="CSA30" s="910"/>
      <c r="CSB30" s="910"/>
      <c r="CSC30" s="910"/>
      <c r="CSD30" s="910"/>
      <c r="CSE30" s="910"/>
      <c r="CSF30" s="910"/>
      <c r="CSG30" s="910"/>
      <c r="CSH30" s="911"/>
      <c r="CSI30" s="911"/>
      <c r="CSJ30" s="910"/>
      <c r="CSK30" s="910"/>
      <c r="CSL30" s="910"/>
      <c r="CSM30" s="910"/>
      <c r="CSN30" s="910"/>
      <c r="CSO30" s="910"/>
      <c r="CSP30" s="910"/>
      <c r="CSQ30" s="910"/>
      <c r="CSR30" s="910"/>
      <c r="CSS30" s="911"/>
      <c r="CST30" s="911"/>
      <c r="CSU30" s="910"/>
      <c r="CSV30" s="910"/>
      <c r="CSW30" s="910"/>
      <c r="CSX30" s="910"/>
      <c r="CSY30" s="910"/>
      <c r="CSZ30" s="910"/>
      <c r="CTA30" s="910"/>
      <c r="CTB30" s="910"/>
      <c r="CTC30" s="910"/>
      <c r="CTD30" s="911"/>
      <c r="CTE30" s="911"/>
      <c r="CTF30" s="910"/>
      <c r="CTG30" s="910"/>
      <c r="CTH30" s="910"/>
      <c r="CTI30" s="910"/>
      <c r="CTJ30" s="910"/>
      <c r="CTK30" s="910"/>
      <c r="CTL30" s="910"/>
      <c r="CTM30" s="910"/>
      <c r="CTN30" s="910"/>
      <c r="CTO30" s="911"/>
      <c r="CTP30" s="911"/>
      <c r="CTQ30" s="910"/>
      <c r="CTR30" s="910"/>
      <c r="CTS30" s="910"/>
      <c r="CTT30" s="910"/>
      <c r="CTU30" s="910"/>
      <c r="CTV30" s="910"/>
      <c r="CTW30" s="910"/>
      <c r="CTX30" s="910"/>
      <c r="CTY30" s="910"/>
      <c r="CTZ30" s="911"/>
      <c r="CUA30" s="911"/>
      <c r="CUB30" s="910"/>
      <c r="CUC30" s="910"/>
      <c r="CUD30" s="910"/>
      <c r="CUE30" s="910"/>
      <c r="CUF30" s="910"/>
      <c r="CUG30" s="910"/>
      <c r="CUH30" s="910"/>
      <c r="CUI30" s="910"/>
      <c r="CUJ30" s="910"/>
      <c r="CUK30" s="911"/>
      <c r="CUL30" s="911"/>
      <c r="CUM30" s="910"/>
      <c r="CUN30" s="910"/>
      <c r="CUO30" s="910"/>
      <c r="CUP30" s="910"/>
      <c r="CUQ30" s="910"/>
      <c r="CUR30" s="910"/>
      <c r="CUS30" s="910"/>
      <c r="CUT30" s="910"/>
      <c r="CUU30" s="910"/>
      <c r="CUV30" s="911"/>
      <c r="CUW30" s="911"/>
      <c r="CUX30" s="910"/>
      <c r="CUY30" s="910"/>
      <c r="CUZ30" s="910"/>
      <c r="CVA30" s="910"/>
      <c r="CVB30" s="910"/>
      <c r="CVC30" s="910"/>
      <c r="CVD30" s="910"/>
      <c r="CVE30" s="910"/>
      <c r="CVF30" s="910"/>
      <c r="CVG30" s="911"/>
      <c r="CVH30" s="911"/>
      <c r="CVI30" s="910"/>
      <c r="CVJ30" s="910"/>
      <c r="CVK30" s="910"/>
      <c r="CVL30" s="910"/>
      <c r="CVM30" s="910"/>
      <c r="CVN30" s="910"/>
      <c r="CVO30" s="910"/>
      <c r="CVP30" s="910"/>
      <c r="CVQ30" s="910"/>
      <c r="CVR30" s="911"/>
      <c r="CVS30" s="911"/>
      <c r="CVT30" s="910"/>
      <c r="CVU30" s="910"/>
      <c r="CVV30" s="910"/>
      <c r="CVW30" s="910"/>
      <c r="CVX30" s="910"/>
      <c r="CVY30" s="910"/>
      <c r="CVZ30" s="910"/>
      <c r="CWA30" s="910"/>
      <c r="CWB30" s="910"/>
      <c r="CWC30" s="911"/>
      <c r="CWD30" s="911"/>
      <c r="CWE30" s="910"/>
      <c r="CWF30" s="910"/>
      <c r="CWG30" s="910"/>
      <c r="CWH30" s="910"/>
      <c r="CWI30" s="910"/>
      <c r="CWJ30" s="910"/>
      <c r="CWK30" s="910"/>
      <c r="CWL30" s="910"/>
      <c r="CWM30" s="910"/>
      <c r="CWN30" s="911"/>
      <c r="CWO30" s="911"/>
      <c r="CWP30" s="910"/>
      <c r="CWQ30" s="910"/>
      <c r="CWR30" s="910"/>
      <c r="CWS30" s="910"/>
      <c r="CWT30" s="910"/>
      <c r="CWU30" s="910"/>
      <c r="CWV30" s="910"/>
      <c r="CWW30" s="910"/>
      <c r="CWX30" s="910"/>
      <c r="CWY30" s="911"/>
      <c r="CWZ30" s="911"/>
      <c r="CXA30" s="910"/>
      <c r="CXB30" s="910"/>
      <c r="CXC30" s="910"/>
      <c r="CXD30" s="910"/>
      <c r="CXE30" s="910"/>
      <c r="CXF30" s="910"/>
      <c r="CXG30" s="910"/>
      <c r="CXH30" s="910"/>
      <c r="CXI30" s="910"/>
      <c r="CXJ30" s="911"/>
      <c r="CXK30" s="911"/>
      <c r="CXL30" s="910"/>
      <c r="CXM30" s="910"/>
      <c r="CXN30" s="910"/>
      <c r="CXO30" s="910"/>
      <c r="CXP30" s="910"/>
      <c r="CXQ30" s="910"/>
      <c r="CXR30" s="910"/>
      <c r="CXS30" s="910"/>
      <c r="CXT30" s="910"/>
      <c r="CXU30" s="911"/>
      <c r="CXV30" s="911"/>
      <c r="CXW30" s="910"/>
      <c r="CXX30" s="910"/>
      <c r="CXY30" s="910"/>
      <c r="CXZ30" s="910"/>
      <c r="CYA30" s="910"/>
      <c r="CYB30" s="910"/>
      <c r="CYC30" s="910"/>
      <c r="CYD30" s="910"/>
      <c r="CYE30" s="910"/>
      <c r="CYF30" s="911"/>
      <c r="CYG30" s="911"/>
      <c r="CYH30" s="910"/>
      <c r="CYI30" s="910"/>
      <c r="CYJ30" s="910"/>
      <c r="CYK30" s="910"/>
      <c r="CYL30" s="910"/>
      <c r="CYM30" s="910"/>
      <c r="CYN30" s="910"/>
      <c r="CYO30" s="910"/>
      <c r="CYP30" s="910"/>
      <c r="CYQ30" s="911"/>
      <c r="CYR30" s="911"/>
      <c r="CYS30" s="910"/>
      <c r="CYT30" s="910"/>
      <c r="CYU30" s="910"/>
      <c r="CYV30" s="910"/>
      <c r="CYW30" s="910"/>
      <c r="CYX30" s="910"/>
      <c r="CYY30" s="910"/>
      <c r="CYZ30" s="910"/>
      <c r="CZA30" s="910"/>
      <c r="CZB30" s="911"/>
      <c r="CZC30" s="911"/>
      <c r="CZD30" s="910"/>
      <c r="CZE30" s="910"/>
      <c r="CZF30" s="910"/>
      <c r="CZG30" s="910"/>
      <c r="CZH30" s="910"/>
      <c r="CZI30" s="910"/>
      <c r="CZJ30" s="910"/>
      <c r="CZK30" s="910"/>
      <c r="CZL30" s="910"/>
      <c r="CZM30" s="911"/>
      <c r="CZN30" s="911"/>
      <c r="CZO30" s="910"/>
      <c r="CZP30" s="910"/>
      <c r="CZQ30" s="910"/>
      <c r="CZR30" s="910"/>
      <c r="CZS30" s="910"/>
      <c r="CZT30" s="910"/>
      <c r="CZU30" s="910"/>
      <c r="CZV30" s="910"/>
      <c r="CZW30" s="910"/>
      <c r="CZX30" s="911"/>
      <c r="CZY30" s="911"/>
      <c r="CZZ30" s="910"/>
      <c r="DAA30" s="910"/>
      <c r="DAB30" s="910"/>
      <c r="DAC30" s="910"/>
      <c r="DAD30" s="910"/>
      <c r="DAE30" s="910"/>
      <c r="DAF30" s="910"/>
      <c r="DAG30" s="910"/>
      <c r="DAH30" s="910"/>
      <c r="DAI30" s="911"/>
      <c r="DAJ30" s="911"/>
      <c r="DAK30" s="910"/>
      <c r="DAL30" s="910"/>
      <c r="DAM30" s="910"/>
      <c r="DAN30" s="910"/>
      <c r="DAO30" s="910"/>
      <c r="DAP30" s="910"/>
      <c r="DAQ30" s="910"/>
      <c r="DAR30" s="910"/>
      <c r="DAS30" s="910"/>
      <c r="DAT30" s="911"/>
      <c r="DAU30" s="911"/>
      <c r="DAV30" s="910"/>
      <c r="DAW30" s="910"/>
      <c r="DAX30" s="910"/>
      <c r="DAY30" s="910"/>
      <c r="DAZ30" s="910"/>
      <c r="DBA30" s="910"/>
      <c r="DBB30" s="910"/>
      <c r="DBC30" s="910"/>
      <c r="DBD30" s="910"/>
      <c r="DBE30" s="911"/>
      <c r="DBF30" s="911"/>
      <c r="DBG30" s="910"/>
      <c r="DBH30" s="910"/>
      <c r="DBI30" s="910"/>
      <c r="DBJ30" s="910"/>
      <c r="DBK30" s="910"/>
      <c r="DBL30" s="910"/>
      <c r="DBM30" s="910"/>
      <c r="DBN30" s="910"/>
      <c r="DBO30" s="910"/>
      <c r="DBP30" s="911"/>
      <c r="DBQ30" s="911"/>
      <c r="DBR30" s="910"/>
      <c r="DBS30" s="910"/>
      <c r="DBT30" s="910"/>
      <c r="DBU30" s="910"/>
      <c r="DBV30" s="910"/>
      <c r="DBW30" s="910"/>
      <c r="DBX30" s="910"/>
      <c r="DBY30" s="910"/>
      <c r="DBZ30" s="910"/>
      <c r="DCA30" s="911"/>
      <c r="DCB30" s="911"/>
      <c r="DCC30" s="910"/>
      <c r="DCD30" s="910"/>
      <c r="DCE30" s="910"/>
      <c r="DCF30" s="910"/>
      <c r="DCG30" s="910"/>
      <c r="DCH30" s="910"/>
      <c r="DCI30" s="910"/>
      <c r="DCJ30" s="910"/>
      <c r="DCK30" s="910"/>
      <c r="DCL30" s="911"/>
      <c r="DCM30" s="911"/>
      <c r="DCN30" s="910"/>
      <c r="DCO30" s="910"/>
      <c r="DCP30" s="910"/>
      <c r="DCQ30" s="910"/>
      <c r="DCR30" s="910"/>
      <c r="DCS30" s="910"/>
      <c r="DCT30" s="910"/>
      <c r="DCU30" s="910"/>
      <c r="DCV30" s="910"/>
      <c r="DCW30" s="911"/>
      <c r="DCX30" s="911"/>
      <c r="DCY30" s="910"/>
      <c r="DCZ30" s="910"/>
      <c r="DDA30" s="910"/>
      <c r="DDB30" s="910"/>
      <c r="DDC30" s="910"/>
      <c r="DDD30" s="910"/>
      <c r="DDE30" s="910"/>
      <c r="DDF30" s="910"/>
      <c r="DDG30" s="910"/>
      <c r="DDH30" s="911"/>
      <c r="DDI30" s="911"/>
      <c r="DDJ30" s="910"/>
      <c r="DDK30" s="910"/>
      <c r="DDL30" s="910"/>
      <c r="DDM30" s="910"/>
      <c r="DDN30" s="910"/>
      <c r="DDO30" s="910"/>
      <c r="DDP30" s="910"/>
      <c r="DDQ30" s="910"/>
      <c r="DDR30" s="910"/>
      <c r="DDS30" s="911"/>
      <c r="DDT30" s="911"/>
      <c r="DDU30" s="910"/>
      <c r="DDV30" s="910"/>
      <c r="DDW30" s="910"/>
      <c r="DDX30" s="910"/>
      <c r="DDY30" s="910"/>
      <c r="DDZ30" s="910"/>
      <c r="DEA30" s="910"/>
      <c r="DEB30" s="910"/>
      <c r="DEC30" s="910"/>
      <c r="DED30" s="911"/>
      <c r="DEE30" s="911"/>
      <c r="DEF30" s="910"/>
      <c r="DEG30" s="910"/>
      <c r="DEH30" s="910"/>
      <c r="DEI30" s="910"/>
      <c r="DEJ30" s="910"/>
      <c r="DEK30" s="910"/>
      <c r="DEL30" s="910"/>
      <c r="DEM30" s="910"/>
      <c r="DEN30" s="910"/>
      <c r="DEO30" s="911"/>
      <c r="DEP30" s="911"/>
      <c r="DEQ30" s="910"/>
      <c r="DER30" s="910"/>
      <c r="DES30" s="910"/>
      <c r="DET30" s="910"/>
      <c r="DEU30" s="910"/>
      <c r="DEV30" s="910"/>
      <c r="DEW30" s="910"/>
      <c r="DEX30" s="910"/>
      <c r="DEY30" s="910"/>
      <c r="DEZ30" s="911"/>
      <c r="DFA30" s="911"/>
      <c r="DFB30" s="910"/>
      <c r="DFC30" s="910"/>
      <c r="DFD30" s="910"/>
      <c r="DFE30" s="910"/>
      <c r="DFF30" s="910"/>
      <c r="DFG30" s="910"/>
      <c r="DFH30" s="910"/>
      <c r="DFI30" s="910"/>
      <c r="DFJ30" s="910"/>
      <c r="DFK30" s="911"/>
      <c r="DFL30" s="911"/>
      <c r="DFM30" s="910"/>
      <c r="DFN30" s="910"/>
      <c r="DFO30" s="910"/>
      <c r="DFP30" s="910"/>
      <c r="DFQ30" s="910"/>
      <c r="DFR30" s="910"/>
      <c r="DFS30" s="910"/>
      <c r="DFT30" s="910"/>
      <c r="DFU30" s="910"/>
      <c r="DFV30" s="911"/>
      <c r="DFW30" s="911"/>
      <c r="DFX30" s="910"/>
      <c r="DFY30" s="910"/>
      <c r="DFZ30" s="910"/>
      <c r="DGA30" s="910"/>
      <c r="DGB30" s="910"/>
      <c r="DGC30" s="910"/>
      <c r="DGD30" s="910"/>
      <c r="DGE30" s="910"/>
      <c r="DGF30" s="910"/>
      <c r="DGG30" s="911"/>
      <c r="DGH30" s="911"/>
      <c r="DGI30" s="910"/>
      <c r="DGJ30" s="910"/>
      <c r="DGK30" s="910"/>
      <c r="DGL30" s="910"/>
      <c r="DGM30" s="910"/>
      <c r="DGN30" s="910"/>
      <c r="DGO30" s="910"/>
      <c r="DGP30" s="910"/>
      <c r="DGQ30" s="910"/>
      <c r="DGR30" s="911"/>
      <c r="DGS30" s="911"/>
      <c r="DGT30" s="910"/>
      <c r="DGU30" s="910"/>
      <c r="DGV30" s="910"/>
      <c r="DGW30" s="910"/>
      <c r="DGX30" s="910"/>
      <c r="DGY30" s="910"/>
      <c r="DGZ30" s="910"/>
      <c r="DHA30" s="910"/>
      <c r="DHB30" s="910"/>
      <c r="DHC30" s="911"/>
      <c r="DHD30" s="911"/>
      <c r="DHE30" s="910"/>
      <c r="DHF30" s="910"/>
      <c r="DHG30" s="910"/>
      <c r="DHH30" s="910"/>
      <c r="DHI30" s="910"/>
      <c r="DHJ30" s="910"/>
      <c r="DHK30" s="910"/>
      <c r="DHL30" s="910"/>
      <c r="DHM30" s="910"/>
      <c r="DHN30" s="911"/>
      <c r="DHO30" s="911"/>
      <c r="DHP30" s="910"/>
      <c r="DHQ30" s="910"/>
      <c r="DHR30" s="910"/>
      <c r="DHS30" s="910"/>
      <c r="DHT30" s="910"/>
      <c r="DHU30" s="910"/>
      <c r="DHV30" s="910"/>
      <c r="DHW30" s="910"/>
      <c r="DHX30" s="910"/>
      <c r="DHY30" s="911"/>
      <c r="DHZ30" s="911"/>
      <c r="DIA30" s="910"/>
      <c r="DIB30" s="910"/>
      <c r="DIC30" s="910"/>
      <c r="DID30" s="910"/>
      <c r="DIE30" s="910"/>
      <c r="DIF30" s="910"/>
      <c r="DIG30" s="910"/>
      <c r="DIH30" s="910"/>
      <c r="DII30" s="910"/>
      <c r="DIJ30" s="911"/>
      <c r="DIK30" s="911"/>
      <c r="DIL30" s="910"/>
      <c r="DIM30" s="910"/>
      <c r="DIN30" s="910"/>
      <c r="DIO30" s="910"/>
      <c r="DIP30" s="910"/>
      <c r="DIQ30" s="910"/>
      <c r="DIR30" s="910"/>
      <c r="DIS30" s="910"/>
      <c r="DIT30" s="910"/>
      <c r="DIU30" s="911"/>
      <c r="DIV30" s="911"/>
      <c r="DIW30" s="910"/>
      <c r="DIX30" s="910"/>
      <c r="DIY30" s="910"/>
      <c r="DIZ30" s="910"/>
      <c r="DJA30" s="910"/>
      <c r="DJB30" s="910"/>
      <c r="DJC30" s="910"/>
      <c r="DJD30" s="910"/>
      <c r="DJE30" s="910"/>
      <c r="DJF30" s="911"/>
      <c r="DJG30" s="911"/>
      <c r="DJH30" s="910"/>
      <c r="DJI30" s="910"/>
      <c r="DJJ30" s="910"/>
      <c r="DJK30" s="910"/>
      <c r="DJL30" s="910"/>
      <c r="DJM30" s="910"/>
      <c r="DJN30" s="910"/>
      <c r="DJO30" s="910"/>
      <c r="DJP30" s="910"/>
      <c r="DJQ30" s="911"/>
      <c r="DJR30" s="911"/>
      <c r="DJS30" s="910"/>
      <c r="DJT30" s="910"/>
      <c r="DJU30" s="910"/>
      <c r="DJV30" s="910"/>
      <c r="DJW30" s="910"/>
      <c r="DJX30" s="910"/>
      <c r="DJY30" s="910"/>
      <c r="DJZ30" s="910"/>
      <c r="DKA30" s="910"/>
      <c r="DKB30" s="911"/>
      <c r="DKC30" s="911"/>
      <c r="DKD30" s="910"/>
      <c r="DKE30" s="910"/>
      <c r="DKF30" s="910"/>
      <c r="DKG30" s="910"/>
      <c r="DKH30" s="910"/>
      <c r="DKI30" s="910"/>
      <c r="DKJ30" s="910"/>
      <c r="DKK30" s="910"/>
      <c r="DKL30" s="910"/>
      <c r="DKM30" s="911"/>
      <c r="DKN30" s="911"/>
      <c r="DKO30" s="910"/>
      <c r="DKP30" s="910"/>
      <c r="DKQ30" s="910"/>
      <c r="DKR30" s="910"/>
      <c r="DKS30" s="910"/>
      <c r="DKT30" s="910"/>
      <c r="DKU30" s="910"/>
      <c r="DKV30" s="910"/>
      <c r="DKW30" s="910"/>
      <c r="DKX30" s="911"/>
      <c r="DKY30" s="911"/>
      <c r="DKZ30" s="910"/>
      <c r="DLA30" s="910"/>
      <c r="DLB30" s="910"/>
      <c r="DLC30" s="910"/>
      <c r="DLD30" s="910"/>
      <c r="DLE30" s="910"/>
      <c r="DLF30" s="910"/>
      <c r="DLG30" s="910"/>
      <c r="DLH30" s="910"/>
      <c r="DLI30" s="911"/>
      <c r="DLJ30" s="911"/>
      <c r="DLK30" s="910"/>
      <c r="DLL30" s="910"/>
      <c r="DLM30" s="910"/>
      <c r="DLN30" s="910"/>
      <c r="DLO30" s="910"/>
      <c r="DLP30" s="910"/>
      <c r="DLQ30" s="910"/>
      <c r="DLR30" s="910"/>
      <c r="DLS30" s="910"/>
      <c r="DLT30" s="911"/>
      <c r="DLU30" s="911"/>
      <c r="DLV30" s="910"/>
      <c r="DLW30" s="910"/>
      <c r="DLX30" s="910"/>
      <c r="DLY30" s="910"/>
      <c r="DLZ30" s="910"/>
      <c r="DMA30" s="910"/>
      <c r="DMB30" s="910"/>
      <c r="DMC30" s="910"/>
      <c r="DMD30" s="910"/>
      <c r="DME30" s="911"/>
      <c r="DMF30" s="911"/>
      <c r="DMG30" s="910"/>
      <c r="DMH30" s="910"/>
      <c r="DMI30" s="910"/>
      <c r="DMJ30" s="910"/>
      <c r="DMK30" s="910"/>
      <c r="DML30" s="910"/>
      <c r="DMM30" s="910"/>
      <c r="DMN30" s="910"/>
      <c r="DMO30" s="910"/>
      <c r="DMP30" s="911"/>
      <c r="DMQ30" s="911"/>
      <c r="DMR30" s="910"/>
      <c r="DMS30" s="910"/>
      <c r="DMT30" s="910"/>
      <c r="DMU30" s="910"/>
      <c r="DMV30" s="910"/>
      <c r="DMW30" s="910"/>
      <c r="DMX30" s="910"/>
      <c r="DMY30" s="910"/>
      <c r="DMZ30" s="910"/>
      <c r="DNA30" s="911"/>
      <c r="DNB30" s="911"/>
      <c r="DNC30" s="910"/>
      <c r="DND30" s="910"/>
      <c r="DNE30" s="910"/>
      <c r="DNF30" s="910"/>
      <c r="DNG30" s="910"/>
      <c r="DNH30" s="910"/>
      <c r="DNI30" s="910"/>
      <c r="DNJ30" s="910"/>
      <c r="DNK30" s="910"/>
      <c r="DNL30" s="911"/>
      <c r="DNM30" s="911"/>
      <c r="DNN30" s="910"/>
      <c r="DNO30" s="910"/>
      <c r="DNP30" s="910"/>
      <c r="DNQ30" s="910"/>
      <c r="DNR30" s="910"/>
      <c r="DNS30" s="910"/>
      <c r="DNT30" s="910"/>
      <c r="DNU30" s="910"/>
      <c r="DNV30" s="910"/>
      <c r="DNW30" s="911"/>
      <c r="DNX30" s="911"/>
      <c r="DNY30" s="910"/>
      <c r="DNZ30" s="910"/>
      <c r="DOA30" s="910"/>
      <c r="DOB30" s="910"/>
      <c r="DOC30" s="910"/>
      <c r="DOD30" s="910"/>
      <c r="DOE30" s="910"/>
      <c r="DOF30" s="910"/>
      <c r="DOG30" s="910"/>
      <c r="DOH30" s="911"/>
      <c r="DOI30" s="911"/>
      <c r="DOJ30" s="910"/>
      <c r="DOK30" s="910"/>
      <c r="DOL30" s="910"/>
      <c r="DOM30" s="910"/>
      <c r="DON30" s="910"/>
      <c r="DOO30" s="910"/>
      <c r="DOP30" s="910"/>
      <c r="DOQ30" s="910"/>
      <c r="DOR30" s="910"/>
      <c r="DOS30" s="911"/>
      <c r="DOT30" s="911"/>
      <c r="DOU30" s="910"/>
      <c r="DOV30" s="910"/>
      <c r="DOW30" s="910"/>
      <c r="DOX30" s="910"/>
      <c r="DOY30" s="910"/>
      <c r="DOZ30" s="910"/>
      <c r="DPA30" s="910"/>
      <c r="DPB30" s="910"/>
      <c r="DPC30" s="910"/>
      <c r="DPD30" s="911"/>
      <c r="DPE30" s="911"/>
      <c r="DPF30" s="910"/>
      <c r="DPG30" s="910"/>
      <c r="DPH30" s="910"/>
      <c r="DPI30" s="910"/>
      <c r="DPJ30" s="910"/>
      <c r="DPK30" s="910"/>
      <c r="DPL30" s="910"/>
      <c r="DPM30" s="910"/>
      <c r="DPN30" s="910"/>
      <c r="DPO30" s="911"/>
      <c r="DPP30" s="911"/>
      <c r="DPQ30" s="910"/>
      <c r="DPR30" s="910"/>
      <c r="DPS30" s="910"/>
      <c r="DPT30" s="910"/>
      <c r="DPU30" s="910"/>
      <c r="DPV30" s="910"/>
      <c r="DPW30" s="910"/>
      <c r="DPX30" s="910"/>
      <c r="DPY30" s="910"/>
      <c r="DPZ30" s="911"/>
      <c r="DQA30" s="911"/>
      <c r="DQB30" s="910"/>
      <c r="DQC30" s="910"/>
      <c r="DQD30" s="910"/>
      <c r="DQE30" s="910"/>
      <c r="DQF30" s="910"/>
      <c r="DQG30" s="910"/>
      <c r="DQH30" s="910"/>
      <c r="DQI30" s="910"/>
      <c r="DQJ30" s="910"/>
      <c r="DQK30" s="911"/>
      <c r="DQL30" s="911"/>
      <c r="DQM30" s="910"/>
      <c r="DQN30" s="910"/>
      <c r="DQO30" s="910"/>
      <c r="DQP30" s="910"/>
      <c r="DQQ30" s="910"/>
      <c r="DQR30" s="910"/>
      <c r="DQS30" s="910"/>
      <c r="DQT30" s="910"/>
      <c r="DQU30" s="910"/>
      <c r="DQV30" s="911"/>
      <c r="DQW30" s="911"/>
      <c r="DQX30" s="910"/>
      <c r="DQY30" s="910"/>
      <c r="DQZ30" s="910"/>
      <c r="DRA30" s="910"/>
      <c r="DRB30" s="910"/>
      <c r="DRC30" s="910"/>
      <c r="DRD30" s="910"/>
      <c r="DRE30" s="910"/>
      <c r="DRF30" s="910"/>
      <c r="DRG30" s="911"/>
      <c r="DRH30" s="911"/>
      <c r="DRI30" s="910"/>
      <c r="DRJ30" s="910"/>
      <c r="DRK30" s="910"/>
      <c r="DRL30" s="910"/>
      <c r="DRM30" s="910"/>
      <c r="DRN30" s="910"/>
      <c r="DRO30" s="910"/>
      <c r="DRP30" s="910"/>
      <c r="DRQ30" s="910"/>
      <c r="DRR30" s="911"/>
      <c r="DRS30" s="911"/>
      <c r="DRT30" s="910"/>
      <c r="DRU30" s="910"/>
      <c r="DRV30" s="910"/>
      <c r="DRW30" s="910"/>
      <c r="DRX30" s="910"/>
      <c r="DRY30" s="910"/>
      <c r="DRZ30" s="910"/>
      <c r="DSA30" s="910"/>
      <c r="DSB30" s="910"/>
      <c r="DSC30" s="911"/>
      <c r="DSD30" s="911"/>
      <c r="DSE30" s="910"/>
      <c r="DSF30" s="910"/>
      <c r="DSG30" s="910"/>
      <c r="DSH30" s="910"/>
      <c r="DSI30" s="910"/>
      <c r="DSJ30" s="910"/>
      <c r="DSK30" s="910"/>
      <c r="DSL30" s="910"/>
      <c r="DSM30" s="910"/>
      <c r="DSN30" s="911"/>
      <c r="DSO30" s="911"/>
      <c r="DSP30" s="910"/>
      <c r="DSQ30" s="910"/>
      <c r="DSR30" s="910"/>
      <c r="DSS30" s="910"/>
      <c r="DST30" s="910"/>
      <c r="DSU30" s="910"/>
      <c r="DSV30" s="910"/>
      <c r="DSW30" s="910"/>
      <c r="DSX30" s="910"/>
      <c r="DSY30" s="911"/>
      <c r="DSZ30" s="911"/>
      <c r="DTA30" s="910"/>
      <c r="DTB30" s="910"/>
      <c r="DTC30" s="910"/>
      <c r="DTD30" s="910"/>
      <c r="DTE30" s="910"/>
      <c r="DTF30" s="910"/>
      <c r="DTG30" s="910"/>
      <c r="DTH30" s="910"/>
      <c r="DTI30" s="910"/>
      <c r="DTJ30" s="911"/>
      <c r="DTK30" s="911"/>
      <c r="DTL30" s="910"/>
      <c r="DTM30" s="910"/>
      <c r="DTN30" s="910"/>
      <c r="DTO30" s="910"/>
      <c r="DTP30" s="910"/>
      <c r="DTQ30" s="910"/>
      <c r="DTR30" s="910"/>
      <c r="DTS30" s="910"/>
      <c r="DTT30" s="910"/>
      <c r="DTU30" s="911"/>
      <c r="DTV30" s="911"/>
      <c r="DTW30" s="910"/>
      <c r="DTX30" s="910"/>
      <c r="DTY30" s="910"/>
      <c r="DTZ30" s="910"/>
      <c r="DUA30" s="910"/>
      <c r="DUB30" s="910"/>
      <c r="DUC30" s="910"/>
      <c r="DUD30" s="910"/>
      <c r="DUE30" s="910"/>
      <c r="DUF30" s="911"/>
      <c r="DUG30" s="911"/>
      <c r="DUH30" s="910"/>
      <c r="DUI30" s="910"/>
      <c r="DUJ30" s="910"/>
      <c r="DUK30" s="910"/>
      <c r="DUL30" s="910"/>
      <c r="DUM30" s="910"/>
      <c r="DUN30" s="910"/>
      <c r="DUO30" s="910"/>
      <c r="DUP30" s="910"/>
      <c r="DUQ30" s="911"/>
      <c r="DUR30" s="911"/>
      <c r="DUS30" s="910"/>
      <c r="DUT30" s="910"/>
      <c r="DUU30" s="910"/>
      <c r="DUV30" s="910"/>
      <c r="DUW30" s="910"/>
      <c r="DUX30" s="910"/>
      <c r="DUY30" s="910"/>
      <c r="DUZ30" s="910"/>
      <c r="DVA30" s="910"/>
      <c r="DVB30" s="911"/>
      <c r="DVC30" s="911"/>
      <c r="DVD30" s="910"/>
      <c r="DVE30" s="910"/>
      <c r="DVF30" s="910"/>
      <c r="DVG30" s="910"/>
      <c r="DVH30" s="910"/>
      <c r="DVI30" s="910"/>
      <c r="DVJ30" s="910"/>
      <c r="DVK30" s="910"/>
      <c r="DVL30" s="910"/>
      <c r="DVM30" s="911"/>
      <c r="DVN30" s="911"/>
      <c r="DVO30" s="910"/>
      <c r="DVP30" s="910"/>
      <c r="DVQ30" s="910"/>
      <c r="DVR30" s="910"/>
      <c r="DVS30" s="910"/>
      <c r="DVT30" s="910"/>
      <c r="DVU30" s="910"/>
      <c r="DVV30" s="910"/>
      <c r="DVW30" s="910"/>
      <c r="DVX30" s="911"/>
      <c r="DVY30" s="911"/>
      <c r="DVZ30" s="910"/>
      <c r="DWA30" s="910"/>
      <c r="DWB30" s="910"/>
      <c r="DWC30" s="910"/>
      <c r="DWD30" s="910"/>
      <c r="DWE30" s="910"/>
      <c r="DWF30" s="910"/>
      <c r="DWG30" s="910"/>
      <c r="DWH30" s="910"/>
      <c r="DWI30" s="911"/>
      <c r="DWJ30" s="911"/>
      <c r="DWK30" s="910"/>
      <c r="DWL30" s="910"/>
      <c r="DWM30" s="910"/>
      <c r="DWN30" s="910"/>
      <c r="DWO30" s="910"/>
      <c r="DWP30" s="910"/>
      <c r="DWQ30" s="910"/>
      <c r="DWR30" s="910"/>
      <c r="DWS30" s="910"/>
      <c r="DWT30" s="911"/>
      <c r="DWU30" s="911"/>
      <c r="DWV30" s="910"/>
      <c r="DWW30" s="910"/>
      <c r="DWX30" s="910"/>
      <c r="DWY30" s="910"/>
      <c r="DWZ30" s="910"/>
      <c r="DXA30" s="910"/>
      <c r="DXB30" s="910"/>
      <c r="DXC30" s="910"/>
      <c r="DXD30" s="910"/>
      <c r="DXE30" s="911"/>
      <c r="DXF30" s="911"/>
      <c r="DXG30" s="910"/>
      <c r="DXH30" s="910"/>
      <c r="DXI30" s="910"/>
      <c r="DXJ30" s="910"/>
      <c r="DXK30" s="910"/>
      <c r="DXL30" s="910"/>
      <c r="DXM30" s="910"/>
      <c r="DXN30" s="910"/>
      <c r="DXO30" s="910"/>
      <c r="DXP30" s="911"/>
      <c r="DXQ30" s="911"/>
      <c r="DXR30" s="910"/>
      <c r="DXS30" s="910"/>
      <c r="DXT30" s="910"/>
      <c r="DXU30" s="910"/>
      <c r="DXV30" s="910"/>
      <c r="DXW30" s="910"/>
      <c r="DXX30" s="910"/>
      <c r="DXY30" s="910"/>
      <c r="DXZ30" s="910"/>
      <c r="DYA30" s="911"/>
      <c r="DYB30" s="911"/>
      <c r="DYC30" s="910"/>
      <c r="DYD30" s="910"/>
      <c r="DYE30" s="910"/>
      <c r="DYF30" s="910"/>
      <c r="DYG30" s="910"/>
      <c r="DYH30" s="910"/>
      <c r="DYI30" s="910"/>
      <c r="DYJ30" s="910"/>
      <c r="DYK30" s="910"/>
      <c r="DYL30" s="911"/>
      <c r="DYM30" s="911"/>
      <c r="DYN30" s="910"/>
      <c r="DYO30" s="910"/>
      <c r="DYP30" s="910"/>
      <c r="DYQ30" s="910"/>
      <c r="DYR30" s="910"/>
      <c r="DYS30" s="910"/>
      <c r="DYT30" s="910"/>
      <c r="DYU30" s="910"/>
      <c r="DYV30" s="910"/>
      <c r="DYW30" s="911"/>
      <c r="DYX30" s="911"/>
      <c r="DYY30" s="910"/>
      <c r="DYZ30" s="910"/>
      <c r="DZA30" s="910"/>
      <c r="DZB30" s="910"/>
      <c r="DZC30" s="910"/>
      <c r="DZD30" s="910"/>
      <c r="DZE30" s="910"/>
      <c r="DZF30" s="910"/>
      <c r="DZG30" s="910"/>
      <c r="DZH30" s="911"/>
      <c r="DZI30" s="911"/>
      <c r="DZJ30" s="910"/>
      <c r="DZK30" s="910"/>
      <c r="DZL30" s="910"/>
      <c r="DZM30" s="910"/>
      <c r="DZN30" s="910"/>
      <c r="DZO30" s="910"/>
      <c r="DZP30" s="910"/>
      <c r="DZQ30" s="910"/>
      <c r="DZR30" s="910"/>
      <c r="DZS30" s="911"/>
      <c r="DZT30" s="911"/>
      <c r="DZU30" s="910"/>
      <c r="DZV30" s="910"/>
      <c r="DZW30" s="910"/>
      <c r="DZX30" s="910"/>
      <c r="DZY30" s="910"/>
      <c r="DZZ30" s="910"/>
      <c r="EAA30" s="910"/>
      <c r="EAB30" s="910"/>
      <c r="EAC30" s="910"/>
      <c r="EAD30" s="911"/>
      <c r="EAE30" s="911"/>
      <c r="EAF30" s="910"/>
      <c r="EAG30" s="910"/>
      <c r="EAH30" s="910"/>
      <c r="EAI30" s="910"/>
      <c r="EAJ30" s="910"/>
      <c r="EAK30" s="910"/>
      <c r="EAL30" s="910"/>
      <c r="EAM30" s="910"/>
      <c r="EAN30" s="910"/>
      <c r="EAO30" s="911"/>
      <c r="EAP30" s="911"/>
      <c r="EAQ30" s="910"/>
      <c r="EAR30" s="910"/>
      <c r="EAS30" s="910"/>
      <c r="EAT30" s="910"/>
      <c r="EAU30" s="910"/>
      <c r="EAV30" s="910"/>
      <c r="EAW30" s="910"/>
      <c r="EAX30" s="910"/>
      <c r="EAY30" s="910"/>
      <c r="EAZ30" s="911"/>
      <c r="EBA30" s="911"/>
      <c r="EBB30" s="910"/>
      <c r="EBC30" s="910"/>
      <c r="EBD30" s="910"/>
      <c r="EBE30" s="910"/>
      <c r="EBF30" s="910"/>
      <c r="EBG30" s="910"/>
      <c r="EBH30" s="910"/>
      <c r="EBI30" s="910"/>
      <c r="EBJ30" s="910"/>
      <c r="EBK30" s="911"/>
      <c r="EBL30" s="911"/>
      <c r="EBM30" s="910"/>
      <c r="EBN30" s="910"/>
      <c r="EBO30" s="910"/>
      <c r="EBP30" s="910"/>
      <c r="EBQ30" s="910"/>
      <c r="EBR30" s="910"/>
      <c r="EBS30" s="910"/>
      <c r="EBT30" s="910"/>
      <c r="EBU30" s="910"/>
      <c r="EBV30" s="911"/>
      <c r="EBW30" s="911"/>
      <c r="EBX30" s="910"/>
      <c r="EBY30" s="910"/>
      <c r="EBZ30" s="910"/>
      <c r="ECA30" s="910"/>
      <c r="ECB30" s="910"/>
      <c r="ECC30" s="910"/>
      <c r="ECD30" s="910"/>
      <c r="ECE30" s="910"/>
      <c r="ECF30" s="910"/>
      <c r="ECG30" s="911"/>
      <c r="ECH30" s="911"/>
      <c r="ECI30" s="910"/>
      <c r="ECJ30" s="910"/>
      <c r="ECK30" s="910"/>
      <c r="ECL30" s="910"/>
      <c r="ECM30" s="910"/>
      <c r="ECN30" s="910"/>
      <c r="ECO30" s="910"/>
      <c r="ECP30" s="910"/>
      <c r="ECQ30" s="910"/>
      <c r="ECR30" s="911"/>
      <c r="ECS30" s="911"/>
      <c r="ECT30" s="910"/>
      <c r="ECU30" s="910"/>
      <c r="ECV30" s="910"/>
      <c r="ECW30" s="910"/>
      <c r="ECX30" s="910"/>
      <c r="ECY30" s="910"/>
      <c r="ECZ30" s="910"/>
      <c r="EDA30" s="910"/>
      <c r="EDB30" s="910"/>
      <c r="EDC30" s="911"/>
      <c r="EDD30" s="911"/>
      <c r="EDE30" s="910"/>
      <c r="EDF30" s="910"/>
      <c r="EDG30" s="910"/>
      <c r="EDH30" s="910"/>
      <c r="EDI30" s="910"/>
      <c r="EDJ30" s="910"/>
      <c r="EDK30" s="910"/>
      <c r="EDL30" s="910"/>
      <c r="EDM30" s="910"/>
      <c r="EDN30" s="911"/>
      <c r="EDO30" s="911"/>
      <c r="EDP30" s="910"/>
      <c r="EDQ30" s="910"/>
      <c r="EDR30" s="910"/>
      <c r="EDS30" s="910"/>
      <c r="EDT30" s="910"/>
      <c r="EDU30" s="910"/>
      <c r="EDV30" s="910"/>
      <c r="EDW30" s="910"/>
      <c r="EDX30" s="910"/>
      <c r="EDY30" s="911"/>
      <c r="EDZ30" s="911"/>
      <c r="EEA30" s="910"/>
      <c r="EEB30" s="910"/>
      <c r="EEC30" s="910"/>
      <c r="EED30" s="910"/>
      <c r="EEE30" s="910"/>
      <c r="EEF30" s="910"/>
      <c r="EEG30" s="910"/>
      <c r="EEH30" s="910"/>
      <c r="EEI30" s="910"/>
      <c r="EEJ30" s="911"/>
      <c r="EEK30" s="911"/>
      <c r="EEL30" s="910"/>
      <c r="EEM30" s="910"/>
      <c r="EEN30" s="910"/>
      <c r="EEO30" s="910"/>
      <c r="EEP30" s="910"/>
      <c r="EEQ30" s="910"/>
      <c r="EER30" s="910"/>
      <c r="EES30" s="910"/>
      <c r="EET30" s="910"/>
      <c r="EEU30" s="911"/>
      <c r="EEV30" s="911"/>
      <c r="EEW30" s="910"/>
      <c r="EEX30" s="910"/>
      <c r="EEY30" s="910"/>
      <c r="EEZ30" s="910"/>
      <c r="EFA30" s="910"/>
      <c r="EFB30" s="910"/>
      <c r="EFC30" s="910"/>
      <c r="EFD30" s="910"/>
      <c r="EFE30" s="910"/>
      <c r="EFF30" s="911"/>
      <c r="EFG30" s="911"/>
      <c r="EFH30" s="910"/>
      <c r="EFI30" s="910"/>
      <c r="EFJ30" s="910"/>
      <c r="EFK30" s="910"/>
      <c r="EFL30" s="910"/>
      <c r="EFM30" s="910"/>
      <c r="EFN30" s="910"/>
      <c r="EFO30" s="910"/>
      <c r="EFP30" s="910"/>
      <c r="EFQ30" s="911"/>
      <c r="EFR30" s="911"/>
      <c r="EFS30" s="910"/>
      <c r="EFT30" s="910"/>
      <c r="EFU30" s="910"/>
      <c r="EFV30" s="910"/>
      <c r="EFW30" s="910"/>
      <c r="EFX30" s="910"/>
      <c r="EFY30" s="910"/>
      <c r="EFZ30" s="910"/>
      <c r="EGA30" s="910"/>
      <c r="EGB30" s="911"/>
      <c r="EGC30" s="911"/>
      <c r="EGD30" s="910"/>
      <c r="EGE30" s="910"/>
      <c r="EGF30" s="910"/>
      <c r="EGG30" s="910"/>
      <c r="EGH30" s="910"/>
      <c r="EGI30" s="910"/>
      <c r="EGJ30" s="910"/>
      <c r="EGK30" s="910"/>
      <c r="EGL30" s="910"/>
      <c r="EGM30" s="911"/>
      <c r="EGN30" s="911"/>
      <c r="EGO30" s="910"/>
      <c r="EGP30" s="910"/>
      <c r="EGQ30" s="910"/>
      <c r="EGR30" s="910"/>
      <c r="EGS30" s="910"/>
      <c r="EGT30" s="910"/>
      <c r="EGU30" s="910"/>
      <c r="EGV30" s="910"/>
      <c r="EGW30" s="910"/>
      <c r="EGX30" s="911"/>
      <c r="EGY30" s="911"/>
      <c r="EGZ30" s="910"/>
      <c r="EHA30" s="910"/>
      <c r="EHB30" s="910"/>
      <c r="EHC30" s="910"/>
      <c r="EHD30" s="910"/>
      <c r="EHE30" s="910"/>
      <c r="EHF30" s="910"/>
      <c r="EHG30" s="910"/>
      <c r="EHH30" s="910"/>
      <c r="EHI30" s="911"/>
      <c r="EHJ30" s="911"/>
      <c r="EHK30" s="910"/>
      <c r="EHL30" s="910"/>
      <c r="EHM30" s="910"/>
      <c r="EHN30" s="910"/>
      <c r="EHO30" s="910"/>
      <c r="EHP30" s="910"/>
      <c r="EHQ30" s="910"/>
      <c r="EHR30" s="910"/>
      <c r="EHS30" s="910"/>
      <c r="EHT30" s="911"/>
      <c r="EHU30" s="911"/>
      <c r="EHV30" s="910"/>
      <c r="EHW30" s="910"/>
      <c r="EHX30" s="910"/>
      <c r="EHY30" s="910"/>
      <c r="EHZ30" s="910"/>
      <c r="EIA30" s="910"/>
      <c r="EIB30" s="910"/>
      <c r="EIC30" s="910"/>
      <c r="EID30" s="910"/>
      <c r="EIE30" s="911"/>
      <c r="EIF30" s="911"/>
      <c r="EIG30" s="910"/>
      <c r="EIH30" s="910"/>
      <c r="EII30" s="910"/>
      <c r="EIJ30" s="910"/>
      <c r="EIK30" s="910"/>
      <c r="EIL30" s="910"/>
      <c r="EIM30" s="910"/>
      <c r="EIN30" s="910"/>
      <c r="EIO30" s="910"/>
      <c r="EIP30" s="911"/>
      <c r="EIQ30" s="911"/>
      <c r="EIR30" s="910"/>
      <c r="EIS30" s="910"/>
      <c r="EIT30" s="910"/>
      <c r="EIU30" s="910"/>
      <c r="EIV30" s="910"/>
      <c r="EIW30" s="910"/>
      <c r="EIX30" s="910"/>
      <c r="EIY30" s="910"/>
      <c r="EIZ30" s="910"/>
      <c r="EJA30" s="911"/>
      <c r="EJB30" s="911"/>
      <c r="EJC30" s="910"/>
      <c r="EJD30" s="910"/>
      <c r="EJE30" s="910"/>
      <c r="EJF30" s="910"/>
      <c r="EJG30" s="910"/>
      <c r="EJH30" s="910"/>
      <c r="EJI30" s="910"/>
      <c r="EJJ30" s="910"/>
      <c r="EJK30" s="910"/>
      <c r="EJL30" s="911"/>
      <c r="EJM30" s="911"/>
      <c r="EJN30" s="910"/>
      <c r="EJO30" s="910"/>
      <c r="EJP30" s="910"/>
      <c r="EJQ30" s="910"/>
      <c r="EJR30" s="910"/>
      <c r="EJS30" s="910"/>
      <c r="EJT30" s="910"/>
      <c r="EJU30" s="910"/>
      <c r="EJV30" s="910"/>
      <c r="EJW30" s="911"/>
      <c r="EJX30" s="911"/>
      <c r="EJY30" s="910"/>
      <c r="EJZ30" s="910"/>
      <c r="EKA30" s="910"/>
      <c r="EKB30" s="910"/>
      <c r="EKC30" s="910"/>
      <c r="EKD30" s="910"/>
      <c r="EKE30" s="910"/>
      <c r="EKF30" s="910"/>
      <c r="EKG30" s="910"/>
      <c r="EKH30" s="911"/>
      <c r="EKI30" s="911"/>
      <c r="EKJ30" s="910"/>
      <c r="EKK30" s="910"/>
      <c r="EKL30" s="910"/>
      <c r="EKM30" s="910"/>
      <c r="EKN30" s="910"/>
      <c r="EKO30" s="910"/>
      <c r="EKP30" s="910"/>
      <c r="EKQ30" s="910"/>
      <c r="EKR30" s="910"/>
      <c r="EKS30" s="911"/>
      <c r="EKT30" s="911"/>
      <c r="EKU30" s="910"/>
      <c r="EKV30" s="910"/>
      <c r="EKW30" s="910"/>
      <c r="EKX30" s="910"/>
      <c r="EKY30" s="910"/>
      <c r="EKZ30" s="910"/>
      <c r="ELA30" s="910"/>
      <c r="ELB30" s="910"/>
      <c r="ELC30" s="910"/>
      <c r="ELD30" s="911"/>
      <c r="ELE30" s="911"/>
      <c r="ELF30" s="910"/>
      <c r="ELG30" s="910"/>
      <c r="ELH30" s="910"/>
      <c r="ELI30" s="910"/>
      <c r="ELJ30" s="910"/>
      <c r="ELK30" s="910"/>
      <c r="ELL30" s="910"/>
      <c r="ELM30" s="910"/>
      <c r="ELN30" s="910"/>
      <c r="ELO30" s="911"/>
      <c r="ELP30" s="911"/>
      <c r="ELQ30" s="910"/>
      <c r="ELR30" s="910"/>
      <c r="ELS30" s="910"/>
      <c r="ELT30" s="910"/>
      <c r="ELU30" s="910"/>
      <c r="ELV30" s="910"/>
      <c r="ELW30" s="910"/>
      <c r="ELX30" s="910"/>
      <c r="ELY30" s="910"/>
      <c r="ELZ30" s="911"/>
      <c r="EMA30" s="911"/>
      <c r="EMB30" s="910"/>
      <c r="EMC30" s="910"/>
      <c r="EMD30" s="910"/>
      <c r="EME30" s="910"/>
      <c r="EMF30" s="910"/>
      <c r="EMG30" s="910"/>
      <c r="EMH30" s="910"/>
      <c r="EMI30" s="910"/>
      <c r="EMJ30" s="910"/>
      <c r="EMK30" s="911"/>
      <c r="EML30" s="911"/>
      <c r="EMM30" s="910"/>
      <c r="EMN30" s="910"/>
      <c r="EMO30" s="910"/>
      <c r="EMP30" s="910"/>
      <c r="EMQ30" s="910"/>
      <c r="EMR30" s="910"/>
      <c r="EMS30" s="910"/>
      <c r="EMT30" s="910"/>
      <c r="EMU30" s="910"/>
      <c r="EMV30" s="911"/>
      <c r="EMW30" s="911"/>
      <c r="EMX30" s="910"/>
      <c r="EMY30" s="910"/>
      <c r="EMZ30" s="910"/>
      <c r="ENA30" s="910"/>
      <c r="ENB30" s="910"/>
      <c r="ENC30" s="910"/>
      <c r="END30" s="910"/>
      <c r="ENE30" s="910"/>
      <c r="ENF30" s="910"/>
      <c r="ENG30" s="911"/>
      <c r="ENH30" s="911"/>
      <c r="ENI30" s="910"/>
      <c r="ENJ30" s="910"/>
      <c r="ENK30" s="910"/>
      <c r="ENL30" s="910"/>
      <c r="ENM30" s="910"/>
      <c r="ENN30" s="910"/>
      <c r="ENO30" s="910"/>
      <c r="ENP30" s="910"/>
      <c r="ENQ30" s="910"/>
      <c r="ENR30" s="911"/>
      <c r="ENS30" s="911"/>
      <c r="ENT30" s="910"/>
      <c r="ENU30" s="910"/>
      <c r="ENV30" s="910"/>
      <c r="ENW30" s="910"/>
      <c r="ENX30" s="910"/>
      <c r="ENY30" s="910"/>
      <c r="ENZ30" s="910"/>
      <c r="EOA30" s="910"/>
      <c r="EOB30" s="910"/>
      <c r="EOC30" s="911"/>
      <c r="EOD30" s="911"/>
      <c r="EOE30" s="910"/>
      <c r="EOF30" s="910"/>
      <c r="EOG30" s="910"/>
      <c r="EOH30" s="910"/>
      <c r="EOI30" s="910"/>
      <c r="EOJ30" s="910"/>
      <c r="EOK30" s="910"/>
      <c r="EOL30" s="910"/>
      <c r="EOM30" s="910"/>
      <c r="EON30" s="911"/>
      <c r="EOO30" s="911"/>
      <c r="EOP30" s="910"/>
      <c r="EOQ30" s="910"/>
      <c r="EOR30" s="910"/>
      <c r="EOS30" s="910"/>
      <c r="EOT30" s="910"/>
      <c r="EOU30" s="910"/>
      <c r="EOV30" s="910"/>
      <c r="EOW30" s="910"/>
      <c r="EOX30" s="910"/>
      <c r="EOY30" s="911"/>
      <c r="EOZ30" s="911"/>
      <c r="EPA30" s="910"/>
      <c r="EPB30" s="910"/>
      <c r="EPC30" s="910"/>
      <c r="EPD30" s="910"/>
      <c r="EPE30" s="910"/>
      <c r="EPF30" s="910"/>
      <c r="EPG30" s="910"/>
      <c r="EPH30" s="910"/>
      <c r="EPI30" s="910"/>
      <c r="EPJ30" s="911"/>
      <c r="EPK30" s="911"/>
      <c r="EPL30" s="910"/>
      <c r="EPM30" s="910"/>
      <c r="EPN30" s="910"/>
      <c r="EPO30" s="910"/>
      <c r="EPP30" s="910"/>
      <c r="EPQ30" s="910"/>
      <c r="EPR30" s="910"/>
      <c r="EPS30" s="910"/>
      <c r="EPT30" s="910"/>
      <c r="EPU30" s="911"/>
      <c r="EPV30" s="911"/>
      <c r="EPW30" s="910"/>
      <c r="EPX30" s="910"/>
      <c r="EPY30" s="910"/>
      <c r="EPZ30" s="910"/>
      <c r="EQA30" s="910"/>
      <c r="EQB30" s="910"/>
      <c r="EQC30" s="910"/>
      <c r="EQD30" s="910"/>
      <c r="EQE30" s="910"/>
      <c r="EQF30" s="911"/>
      <c r="EQG30" s="911"/>
      <c r="EQH30" s="910"/>
      <c r="EQI30" s="910"/>
      <c r="EQJ30" s="910"/>
      <c r="EQK30" s="910"/>
      <c r="EQL30" s="910"/>
      <c r="EQM30" s="910"/>
      <c r="EQN30" s="910"/>
      <c r="EQO30" s="910"/>
      <c r="EQP30" s="910"/>
      <c r="EQQ30" s="911"/>
      <c r="EQR30" s="911"/>
      <c r="EQS30" s="910"/>
      <c r="EQT30" s="910"/>
      <c r="EQU30" s="910"/>
      <c r="EQV30" s="910"/>
      <c r="EQW30" s="910"/>
      <c r="EQX30" s="910"/>
      <c r="EQY30" s="910"/>
      <c r="EQZ30" s="910"/>
      <c r="ERA30" s="910"/>
      <c r="ERB30" s="911"/>
      <c r="ERC30" s="911"/>
      <c r="ERD30" s="910"/>
      <c r="ERE30" s="910"/>
      <c r="ERF30" s="910"/>
      <c r="ERG30" s="910"/>
      <c r="ERH30" s="910"/>
      <c r="ERI30" s="910"/>
      <c r="ERJ30" s="910"/>
      <c r="ERK30" s="910"/>
      <c r="ERL30" s="910"/>
      <c r="ERM30" s="911"/>
      <c r="ERN30" s="911"/>
      <c r="ERO30" s="910"/>
      <c r="ERP30" s="910"/>
      <c r="ERQ30" s="910"/>
      <c r="ERR30" s="910"/>
      <c r="ERS30" s="910"/>
      <c r="ERT30" s="910"/>
      <c r="ERU30" s="910"/>
      <c r="ERV30" s="910"/>
      <c r="ERW30" s="910"/>
      <c r="ERX30" s="911"/>
      <c r="ERY30" s="911"/>
      <c r="ERZ30" s="910"/>
      <c r="ESA30" s="910"/>
      <c r="ESB30" s="910"/>
      <c r="ESC30" s="910"/>
      <c r="ESD30" s="910"/>
      <c r="ESE30" s="910"/>
      <c r="ESF30" s="910"/>
      <c r="ESG30" s="910"/>
      <c r="ESH30" s="910"/>
      <c r="ESI30" s="911"/>
      <c r="ESJ30" s="911"/>
      <c r="ESK30" s="910"/>
      <c r="ESL30" s="910"/>
      <c r="ESM30" s="910"/>
      <c r="ESN30" s="910"/>
      <c r="ESO30" s="910"/>
      <c r="ESP30" s="910"/>
      <c r="ESQ30" s="910"/>
      <c r="ESR30" s="910"/>
      <c r="ESS30" s="910"/>
      <c r="EST30" s="911"/>
      <c r="ESU30" s="911"/>
      <c r="ESV30" s="910"/>
      <c r="ESW30" s="910"/>
      <c r="ESX30" s="910"/>
      <c r="ESY30" s="910"/>
      <c r="ESZ30" s="910"/>
      <c r="ETA30" s="910"/>
      <c r="ETB30" s="910"/>
      <c r="ETC30" s="910"/>
      <c r="ETD30" s="910"/>
      <c r="ETE30" s="911"/>
      <c r="ETF30" s="911"/>
      <c r="ETG30" s="910"/>
      <c r="ETH30" s="910"/>
      <c r="ETI30" s="910"/>
      <c r="ETJ30" s="910"/>
      <c r="ETK30" s="910"/>
      <c r="ETL30" s="910"/>
      <c r="ETM30" s="910"/>
      <c r="ETN30" s="910"/>
      <c r="ETO30" s="910"/>
      <c r="ETP30" s="911"/>
      <c r="ETQ30" s="911"/>
      <c r="ETR30" s="910"/>
      <c r="ETS30" s="910"/>
      <c r="ETT30" s="910"/>
      <c r="ETU30" s="910"/>
      <c r="ETV30" s="910"/>
      <c r="ETW30" s="910"/>
      <c r="ETX30" s="910"/>
      <c r="ETY30" s="910"/>
      <c r="ETZ30" s="910"/>
      <c r="EUA30" s="911"/>
      <c r="EUB30" s="911"/>
      <c r="EUC30" s="910"/>
      <c r="EUD30" s="910"/>
      <c r="EUE30" s="910"/>
      <c r="EUF30" s="910"/>
      <c r="EUG30" s="910"/>
      <c r="EUH30" s="910"/>
      <c r="EUI30" s="910"/>
      <c r="EUJ30" s="910"/>
      <c r="EUK30" s="910"/>
      <c r="EUL30" s="911"/>
      <c r="EUM30" s="911"/>
      <c r="EUN30" s="910"/>
      <c r="EUO30" s="910"/>
      <c r="EUP30" s="910"/>
      <c r="EUQ30" s="910"/>
      <c r="EUR30" s="910"/>
      <c r="EUS30" s="910"/>
      <c r="EUT30" s="910"/>
      <c r="EUU30" s="910"/>
      <c r="EUV30" s="910"/>
      <c r="EUW30" s="911"/>
      <c r="EUX30" s="911"/>
      <c r="EUY30" s="910"/>
      <c r="EUZ30" s="910"/>
      <c r="EVA30" s="910"/>
      <c r="EVB30" s="910"/>
      <c r="EVC30" s="910"/>
      <c r="EVD30" s="910"/>
      <c r="EVE30" s="910"/>
      <c r="EVF30" s="910"/>
      <c r="EVG30" s="910"/>
      <c r="EVH30" s="911"/>
      <c r="EVI30" s="911"/>
      <c r="EVJ30" s="910"/>
      <c r="EVK30" s="910"/>
      <c r="EVL30" s="910"/>
      <c r="EVM30" s="910"/>
      <c r="EVN30" s="910"/>
      <c r="EVO30" s="910"/>
      <c r="EVP30" s="910"/>
      <c r="EVQ30" s="910"/>
      <c r="EVR30" s="910"/>
      <c r="EVS30" s="911"/>
      <c r="EVT30" s="911"/>
      <c r="EVU30" s="910"/>
      <c r="EVV30" s="910"/>
      <c r="EVW30" s="910"/>
      <c r="EVX30" s="910"/>
      <c r="EVY30" s="910"/>
      <c r="EVZ30" s="910"/>
      <c r="EWA30" s="910"/>
      <c r="EWB30" s="910"/>
      <c r="EWC30" s="910"/>
      <c r="EWD30" s="911"/>
      <c r="EWE30" s="911"/>
      <c r="EWF30" s="910"/>
      <c r="EWG30" s="910"/>
      <c r="EWH30" s="910"/>
      <c r="EWI30" s="910"/>
      <c r="EWJ30" s="910"/>
      <c r="EWK30" s="910"/>
      <c r="EWL30" s="910"/>
      <c r="EWM30" s="910"/>
      <c r="EWN30" s="910"/>
      <c r="EWO30" s="911"/>
      <c r="EWP30" s="911"/>
      <c r="EWQ30" s="910"/>
      <c r="EWR30" s="910"/>
      <c r="EWS30" s="910"/>
      <c r="EWT30" s="910"/>
      <c r="EWU30" s="910"/>
      <c r="EWV30" s="910"/>
      <c r="EWW30" s="910"/>
      <c r="EWX30" s="910"/>
      <c r="EWY30" s="910"/>
      <c r="EWZ30" s="911"/>
      <c r="EXA30" s="911"/>
      <c r="EXB30" s="910"/>
      <c r="EXC30" s="910"/>
      <c r="EXD30" s="910"/>
      <c r="EXE30" s="910"/>
      <c r="EXF30" s="910"/>
      <c r="EXG30" s="910"/>
      <c r="EXH30" s="910"/>
      <c r="EXI30" s="910"/>
      <c r="EXJ30" s="910"/>
      <c r="EXK30" s="911"/>
      <c r="EXL30" s="911"/>
      <c r="EXM30" s="910"/>
      <c r="EXN30" s="910"/>
      <c r="EXO30" s="910"/>
      <c r="EXP30" s="910"/>
      <c r="EXQ30" s="910"/>
      <c r="EXR30" s="910"/>
      <c r="EXS30" s="910"/>
      <c r="EXT30" s="910"/>
      <c r="EXU30" s="910"/>
      <c r="EXV30" s="911"/>
      <c r="EXW30" s="911"/>
      <c r="EXX30" s="910"/>
      <c r="EXY30" s="910"/>
      <c r="EXZ30" s="910"/>
      <c r="EYA30" s="910"/>
      <c r="EYB30" s="910"/>
      <c r="EYC30" s="910"/>
      <c r="EYD30" s="910"/>
      <c r="EYE30" s="910"/>
      <c r="EYF30" s="910"/>
      <c r="EYG30" s="911"/>
      <c r="EYH30" s="911"/>
      <c r="EYI30" s="910"/>
      <c r="EYJ30" s="910"/>
      <c r="EYK30" s="910"/>
      <c r="EYL30" s="910"/>
      <c r="EYM30" s="910"/>
      <c r="EYN30" s="910"/>
      <c r="EYO30" s="910"/>
      <c r="EYP30" s="910"/>
      <c r="EYQ30" s="910"/>
      <c r="EYR30" s="911"/>
      <c r="EYS30" s="911"/>
      <c r="EYT30" s="910"/>
      <c r="EYU30" s="910"/>
      <c r="EYV30" s="910"/>
      <c r="EYW30" s="910"/>
      <c r="EYX30" s="910"/>
      <c r="EYY30" s="910"/>
      <c r="EYZ30" s="910"/>
      <c r="EZA30" s="910"/>
      <c r="EZB30" s="910"/>
      <c r="EZC30" s="911"/>
      <c r="EZD30" s="911"/>
      <c r="EZE30" s="910"/>
      <c r="EZF30" s="910"/>
      <c r="EZG30" s="910"/>
      <c r="EZH30" s="910"/>
      <c r="EZI30" s="910"/>
      <c r="EZJ30" s="910"/>
      <c r="EZK30" s="910"/>
      <c r="EZL30" s="910"/>
      <c r="EZM30" s="910"/>
      <c r="EZN30" s="911"/>
      <c r="EZO30" s="911"/>
      <c r="EZP30" s="910"/>
      <c r="EZQ30" s="910"/>
      <c r="EZR30" s="910"/>
      <c r="EZS30" s="910"/>
      <c r="EZT30" s="910"/>
      <c r="EZU30" s="910"/>
      <c r="EZV30" s="910"/>
      <c r="EZW30" s="910"/>
      <c r="EZX30" s="910"/>
      <c r="EZY30" s="911"/>
      <c r="EZZ30" s="911"/>
      <c r="FAA30" s="910"/>
      <c r="FAB30" s="910"/>
      <c r="FAC30" s="910"/>
      <c r="FAD30" s="910"/>
      <c r="FAE30" s="910"/>
      <c r="FAF30" s="910"/>
      <c r="FAG30" s="910"/>
      <c r="FAH30" s="910"/>
      <c r="FAI30" s="910"/>
      <c r="FAJ30" s="911"/>
      <c r="FAK30" s="911"/>
      <c r="FAL30" s="910"/>
      <c r="FAM30" s="910"/>
      <c r="FAN30" s="910"/>
      <c r="FAO30" s="910"/>
      <c r="FAP30" s="910"/>
      <c r="FAQ30" s="910"/>
      <c r="FAR30" s="910"/>
      <c r="FAS30" s="910"/>
      <c r="FAT30" s="910"/>
      <c r="FAU30" s="911"/>
      <c r="FAV30" s="911"/>
      <c r="FAW30" s="910"/>
      <c r="FAX30" s="910"/>
      <c r="FAY30" s="910"/>
      <c r="FAZ30" s="910"/>
      <c r="FBA30" s="910"/>
      <c r="FBB30" s="910"/>
      <c r="FBC30" s="910"/>
      <c r="FBD30" s="910"/>
      <c r="FBE30" s="910"/>
      <c r="FBF30" s="911"/>
      <c r="FBG30" s="911"/>
      <c r="FBH30" s="910"/>
      <c r="FBI30" s="910"/>
      <c r="FBJ30" s="910"/>
      <c r="FBK30" s="910"/>
      <c r="FBL30" s="910"/>
      <c r="FBM30" s="910"/>
      <c r="FBN30" s="910"/>
      <c r="FBO30" s="910"/>
      <c r="FBP30" s="910"/>
      <c r="FBQ30" s="911"/>
      <c r="FBR30" s="911"/>
      <c r="FBS30" s="910"/>
      <c r="FBT30" s="910"/>
      <c r="FBU30" s="910"/>
      <c r="FBV30" s="910"/>
      <c r="FBW30" s="910"/>
      <c r="FBX30" s="910"/>
      <c r="FBY30" s="910"/>
      <c r="FBZ30" s="910"/>
      <c r="FCA30" s="910"/>
      <c r="FCB30" s="911"/>
      <c r="FCC30" s="911"/>
      <c r="FCD30" s="910"/>
      <c r="FCE30" s="910"/>
      <c r="FCF30" s="910"/>
      <c r="FCG30" s="910"/>
      <c r="FCH30" s="910"/>
      <c r="FCI30" s="910"/>
      <c r="FCJ30" s="910"/>
      <c r="FCK30" s="910"/>
      <c r="FCL30" s="910"/>
      <c r="FCM30" s="911"/>
      <c r="FCN30" s="911"/>
      <c r="FCO30" s="910"/>
      <c r="FCP30" s="910"/>
      <c r="FCQ30" s="910"/>
      <c r="FCR30" s="910"/>
      <c r="FCS30" s="910"/>
      <c r="FCT30" s="910"/>
      <c r="FCU30" s="910"/>
      <c r="FCV30" s="910"/>
      <c r="FCW30" s="910"/>
      <c r="FCX30" s="911"/>
      <c r="FCY30" s="911"/>
      <c r="FCZ30" s="910"/>
      <c r="FDA30" s="910"/>
      <c r="FDB30" s="910"/>
      <c r="FDC30" s="910"/>
      <c r="FDD30" s="910"/>
      <c r="FDE30" s="910"/>
      <c r="FDF30" s="910"/>
      <c r="FDG30" s="910"/>
      <c r="FDH30" s="910"/>
      <c r="FDI30" s="911"/>
      <c r="FDJ30" s="911"/>
      <c r="FDK30" s="910"/>
      <c r="FDL30" s="910"/>
      <c r="FDM30" s="910"/>
      <c r="FDN30" s="910"/>
      <c r="FDO30" s="910"/>
      <c r="FDP30" s="910"/>
      <c r="FDQ30" s="910"/>
      <c r="FDR30" s="910"/>
      <c r="FDS30" s="910"/>
      <c r="FDT30" s="911"/>
      <c r="FDU30" s="911"/>
      <c r="FDV30" s="910"/>
      <c r="FDW30" s="910"/>
      <c r="FDX30" s="910"/>
      <c r="FDY30" s="910"/>
      <c r="FDZ30" s="910"/>
      <c r="FEA30" s="910"/>
      <c r="FEB30" s="910"/>
      <c r="FEC30" s="910"/>
      <c r="FED30" s="910"/>
      <c r="FEE30" s="911"/>
      <c r="FEF30" s="911"/>
      <c r="FEG30" s="910"/>
      <c r="FEH30" s="910"/>
      <c r="FEI30" s="910"/>
      <c r="FEJ30" s="910"/>
      <c r="FEK30" s="910"/>
      <c r="FEL30" s="910"/>
      <c r="FEM30" s="910"/>
      <c r="FEN30" s="910"/>
      <c r="FEO30" s="910"/>
      <c r="FEP30" s="911"/>
      <c r="FEQ30" s="911"/>
      <c r="FER30" s="910"/>
      <c r="FES30" s="910"/>
      <c r="FET30" s="910"/>
      <c r="FEU30" s="910"/>
      <c r="FEV30" s="910"/>
      <c r="FEW30" s="910"/>
      <c r="FEX30" s="910"/>
      <c r="FEY30" s="910"/>
      <c r="FEZ30" s="910"/>
      <c r="FFA30" s="911"/>
      <c r="FFB30" s="911"/>
      <c r="FFC30" s="910"/>
      <c r="FFD30" s="910"/>
      <c r="FFE30" s="910"/>
      <c r="FFF30" s="910"/>
      <c r="FFG30" s="910"/>
      <c r="FFH30" s="910"/>
      <c r="FFI30" s="910"/>
      <c r="FFJ30" s="910"/>
      <c r="FFK30" s="910"/>
      <c r="FFL30" s="911"/>
      <c r="FFM30" s="911"/>
      <c r="FFN30" s="910"/>
      <c r="FFO30" s="910"/>
      <c r="FFP30" s="910"/>
      <c r="FFQ30" s="910"/>
      <c r="FFR30" s="910"/>
      <c r="FFS30" s="910"/>
      <c r="FFT30" s="910"/>
      <c r="FFU30" s="910"/>
      <c r="FFV30" s="910"/>
      <c r="FFW30" s="911"/>
      <c r="FFX30" s="911"/>
      <c r="FFY30" s="910"/>
      <c r="FFZ30" s="910"/>
      <c r="FGA30" s="910"/>
      <c r="FGB30" s="910"/>
      <c r="FGC30" s="910"/>
      <c r="FGD30" s="910"/>
      <c r="FGE30" s="910"/>
      <c r="FGF30" s="910"/>
      <c r="FGG30" s="910"/>
      <c r="FGH30" s="911"/>
      <c r="FGI30" s="911"/>
      <c r="FGJ30" s="910"/>
      <c r="FGK30" s="910"/>
      <c r="FGL30" s="910"/>
      <c r="FGM30" s="910"/>
      <c r="FGN30" s="910"/>
      <c r="FGO30" s="910"/>
      <c r="FGP30" s="910"/>
      <c r="FGQ30" s="910"/>
      <c r="FGR30" s="910"/>
      <c r="FGS30" s="911"/>
      <c r="FGT30" s="911"/>
      <c r="FGU30" s="910"/>
      <c r="FGV30" s="910"/>
      <c r="FGW30" s="910"/>
      <c r="FGX30" s="910"/>
      <c r="FGY30" s="910"/>
      <c r="FGZ30" s="910"/>
      <c r="FHA30" s="910"/>
      <c r="FHB30" s="910"/>
      <c r="FHC30" s="910"/>
      <c r="FHD30" s="911"/>
      <c r="FHE30" s="911"/>
      <c r="FHF30" s="910"/>
      <c r="FHG30" s="910"/>
      <c r="FHH30" s="910"/>
      <c r="FHI30" s="910"/>
      <c r="FHJ30" s="910"/>
      <c r="FHK30" s="910"/>
      <c r="FHL30" s="910"/>
      <c r="FHM30" s="910"/>
      <c r="FHN30" s="910"/>
      <c r="FHO30" s="911"/>
      <c r="FHP30" s="911"/>
      <c r="FHQ30" s="910"/>
      <c r="FHR30" s="910"/>
      <c r="FHS30" s="910"/>
      <c r="FHT30" s="910"/>
      <c r="FHU30" s="910"/>
      <c r="FHV30" s="910"/>
      <c r="FHW30" s="910"/>
      <c r="FHX30" s="910"/>
      <c r="FHY30" s="910"/>
      <c r="FHZ30" s="911"/>
      <c r="FIA30" s="911"/>
      <c r="FIB30" s="910"/>
      <c r="FIC30" s="910"/>
      <c r="FID30" s="910"/>
      <c r="FIE30" s="910"/>
      <c r="FIF30" s="910"/>
      <c r="FIG30" s="910"/>
      <c r="FIH30" s="910"/>
      <c r="FII30" s="910"/>
      <c r="FIJ30" s="910"/>
      <c r="FIK30" s="911"/>
      <c r="FIL30" s="911"/>
      <c r="FIM30" s="910"/>
      <c r="FIN30" s="910"/>
      <c r="FIO30" s="910"/>
      <c r="FIP30" s="910"/>
      <c r="FIQ30" s="910"/>
      <c r="FIR30" s="910"/>
      <c r="FIS30" s="910"/>
      <c r="FIT30" s="910"/>
      <c r="FIU30" s="910"/>
      <c r="FIV30" s="911"/>
      <c r="FIW30" s="911"/>
      <c r="FIX30" s="910"/>
      <c r="FIY30" s="910"/>
      <c r="FIZ30" s="910"/>
      <c r="FJA30" s="910"/>
      <c r="FJB30" s="910"/>
      <c r="FJC30" s="910"/>
      <c r="FJD30" s="910"/>
      <c r="FJE30" s="910"/>
      <c r="FJF30" s="910"/>
      <c r="FJG30" s="911"/>
      <c r="FJH30" s="911"/>
      <c r="FJI30" s="910"/>
      <c r="FJJ30" s="910"/>
      <c r="FJK30" s="910"/>
      <c r="FJL30" s="910"/>
      <c r="FJM30" s="910"/>
      <c r="FJN30" s="910"/>
      <c r="FJO30" s="910"/>
      <c r="FJP30" s="910"/>
      <c r="FJQ30" s="910"/>
      <c r="FJR30" s="911"/>
      <c r="FJS30" s="911"/>
      <c r="FJT30" s="910"/>
      <c r="FJU30" s="910"/>
      <c r="FJV30" s="910"/>
      <c r="FJW30" s="910"/>
      <c r="FJX30" s="910"/>
      <c r="FJY30" s="910"/>
      <c r="FJZ30" s="910"/>
      <c r="FKA30" s="910"/>
      <c r="FKB30" s="910"/>
      <c r="FKC30" s="911"/>
      <c r="FKD30" s="911"/>
      <c r="FKE30" s="910"/>
      <c r="FKF30" s="910"/>
      <c r="FKG30" s="910"/>
      <c r="FKH30" s="910"/>
      <c r="FKI30" s="910"/>
      <c r="FKJ30" s="910"/>
      <c r="FKK30" s="910"/>
      <c r="FKL30" s="910"/>
      <c r="FKM30" s="910"/>
      <c r="FKN30" s="911"/>
      <c r="FKO30" s="911"/>
      <c r="FKP30" s="910"/>
      <c r="FKQ30" s="910"/>
      <c r="FKR30" s="910"/>
      <c r="FKS30" s="910"/>
      <c r="FKT30" s="910"/>
      <c r="FKU30" s="910"/>
      <c r="FKV30" s="910"/>
      <c r="FKW30" s="910"/>
      <c r="FKX30" s="910"/>
      <c r="FKY30" s="911"/>
      <c r="FKZ30" s="911"/>
      <c r="FLA30" s="910"/>
      <c r="FLB30" s="910"/>
      <c r="FLC30" s="910"/>
      <c r="FLD30" s="910"/>
      <c r="FLE30" s="910"/>
      <c r="FLF30" s="910"/>
      <c r="FLG30" s="910"/>
      <c r="FLH30" s="910"/>
      <c r="FLI30" s="910"/>
      <c r="FLJ30" s="911"/>
      <c r="FLK30" s="911"/>
      <c r="FLL30" s="910"/>
      <c r="FLM30" s="910"/>
      <c r="FLN30" s="910"/>
      <c r="FLO30" s="910"/>
      <c r="FLP30" s="910"/>
      <c r="FLQ30" s="910"/>
      <c r="FLR30" s="910"/>
      <c r="FLS30" s="910"/>
      <c r="FLT30" s="910"/>
      <c r="FLU30" s="911"/>
      <c r="FLV30" s="911"/>
      <c r="FLW30" s="910"/>
      <c r="FLX30" s="910"/>
      <c r="FLY30" s="910"/>
      <c r="FLZ30" s="910"/>
      <c r="FMA30" s="910"/>
      <c r="FMB30" s="910"/>
      <c r="FMC30" s="910"/>
      <c r="FMD30" s="910"/>
      <c r="FME30" s="910"/>
      <c r="FMF30" s="911"/>
      <c r="FMG30" s="911"/>
      <c r="FMH30" s="910"/>
      <c r="FMI30" s="910"/>
      <c r="FMJ30" s="910"/>
      <c r="FMK30" s="910"/>
      <c r="FML30" s="910"/>
      <c r="FMM30" s="910"/>
      <c r="FMN30" s="910"/>
      <c r="FMO30" s="910"/>
      <c r="FMP30" s="910"/>
      <c r="FMQ30" s="911"/>
      <c r="FMR30" s="911"/>
      <c r="FMS30" s="910"/>
      <c r="FMT30" s="910"/>
      <c r="FMU30" s="910"/>
      <c r="FMV30" s="910"/>
      <c r="FMW30" s="910"/>
      <c r="FMX30" s="910"/>
      <c r="FMY30" s="910"/>
      <c r="FMZ30" s="910"/>
      <c r="FNA30" s="910"/>
      <c r="FNB30" s="911"/>
      <c r="FNC30" s="911"/>
      <c r="FND30" s="910"/>
      <c r="FNE30" s="910"/>
      <c r="FNF30" s="910"/>
      <c r="FNG30" s="910"/>
      <c r="FNH30" s="910"/>
      <c r="FNI30" s="910"/>
      <c r="FNJ30" s="910"/>
      <c r="FNK30" s="910"/>
      <c r="FNL30" s="910"/>
      <c r="FNM30" s="911"/>
      <c r="FNN30" s="911"/>
      <c r="FNO30" s="910"/>
      <c r="FNP30" s="910"/>
      <c r="FNQ30" s="910"/>
      <c r="FNR30" s="910"/>
      <c r="FNS30" s="910"/>
      <c r="FNT30" s="910"/>
      <c r="FNU30" s="910"/>
      <c r="FNV30" s="910"/>
      <c r="FNW30" s="910"/>
      <c r="FNX30" s="911"/>
      <c r="FNY30" s="911"/>
      <c r="FNZ30" s="910"/>
      <c r="FOA30" s="910"/>
      <c r="FOB30" s="910"/>
      <c r="FOC30" s="910"/>
      <c r="FOD30" s="910"/>
      <c r="FOE30" s="910"/>
      <c r="FOF30" s="910"/>
      <c r="FOG30" s="910"/>
      <c r="FOH30" s="910"/>
      <c r="FOI30" s="911"/>
      <c r="FOJ30" s="911"/>
      <c r="FOK30" s="910"/>
      <c r="FOL30" s="910"/>
      <c r="FOM30" s="910"/>
      <c r="FON30" s="910"/>
      <c r="FOO30" s="910"/>
      <c r="FOP30" s="910"/>
      <c r="FOQ30" s="910"/>
      <c r="FOR30" s="910"/>
      <c r="FOS30" s="910"/>
      <c r="FOT30" s="911"/>
      <c r="FOU30" s="911"/>
      <c r="FOV30" s="910"/>
      <c r="FOW30" s="910"/>
      <c r="FOX30" s="910"/>
      <c r="FOY30" s="910"/>
      <c r="FOZ30" s="910"/>
      <c r="FPA30" s="910"/>
      <c r="FPB30" s="910"/>
      <c r="FPC30" s="910"/>
      <c r="FPD30" s="910"/>
      <c r="FPE30" s="911"/>
      <c r="FPF30" s="911"/>
      <c r="FPG30" s="910"/>
      <c r="FPH30" s="910"/>
      <c r="FPI30" s="910"/>
      <c r="FPJ30" s="910"/>
      <c r="FPK30" s="910"/>
      <c r="FPL30" s="910"/>
      <c r="FPM30" s="910"/>
      <c r="FPN30" s="910"/>
      <c r="FPO30" s="910"/>
      <c r="FPP30" s="911"/>
      <c r="FPQ30" s="911"/>
      <c r="FPR30" s="910"/>
      <c r="FPS30" s="910"/>
      <c r="FPT30" s="910"/>
      <c r="FPU30" s="910"/>
      <c r="FPV30" s="910"/>
      <c r="FPW30" s="910"/>
      <c r="FPX30" s="910"/>
      <c r="FPY30" s="910"/>
      <c r="FPZ30" s="910"/>
      <c r="FQA30" s="911"/>
      <c r="FQB30" s="911"/>
      <c r="FQC30" s="910"/>
      <c r="FQD30" s="910"/>
      <c r="FQE30" s="910"/>
      <c r="FQF30" s="910"/>
      <c r="FQG30" s="910"/>
      <c r="FQH30" s="910"/>
      <c r="FQI30" s="910"/>
      <c r="FQJ30" s="910"/>
      <c r="FQK30" s="910"/>
      <c r="FQL30" s="911"/>
      <c r="FQM30" s="911"/>
      <c r="FQN30" s="910"/>
      <c r="FQO30" s="910"/>
      <c r="FQP30" s="910"/>
      <c r="FQQ30" s="910"/>
      <c r="FQR30" s="910"/>
      <c r="FQS30" s="910"/>
      <c r="FQT30" s="910"/>
      <c r="FQU30" s="910"/>
      <c r="FQV30" s="910"/>
      <c r="FQW30" s="911"/>
      <c r="FQX30" s="911"/>
      <c r="FQY30" s="910"/>
      <c r="FQZ30" s="910"/>
      <c r="FRA30" s="910"/>
      <c r="FRB30" s="910"/>
      <c r="FRC30" s="910"/>
      <c r="FRD30" s="910"/>
      <c r="FRE30" s="910"/>
      <c r="FRF30" s="910"/>
      <c r="FRG30" s="910"/>
      <c r="FRH30" s="911"/>
      <c r="FRI30" s="911"/>
      <c r="FRJ30" s="910"/>
      <c r="FRK30" s="910"/>
      <c r="FRL30" s="910"/>
      <c r="FRM30" s="910"/>
      <c r="FRN30" s="910"/>
      <c r="FRO30" s="910"/>
      <c r="FRP30" s="910"/>
      <c r="FRQ30" s="910"/>
      <c r="FRR30" s="910"/>
      <c r="FRS30" s="911"/>
      <c r="FRT30" s="911"/>
      <c r="FRU30" s="910"/>
      <c r="FRV30" s="910"/>
      <c r="FRW30" s="910"/>
      <c r="FRX30" s="910"/>
      <c r="FRY30" s="910"/>
      <c r="FRZ30" s="910"/>
      <c r="FSA30" s="910"/>
      <c r="FSB30" s="910"/>
      <c r="FSC30" s="910"/>
      <c r="FSD30" s="911"/>
      <c r="FSE30" s="911"/>
      <c r="FSF30" s="910"/>
      <c r="FSG30" s="910"/>
      <c r="FSH30" s="910"/>
      <c r="FSI30" s="910"/>
      <c r="FSJ30" s="910"/>
      <c r="FSK30" s="910"/>
      <c r="FSL30" s="910"/>
      <c r="FSM30" s="910"/>
      <c r="FSN30" s="910"/>
      <c r="FSO30" s="911"/>
      <c r="FSP30" s="911"/>
      <c r="FSQ30" s="910"/>
      <c r="FSR30" s="910"/>
      <c r="FSS30" s="910"/>
      <c r="FST30" s="910"/>
      <c r="FSU30" s="910"/>
      <c r="FSV30" s="910"/>
      <c r="FSW30" s="910"/>
      <c r="FSX30" s="910"/>
      <c r="FSY30" s="910"/>
      <c r="FSZ30" s="911"/>
      <c r="FTA30" s="911"/>
      <c r="FTB30" s="910"/>
      <c r="FTC30" s="910"/>
      <c r="FTD30" s="910"/>
      <c r="FTE30" s="910"/>
      <c r="FTF30" s="910"/>
      <c r="FTG30" s="910"/>
      <c r="FTH30" s="910"/>
      <c r="FTI30" s="910"/>
      <c r="FTJ30" s="910"/>
      <c r="FTK30" s="911"/>
      <c r="FTL30" s="911"/>
      <c r="FTM30" s="910"/>
      <c r="FTN30" s="910"/>
      <c r="FTO30" s="910"/>
      <c r="FTP30" s="910"/>
      <c r="FTQ30" s="910"/>
      <c r="FTR30" s="910"/>
      <c r="FTS30" s="910"/>
      <c r="FTT30" s="910"/>
      <c r="FTU30" s="910"/>
      <c r="FTV30" s="911"/>
      <c r="FTW30" s="911"/>
      <c r="FTX30" s="910"/>
      <c r="FTY30" s="910"/>
      <c r="FTZ30" s="910"/>
      <c r="FUA30" s="910"/>
      <c r="FUB30" s="910"/>
      <c r="FUC30" s="910"/>
      <c r="FUD30" s="910"/>
      <c r="FUE30" s="910"/>
      <c r="FUF30" s="910"/>
      <c r="FUG30" s="911"/>
      <c r="FUH30" s="911"/>
      <c r="FUI30" s="910"/>
      <c r="FUJ30" s="910"/>
      <c r="FUK30" s="910"/>
      <c r="FUL30" s="910"/>
      <c r="FUM30" s="910"/>
      <c r="FUN30" s="910"/>
      <c r="FUO30" s="910"/>
      <c r="FUP30" s="910"/>
      <c r="FUQ30" s="910"/>
      <c r="FUR30" s="911"/>
      <c r="FUS30" s="911"/>
      <c r="FUT30" s="910"/>
      <c r="FUU30" s="910"/>
      <c r="FUV30" s="910"/>
      <c r="FUW30" s="910"/>
      <c r="FUX30" s="910"/>
      <c r="FUY30" s="910"/>
      <c r="FUZ30" s="910"/>
      <c r="FVA30" s="910"/>
      <c r="FVB30" s="910"/>
      <c r="FVC30" s="911"/>
      <c r="FVD30" s="911"/>
      <c r="FVE30" s="910"/>
      <c r="FVF30" s="910"/>
      <c r="FVG30" s="910"/>
      <c r="FVH30" s="910"/>
      <c r="FVI30" s="910"/>
      <c r="FVJ30" s="910"/>
      <c r="FVK30" s="910"/>
      <c r="FVL30" s="910"/>
      <c r="FVM30" s="910"/>
      <c r="FVN30" s="911"/>
      <c r="FVO30" s="911"/>
      <c r="FVP30" s="910"/>
      <c r="FVQ30" s="910"/>
      <c r="FVR30" s="910"/>
      <c r="FVS30" s="910"/>
      <c r="FVT30" s="910"/>
      <c r="FVU30" s="910"/>
      <c r="FVV30" s="910"/>
      <c r="FVW30" s="910"/>
      <c r="FVX30" s="910"/>
      <c r="FVY30" s="911"/>
      <c r="FVZ30" s="911"/>
      <c r="FWA30" s="910"/>
      <c r="FWB30" s="910"/>
      <c r="FWC30" s="910"/>
      <c r="FWD30" s="910"/>
      <c r="FWE30" s="910"/>
      <c r="FWF30" s="910"/>
      <c r="FWG30" s="910"/>
      <c r="FWH30" s="910"/>
      <c r="FWI30" s="910"/>
      <c r="FWJ30" s="911"/>
      <c r="FWK30" s="911"/>
      <c r="FWL30" s="910"/>
      <c r="FWM30" s="910"/>
      <c r="FWN30" s="910"/>
      <c r="FWO30" s="910"/>
      <c r="FWP30" s="910"/>
      <c r="FWQ30" s="910"/>
      <c r="FWR30" s="910"/>
      <c r="FWS30" s="910"/>
      <c r="FWT30" s="910"/>
      <c r="FWU30" s="911"/>
      <c r="FWV30" s="911"/>
      <c r="FWW30" s="910"/>
      <c r="FWX30" s="910"/>
      <c r="FWY30" s="910"/>
      <c r="FWZ30" s="910"/>
      <c r="FXA30" s="910"/>
      <c r="FXB30" s="910"/>
      <c r="FXC30" s="910"/>
      <c r="FXD30" s="910"/>
      <c r="FXE30" s="910"/>
      <c r="FXF30" s="911"/>
      <c r="FXG30" s="911"/>
      <c r="FXH30" s="910"/>
      <c r="FXI30" s="910"/>
      <c r="FXJ30" s="910"/>
      <c r="FXK30" s="910"/>
      <c r="FXL30" s="910"/>
      <c r="FXM30" s="910"/>
      <c r="FXN30" s="910"/>
      <c r="FXO30" s="910"/>
      <c r="FXP30" s="910"/>
      <c r="FXQ30" s="911"/>
      <c r="FXR30" s="911"/>
      <c r="FXS30" s="910"/>
      <c r="FXT30" s="910"/>
      <c r="FXU30" s="910"/>
      <c r="FXV30" s="910"/>
      <c r="FXW30" s="910"/>
      <c r="FXX30" s="910"/>
      <c r="FXY30" s="910"/>
      <c r="FXZ30" s="910"/>
      <c r="FYA30" s="910"/>
      <c r="FYB30" s="911"/>
      <c r="FYC30" s="911"/>
      <c r="FYD30" s="910"/>
      <c r="FYE30" s="910"/>
      <c r="FYF30" s="910"/>
      <c r="FYG30" s="910"/>
      <c r="FYH30" s="910"/>
      <c r="FYI30" s="910"/>
      <c r="FYJ30" s="910"/>
      <c r="FYK30" s="910"/>
      <c r="FYL30" s="910"/>
      <c r="FYM30" s="911"/>
      <c r="FYN30" s="911"/>
      <c r="FYO30" s="910"/>
      <c r="FYP30" s="910"/>
      <c r="FYQ30" s="910"/>
      <c r="FYR30" s="910"/>
      <c r="FYS30" s="910"/>
      <c r="FYT30" s="910"/>
      <c r="FYU30" s="910"/>
      <c r="FYV30" s="910"/>
      <c r="FYW30" s="910"/>
      <c r="FYX30" s="911"/>
      <c r="FYY30" s="911"/>
      <c r="FYZ30" s="910"/>
      <c r="FZA30" s="910"/>
      <c r="FZB30" s="910"/>
      <c r="FZC30" s="910"/>
      <c r="FZD30" s="910"/>
      <c r="FZE30" s="910"/>
      <c r="FZF30" s="910"/>
      <c r="FZG30" s="910"/>
      <c r="FZH30" s="910"/>
      <c r="FZI30" s="911"/>
      <c r="FZJ30" s="911"/>
      <c r="FZK30" s="910"/>
      <c r="FZL30" s="910"/>
      <c r="FZM30" s="910"/>
      <c r="FZN30" s="910"/>
      <c r="FZO30" s="910"/>
      <c r="FZP30" s="910"/>
      <c r="FZQ30" s="910"/>
      <c r="FZR30" s="910"/>
      <c r="FZS30" s="910"/>
      <c r="FZT30" s="911"/>
      <c r="FZU30" s="911"/>
      <c r="FZV30" s="910"/>
      <c r="FZW30" s="910"/>
      <c r="FZX30" s="910"/>
      <c r="FZY30" s="910"/>
      <c r="FZZ30" s="910"/>
      <c r="GAA30" s="910"/>
      <c r="GAB30" s="910"/>
      <c r="GAC30" s="910"/>
      <c r="GAD30" s="910"/>
      <c r="GAE30" s="911"/>
      <c r="GAF30" s="911"/>
      <c r="GAG30" s="910"/>
      <c r="GAH30" s="910"/>
      <c r="GAI30" s="910"/>
      <c r="GAJ30" s="910"/>
      <c r="GAK30" s="910"/>
      <c r="GAL30" s="910"/>
      <c r="GAM30" s="910"/>
      <c r="GAN30" s="910"/>
      <c r="GAO30" s="910"/>
      <c r="GAP30" s="911"/>
      <c r="GAQ30" s="911"/>
      <c r="GAR30" s="910"/>
      <c r="GAS30" s="910"/>
      <c r="GAT30" s="910"/>
      <c r="GAU30" s="910"/>
      <c r="GAV30" s="910"/>
      <c r="GAW30" s="910"/>
      <c r="GAX30" s="910"/>
      <c r="GAY30" s="910"/>
      <c r="GAZ30" s="910"/>
      <c r="GBA30" s="911"/>
      <c r="GBB30" s="911"/>
      <c r="GBC30" s="910"/>
      <c r="GBD30" s="910"/>
      <c r="GBE30" s="910"/>
      <c r="GBF30" s="910"/>
      <c r="GBG30" s="910"/>
      <c r="GBH30" s="910"/>
      <c r="GBI30" s="910"/>
      <c r="GBJ30" s="910"/>
      <c r="GBK30" s="910"/>
      <c r="GBL30" s="911"/>
      <c r="GBM30" s="911"/>
      <c r="GBN30" s="910"/>
      <c r="GBO30" s="910"/>
      <c r="GBP30" s="910"/>
      <c r="GBQ30" s="910"/>
      <c r="GBR30" s="910"/>
      <c r="GBS30" s="910"/>
      <c r="GBT30" s="910"/>
      <c r="GBU30" s="910"/>
      <c r="GBV30" s="910"/>
      <c r="GBW30" s="911"/>
      <c r="GBX30" s="911"/>
      <c r="GBY30" s="910"/>
      <c r="GBZ30" s="910"/>
      <c r="GCA30" s="910"/>
      <c r="GCB30" s="910"/>
      <c r="GCC30" s="910"/>
      <c r="GCD30" s="910"/>
      <c r="GCE30" s="910"/>
      <c r="GCF30" s="910"/>
      <c r="GCG30" s="910"/>
      <c r="GCH30" s="911"/>
      <c r="GCI30" s="911"/>
      <c r="GCJ30" s="910"/>
      <c r="GCK30" s="910"/>
      <c r="GCL30" s="910"/>
      <c r="GCM30" s="910"/>
      <c r="GCN30" s="910"/>
      <c r="GCO30" s="910"/>
      <c r="GCP30" s="910"/>
      <c r="GCQ30" s="910"/>
      <c r="GCR30" s="910"/>
      <c r="GCS30" s="911"/>
      <c r="GCT30" s="911"/>
      <c r="GCU30" s="910"/>
      <c r="GCV30" s="910"/>
      <c r="GCW30" s="910"/>
      <c r="GCX30" s="910"/>
      <c r="GCY30" s="910"/>
      <c r="GCZ30" s="910"/>
      <c r="GDA30" s="910"/>
      <c r="GDB30" s="910"/>
      <c r="GDC30" s="910"/>
      <c r="GDD30" s="911"/>
      <c r="GDE30" s="911"/>
      <c r="GDF30" s="910"/>
      <c r="GDG30" s="910"/>
      <c r="GDH30" s="910"/>
      <c r="GDI30" s="910"/>
      <c r="GDJ30" s="910"/>
      <c r="GDK30" s="910"/>
      <c r="GDL30" s="910"/>
      <c r="GDM30" s="910"/>
      <c r="GDN30" s="910"/>
      <c r="GDO30" s="911"/>
      <c r="GDP30" s="911"/>
      <c r="GDQ30" s="910"/>
      <c r="GDR30" s="910"/>
      <c r="GDS30" s="910"/>
      <c r="GDT30" s="910"/>
      <c r="GDU30" s="910"/>
      <c r="GDV30" s="910"/>
      <c r="GDW30" s="910"/>
      <c r="GDX30" s="910"/>
      <c r="GDY30" s="910"/>
      <c r="GDZ30" s="911"/>
      <c r="GEA30" s="911"/>
      <c r="GEB30" s="910"/>
      <c r="GEC30" s="910"/>
      <c r="GED30" s="910"/>
      <c r="GEE30" s="910"/>
      <c r="GEF30" s="910"/>
      <c r="GEG30" s="910"/>
      <c r="GEH30" s="910"/>
      <c r="GEI30" s="910"/>
      <c r="GEJ30" s="910"/>
      <c r="GEK30" s="911"/>
      <c r="GEL30" s="911"/>
      <c r="GEM30" s="910"/>
      <c r="GEN30" s="910"/>
      <c r="GEO30" s="910"/>
      <c r="GEP30" s="910"/>
      <c r="GEQ30" s="910"/>
      <c r="GER30" s="910"/>
      <c r="GES30" s="910"/>
      <c r="GET30" s="910"/>
      <c r="GEU30" s="910"/>
      <c r="GEV30" s="911"/>
      <c r="GEW30" s="911"/>
      <c r="GEX30" s="910"/>
      <c r="GEY30" s="910"/>
      <c r="GEZ30" s="910"/>
      <c r="GFA30" s="910"/>
      <c r="GFB30" s="910"/>
      <c r="GFC30" s="910"/>
      <c r="GFD30" s="910"/>
      <c r="GFE30" s="910"/>
      <c r="GFF30" s="910"/>
      <c r="GFG30" s="911"/>
      <c r="GFH30" s="911"/>
      <c r="GFI30" s="910"/>
      <c r="GFJ30" s="910"/>
      <c r="GFK30" s="910"/>
      <c r="GFL30" s="910"/>
      <c r="GFM30" s="910"/>
      <c r="GFN30" s="910"/>
      <c r="GFO30" s="910"/>
      <c r="GFP30" s="910"/>
      <c r="GFQ30" s="910"/>
      <c r="GFR30" s="911"/>
      <c r="GFS30" s="911"/>
      <c r="GFT30" s="910"/>
      <c r="GFU30" s="910"/>
      <c r="GFV30" s="910"/>
      <c r="GFW30" s="910"/>
      <c r="GFX30" s="910"/>
      <c r="GFY30" s="910"/>
      <c r="GFZ30" s="910"/>
      <c r="GGA30" s="910"/>
      <c r="GGB30" s="910"/>
      <c r="GGC30" s="911"/>
      <c r="GGD30" s="911"/>
      <c r="GGE30" s="910"/>
      <c r="GGF30" s="910"/>
      <c r="GGG30" s="910"/>
      <c r="GGH30" s="910"/>
      <c r="GGI30" s="910"/>
      <c r="GGJ30" s="910"/>
      <c r="GGK30" s="910"/>
      <c r="GGL30" s="910"/>
      <c r="GGM30" s="910"/>
      <c r="GGN30" s="911"/>
      <c r="GGO30" s="911"/>
      <c r="GGP30" s="910"/>
      <c r="GGQ30" s="910"/>
      <c r="GGR30" s="910"/>
      <c r="GGS30" s="910"/>
      <c r="GGT30" s="910"/>
      <c r="GGU30" s="910"/>
      <c r="GGV30" s="910"/>
      <c r="GGW30" s="910"/>
      <c r="GGX30" s="910"/>
      <c r="GGY30" s="911"/>
      <c r="GGZ30" s="911"/>
      <c r="GHA30" s="910"/>
      <c r="GHB30" s="910"/>
      <c r="GHC30" s="910"/>
      <c r="GHD30" s="910"/>
      <c r="GHE30" s="910"/>
      <c r="GHF30" s="910"/>
      <c r="GHG30" s="910"/>
      <c r="GHH30" s="910"/>
      <c r="GHI30" s="910"/>
      <c r="GHJ30" s="911"/>
      <c r="GHK30" s="911"/>
      <c r="GHL30" s="910"/>
      <c r="GHM30" s="910"/>
      <c r="GHN30" s="910"/>
      <c r="GHO30" s="910"/>
      <c r="GHP30" s="910"/>
      <c r="GHQ30" s="910"/>
      <c r="GHR30" s="910"/>
      <c r="GHS30" s="910"/>
      <c r="GHT30" s="910"/>
      <c r="GHU30" s="911"/>
      <c r="GHV30" s="911"/>
      <c r="GHW30" s="910"/>
      <c r="GHX30" s="910"/>
      <c r="GHY30" s="910"/>
      <c r="GHZ30" s="910"/>
      <c r="GIA30" s="910"/>
      <c r="GIB30" s="910"/>
      <c r="GIC30" s="910"/>
      <c r="GID30" s="910"/>
      <c r="GIE30" s="910"/>
      <c r="GIF30" s="911"/>
      <c r="GIG30" s="911"/>
      <c r="GIH30" s="910"/>
      <c r="GII30" s="910"/>
      <c r="GIJ30" s="910"/>
      <c r="GIK30" s="910"/>
      <c r="GIL30" s="910"/>
      <c r="GIM30" s="910"/>
      <c r="GIN30" s="910"/>
      <c r="GIO30" s="910"/>
      <c r="GIP30" s="910"/>
      <c r="GIQ30" s="911"/>
      <c r="GIR30" s="911"/>
      <c r="GIS30" s="910"/>
      <c r="GIT30" s="910"/>
      <c r="GIU30" s="910"/>
      <c r="GIV30" s="910"/>
      <c r="GIW30" s="910"/>
      <c r="GIX30" s="910"/>
      <c r="GIY30" s="910"/>
      <c r="GIZ30" s="910"/>
      <c r="GJA30" s="910"/>
      <c r="GJB30" s="911"/>
      <c r="GJC30" s="911"/>
      <c r="GJD30" s="910"/>
      <c r="GJE30" s="910"/>
      <c r="GJF30" s="910"/>
      <c r="GJG30" s="910"/>
      <c r="GJH30" s="910"/>
      <c r="GJI30" s="910"/>
      <c r="GJJ30" s="910"/>
      <c r="GJK30" s="910"/>
      <c r="GJL30" s="910"/>
      <c r="GJM30" s="911"/>
      <c r="GJN30" s="911"/>
      <c r="GJO30" s="910"/>
      <c r="GJP30" s="910"/>
      <c r="GJQ30" s="910"/>
      <c r="GJR30" s="910"/>
      <c r="GJS30" s="910"/>
      <c r="GJT30" s="910"/>
      <c r="GJU30" s="910"/>
      <c r="GJV30" s="910"/>
      <c r="GJW30" s="910"/>
      <c r="GJX30" s="911"/>
      <c r="GJY30" s="911"/>
      <c r="GJZ30" s="910"/>
      <c r="GKA30" s="910"/>
      <c r="GKB30" s="910"/>
      <c r="GKC30" s="910"/>
      <c r="GKD30" s="910"/>
      <c r="GKE30" s="910"/>
      <c r="GKF30" s="910"/>
      <c r="GKG30" s="910"/>
      <c r="GKH30" s="910"/>
      <c r="GKI30" s="911"/>
      <c r="GKJ30" s="911"/>
      <c r="GKK30" s="910"/>
      <c r="GKL30" s="910"/>
      <c r="GKM30" s="910"/>
      <c r="GKN30" s="910"/>
      <c r="GKO30" s="910"/>
      <c r="GKP30" s="910"/>
      <c r="GKQ30" s="910"/>
      <c r="GKR30" s="910"/>
      <c r="GKS30" s="910"/>
      <c r="GKT30" s="911"/>
      <c r="GKU30" s="911"/>
      <c r="GKV30" s="910"/>
      <c r="GKW30" s="910"/>
      <c r="GKX30" s="910"/>
      <c r="GKY30" s="910"/>
      <c r="GKZ30" s="910"/>
      <c r="GLA30" s="910"/>
      <c r="GLB30" s="910"/>
      <c r="GLC30" s="910"/>
      <c r="GLD30" s="910"/>
      <c r="GLE30" s="911"/>
      <c r="GLF30" s="911"/>
      <c r="GLG30" s="910"/>
      <c r="GLH30" s="910"/>
      <c r="GLI30" s="910"/>
      <c r="GLJ30" s="910"/>
      <c r="GLK30" s="910"/>
      <c r="GLL30" s="910"/>
      <c r="GLM30" s="910"/>
      <c r="GLN30" s="910"/>
      <c r="GLO30" s="910"/>
      <c r="GLP30" s="911"/>
      <c r="GLQ30" s="911"/>
      <c r="GLR30" s="910"/>
      <c r="GLS30" s="910"/>
      <c r="GLT30" s="910"/>
      <c r="GLU30" s="910"/>
      <c r="GLV30" s="910"/>
      <c r="GLW30" s="910"/>
      <c r="GLX30" s="910"/>
      <c r="GLY30" s="910"/>
      <c r="GLZ30" s="910"/>
      <c r="GMA30" s="911"/>
      <c r="GMB30" s="911"/>
      <c r="GMC30" s="910"/>
      <c r="GMD30" s="910"/>
      <c r="GME30" s="910"/>
      <c r="GMF30" s="910"/>
      <c r="GMG30" s="910"/>
      <c r="GMH30" s="910"/>
      <c r="GMI30" s="910"/>
      <c r="GMJ30" s="910"/>
      <c r="GMK30" s="910"/>
      <c r="GML30" s="911"/>
      <c r="GMM30" s="911"/>
      <c r="GMN30" s="910"/>
      <c r="GMO30" s="910"/>
      <c r="GMP30" s="910"/>
      <c r="GMQ30" s="910"/>
      <c r="GMR30" s="910"/>
      <c r="GMS30" s="910"/>
      <c r="GMT30" s="910"/>
      <c r="GMU30" s="910"/>
      <c r="GMV30" s="910"/>
      <c r="GMW30" s="911"/>
      <c r="GMX30" s="911"/>
      <c r="GMY30" s="910"/>
      <c r="GMZ30" s="910"/>
      <c r="GNA30" s="910"/>
      <c r="GNB30" s="910"/>
      <c r="GNC30" s="910"/>
      <c r="GND30" s="910"/>
      <c r="GNE30" s="910"/>
      <c r="GNF30" s="910"/>
      <c r="GNG30" s="910"/>
      <c r="GNH30" s="911"/>
      <c r="GNI30" s="911"/>
      <c r="GNJ30" s="910"/>
      <c r="GNK30" s="910"/>
      <c r="GNL30" s="910"/>
      <c r="GNM30" s="910"/>
      <c r="GNN30" s="910"/>
      <c r="GNO30" s="910"/>
      <c r="GNP30" s="910"/>
      <c r="GNQ30" s="910"/>
      <c r="GNR30" s="910"/>
      <c r="GNS30" s="911"/>
      <c r="GNT30" s="911"/>
      <c r="GNU30" s="910"/>
      <c r="GNV30" s="910"/>
      <c r="GNW30" s="910"/>
      <c r="GNX30" s="910"/>
      <c r="GNY30" s="910"/>
      <c r="GNZ30" s="910"/>
      <c r="GOA30" s="910"/>
      <c r="GOB30" s="910"/>
      <c r="GOC30" s="910"/>
      <c r="GOD30" s="911"/>
      <c r="GOE30" s="911"/>
      <c r="GOF30" s="910"/>
      <c r="GOG30" s="910"/>
      <c r="GOH30" s="910"/>
      <c r="GOI30" s="910"/>
      <c r="GOJ30" s="910"/>
      <c r="GOK30" s="910"/>
      <c r="GOL30" s="910"/>
      <c r="GOM30" s="910"/>
      <c r="GON30" s="910"/>
      <c r="GOO30" s="911"/>
      <c r="GOP30" s="911"/>
      <c r="GOQ30" s="910"/>
      <c r="GOR30" s="910"/>
      <c r="GOS30" s="910"/>
      <c r="GOT30" s="910"/>
      <c r="GOU30" s="910"/>
      <c r="GOV30" s="910"/>
      <c r="GOW30" s="910"/>
      <c r="GOX30" s="910"/>
      <c r="GOY30" s="910"/>
      <c r="GOZ30" s="911"/>
      <c r="GPA30" s="911"/>
      <c r="GPB30" s="910"/>
      <c r="GPC30" s="910"/>
      <c r="GPD30" s="910"/>
      <c r="GPE30" s="910"/>
      <c r="GPF30" s="910"/>
      <c r="GPG30" s="910"/>
      <c r="GPH30" s="910"/>
      <c r="GPI30" s="910"/>
      <c r="GPJ30" s="910"/>
      <c r="GPK30" s="911"/>
      <c r="GPL30" s="911"/>
      <c r="GPM30" s="910"/>
      <c r="GPN30" s="910"/>
      <c r="GPO30" s="910"/>
      <c r="GPP30" s="910"/>
      <c r="GPQ30" s="910"/>
      <c r="GPR30" s="910"/>
      <c r="GPS30" s="910"/>
      <c r="GPT30" s="910"/>
      <c r="GPU30" s="910"/>
      <c r="GPV30" s="911"/>
      <c r="GPW30" s="911"/>
      <c r="GPX30" s="910"/>
      <c r="GPY30" s="910"/>
      <c r="GPZ30" s="910"/>
      <c r="GQA30" s="910"/>
      <c r="GQB30" s="910"/>
      <c r="GQC30" s="910"/>
      <c r="GQD30" s="910"/>
      <c r="GQE30" s="910"/>
      <c r="GQF30" s="910"/>
      <c r="GQG30" s="911"/>
      <c r="GQH30" s="911"/>
      <c r="GQI30" s="910"/>
      <c r="GQJ30" s="910"/>
      <c r="GQK30" s="910"/>
      <c r="GQL30" s="910"/>
      <c r="GQM30" s="910"/>
      <c r="GQN30" s="910"/>
      <c r="GQO30" s="910"/>
      <c r="GQP30" s="910"/>
      <c r="GQQ30" s="910"/>
      <c r="GQR30" s="911"/>
      <c r="GQS30" s="911"/>
      <c r="GQT30" s="910"/>
      <c r="GQU30" s="910"/>
      <c r="GQV30" s="910"/>
      <c r="GQW30" s="910"/>
      <c r="GQX30" s="910"/>
      <c r="GQY30" s="910"/>
      <c r="GQZ30" s="910"/>
      <c r="GRA30" s="910"/>
      <c r="GRB30" s="910"/>
      <c r="GRC30" s="911"/>
      <c r="GRD30" s="911"/>
      <c r="GRE30" s="910"/>
      <c r="GRF30" s="910"/>
      <c r="GRG30" s="910"/>
      <c r="GRH30" s="910"/>
      <c r="GRI30" s="910"/>
      <c r="GRJ30" s="910"/>
      <c r="GRK30" s="910"/>
      <c r="GRL30" s="910"/>
      <c r="GRM30" s="910"/>
      <c r="GRN30" s="911"/>
      <c r="GRO30" s="911"/>
      <c r="GRP30" s="910"/>
      <c r="GRQ30" s="910"/>
      <c r="GRR30" s="910"/>
      <c r="GRS30" s="910"/>
      <c r="GRT30" s="910"/>
      <c r="GRU30" s="910"/>
      <c r="GRV30" s="910"/>
      <c r="GRW30" s="910"/>
      <c r="GRX30" s="910"/>
      <c r="GRY30" s="911"/>
      <c r="GRZ30" s="911"/>
      <c r="GSA30" s="910"/>
      <c r="GSB30" s="910"/>
      <c r="GSC30" s="910"/>
      <c r="GSD30" s="910"/>
      <c r="GSE30" s="910"/>
      <c r="GSF30" s="910"/>
      <c r="GSG30" s="910"/>
      <c r="GSH30" s="910"/>
      <c r="GSI30" s="910"/>
      <c r="GSJ30" s="911"/>
      <c r="GSK30" s="911"/>
      <c r="GSL30" s="910"/>
      <c r="GSM30" s="910"/>
      <c r="GSN30" s="910"/>
      <c r="GSO30" s="910"/>
      <c r="GSP30" s="910"/>
      <c r="GSQ30" s="910"/>
      <c r="GSR30" s="910"/>
      <c r="GSS30" s="910"/>
      <c r="GST30" s="910"/>
      <c r="GSU30" s="911"/>
      <c r="GSV30" s="911"/>
      <c r="GSW30" s="910"/>
      <c r="GSX30" s="910"/>
      <c r="GSY30" s="910"/>
      <c r="GSZ30" s="910"/>
      <c r="GTA30" s="910"/>
      <c r="GTB30" s="910"/>
      <c r="GTC30" s="910"/>
      <c r="GTD30" s="910"/>
      <c r="GTE30" s="910"/>
      <c r="GTF30" s="911"/>
      <c r="GTG30" s="911"/>
      <c r="GTH30" s="910"/>
      <c r="GTI30" s="910"/>
      <c r="GTJ30" s="910"/>
      <c r="GTK30" s="910"/>
      <c r="GTL30" s="910"/>
      <c r="GTM30" s="910"/>
      <c r="GTN30" s="910"/>
      <c r="GTO30" s="910"/>
      <c r="GTP30" s="910"/>
      <c r="GTQ30" s="911"/>
      <c r="GTR30" s="911"/>
      <c r="GTS30" s="910"/>
      <c r="GTT30" s="910"/>
      <c r="GTU30" s="910"/>
      <c r="GTV30" s="910"/>
      <c r="GTW30" s="910"/>
      <c r="GTX30" s="910"/>
      <c r="GTY30" s="910"/>
      <c r="GTZ30" s="910"/>
      <c r="GUA30" s="910"/>
      <c r="GUB30" s="911"/>
      <c r="GUC30" s="911"/>
      <c r="GUD30" s="910"/>
      <c r="GUE30" s="910"/>
      <c r="GUF30" s="910"/>
      <c r="GUG30" s="910"/>
      <c r="GUH30" s="910"/>
      <c r="GUI30" s="910"/>
      <c r="GUJ30" s="910"/>
      <c r="GUK30" s="910"/>
      <c r="GUL30" s="910"/>
      <c r="GUM30" s="911"/>
      <c r="GUN30" s="911"/>
      <c r="GUO30" s="910"/>
      <c r="GUP30" s="910"/>
      <c r="GUQ30" s="910"/>
      <c r="GUR30" s="910"/>
      <c r="GUS30" s="910"/>
      <c r="GUT30" s="910"/>
      <c r="GUU30" s="910"/>
      <c r="GUV30" s="910"/>
      <c r="GUW30" s="910"/>
      <c r="GUX30" s="911"/>
      <c r="GUY30" s="911"/>
      <c r="GUZ30" s="910"/>
      <c r="GVA30" s="910"/>
      <c r="GVB30" s="910"/>
      <c r="GVC30" s="910"/>
      <c r="GVD30" s="910"/>
      <c r="GVE30" s="910"/>
      <c r="GVF30" s="910"/>
      <c r="GVG30" s="910"/>
      <c r="GVH30" s="910"/>
      <c r="GVI30" s="911"/>
      <c r="GVJ30" s="911"/>
      <c r="GVK30" s="910"/>
      <c r="GVL30" s="910"/>
      <c r="GVM30" s="910"/>
      <c r="GVN30" s="910"/>
      <c r="GVO30" s="910"/>
      <c r="GVP30" s="910"/>
      <c r="GVQ30" s="910"/>
      <c r="GVR30" s="910"/>
      <c r="GVS30" s="910"/>
      <c r="GVT30" s="911"/>
      <c r="GVU30" s="911"/>
      <c r="GVV30" s="910"/>
      <c r="GVW30" s="910"/>
      <c r="GVX30" s="910"/>
      <c r="GVY30" s="910"/>
      <c r="GVZ30" s="910"/>
      <c r="GWA30" s="910"/>
      <c r="GWB30" s="910"/>
      <c r="GWC30" s="910"/>
      <c r="GWD30" s="910"/>
      <c r="GWE30" s="911"/>
      <c r="GWF30" s="911"/>
      <c r="GWG30" s="910"/>
      <c r="GWH30" s="910"/>
      <c r="GWI30" s="910"/>
      <c r="GWJ30" s="910"/>
      <c r="GWK30" s="910"/>
      <c r="GWL30" s="910"/>
      <c r="GWM30" s="910"/>
      <c r="GWN30" s="910"/>
      <c r="GWO30" s="910"/>
      <c r="GWP30" s="911"/>
      <c r="GWQ30" s="911"/>
      <c r="GWR30" s="910"/>
      <c r="GWS30" s="910"/>
      <c r="GWT30" s="910"/>
      <c r="GWU30" s="910"/>
      <c r="GWV30" s="910"/>
      <c r="GWW30" s="910"/>
      <c r="GWX30" s="910"/>
      <c r="GWY30" s="910"/>
      <c r="GWZ30" s="910"/>
      <c r="GXA30" s="911"/>
      <c r="GXB30" s="911"/>
      <c r="GXC30" s="910"/>
      <c r="GXD30" s="910"/>
      <c r="GXE30" s="910"/>
      <c r="GXF30" s="910"/>
      <c r="GXG30" s="910"/>
      <c r="GXH30" s="910"/>
      <c r="GXI30" s="910"/>
      <c r="GXJ30" s="910"/>
      <c r="GXK30" s="910"/>
      <c r="GXL30" s="911"/>
      <c r="GXM30" s="911"/>
      <c r="GXN30" s="910"/>
      <c r="GXO30" s="910"/>
      <c r="GXP30" s="910"/>
      <c r="GXQ30" s="910"/>
      <c r="GXR30" s="910"/>
      <c r="GXS30" s="910"/>
      <c r="GXT30" s="910"/>
      <c r="GXU30" s="910"/>
      <c r="GXV30" s="910"/>
      <c r="GXW30" s="911"/>
      <c r="GXX30" s="911"/>
      <c r="GXY30" s="910"/>
      <c r="GXZ30" s="910"/>
      <c r="GYA30" s="910"/>
      <c r="GYB30" s="910"/>
      <c r="GYC30" s="910"/>
      <c r="GYD30" s="910"/>
      <c r="GYE30" s="910"/>
      <c r="GYF30" s="910"/>
      <c r="GYG30" s="910"/>
      <c r="GYH30" s="911"/>
      <c r="GYI30" s="911"/>
      <c r="GYJ30" s="910"/>
      <c r="GYK30" s="910"/>
      <c r="GYL30" s="910"/>
      <c r="GYM30" s="910"/>
      <c r="GYN30" s="910"/>
      <c r="GYO30" s="910"/>
      <c r="GYP30" s="910"/>
      <c r="GYQ30" s="910"/>
      <c r="GYR30" s="910"/>
      <c r="GYS30" s="911"/>
      <c r="GYT30" s="911"/>
      <c r="GYU30" s="910"/>
      <c r="GYV30" s="910"/>
      <c r="GYW30" s="910"/>
      <c r="GYX30" s="910"/>
      <c r="GYY30" s="910"/>
      <c r="GYZ30" s="910"/>
      <c r="GZA30" s="910"/>
      <c r="GZB30" s="910"/>
      <c r="GZC30" s="910"/>
      <c r="GZD30" s="911"/>
      <c r="GZE30" s="911"/>
      <c r="GZF30" s="910"/>
      <c r="GZG30" s="910"/>
      <c r="GZH30" s="910"/>
      <c r="GZI30" s="910"/>
      <c r="GZJ30" s="910"/>
      <c r="GZK30" s="910"/>
      <c r="GZL30" s="910"/>
      <c r="GZM30" s="910"/>
      <c r="GZN30" s="910"/>
      <c r="GZO30" s="911"/>
      <c r="GZP30" s="911"/>
      <c r="GZQ30" s="910"/>
      <c r="GZR30" s="910"/>
      <c r="GZS30" s="910"/>
      <c r="GZT30" s="910"/>
      <c r="GZU30" s="910"/>
      <c r="GZV30" s="910"/>
      <c r="GZW30" s="910"/>
      <c r="GZX30" s="910"/>
      <c r="GZY30" s="910"/>
      <c r="GZZ30" s="911"/>
      <c r="HAA30" s="911"/>
      <c r="HAB30" s="910"/>
      <c r="HAC30" s="910"/>
      <c r="HAD30" s="910"/>
      <c r="HAE30" s="910"/>
      <c r="HAF30" s="910"/>
      <c r="HAG30" s="910"/>
      <c r="HAH30" s="910"/>
      <c r="HAI30" s="910"/>
      <c r="HAJ30" s="910"/>
      <c r="HAK30" s="911"/>
      <c r="HAL30" s="911"/>
      <c r="HAM30" s="910"/>
      <c r="HAN30" s="910"/>
      <c r="HAO30" s="910"/>
      <c r="HAP30" s="910"/>
      <c r="HAQ30" s="910"/>
      <c r="HAR30" s="910"/>
      <c r="HAS30" s="910"/>
      <c r="HAT30" s="910"/>
      <c r="HAU30" s="910"/>
      <c r="HAV30" s="911"/>
      <c r="HAW30" s="911"/>
      <c r="HAX30" s="910"/>
      <c r="HAY30" s="910"/>
      <c r="HAZ30" s="910"/>
      <c r="HBA30" s="910"/>
      <c r="HBB30" s="910"/>
      <c r="HBC30" s="910"/>
      <c r="HBD30" s="910"/>
      <c r="HBE30" s="910"/>
      <c r="HBF30" s="910"/>
      <c r="HBG30" s="911"/>
      <c r="HBH30" s="911"/>
      <c r="HBI30" s="910"/>
      <c r="HBJ30" s="910"/>
      <c r="HBK30" s="910"/>
      <c r="HBL30" s="910"/>
      <c r="HBM30" s="910"/>
      <c r="HBN30" s="910"/>
      <c r="HBO30" s="910"/>
      <c r="HBP30" s="910"/>
      <c r="HBQ30" s="910"/>
      <c r="HBR30" s="911"/>
      <c r="HBS30" s="911"/>
      <c r="HBT30" s="910"/>
      <c r="HBU30" s="910"/>
      <c r="HBV30" s="910"/>
      <c r="HBW30" s="910"/>
      <c r="HBX30" s="910"/>
      <c r="HBY30" s="910"/>
      <c r="HBZ30" s="910"/>
      <c r="HCA30" s="910"/>
      <c r="HCB30" s="910"/>
      <c r="HCC30" s="911"/>
      <c r="HCD30" s="911"/>
      <c r="HCE30" s="910"/>
      <c r="HCF30" s="910"/>
      <c r="HCG30" s="910"/>
      <c r="HCH30" s="910"/>
      <c r="HCI30" s="910"/>
      <c r="HCJ30" s="910"/>
      <c r="HCK30" s="910"/>
      <c r="HCL30" s="910"/>
      <c r="HCM30" s="910"/>
      <c r="HCN30" s="911"/>
      <c r="HCO30" s="911"/>
      <c r="HCP30" s="910"/>
      <c r="HCQ30" s="910"/>
      <c r="HCR30" s="910"/>
      <c r="HCS30" s="910"/>
      <c r="HCT30" s="910"/>
      <c r="HCU30" s="910"/>
      <c r="HCV30" s="910"/>
      <c r="HCW30" s="910"/>
      <c r="HCX30" s="910"/>
      <c r="HCY30" s="911"/>
      <c r="HCZ30" s="911"/>
      <c r="HDA30" s="910"/>
      <c r="HDB30" s="910"/>
      <c r="HDC30" s="910"/>
      <c r="HDD30" s="910"/>
      <c r="HDE30" s="910"/>
      <c r="HDF30" s="910"/>
      <c r="HDG30" s="910"/>
      <c r="HDH30" s="910"/>
      <c r="HDI30" s="910"/>
      <c r="HDJ30" s="911"/>
      <c r="HDK30" s="911"/>
      <c r="HDL30" s="910"/>
      <c r="HDM30" s="910"/>
      <c r="HDN30" s="910"/>
      <c r="HDO30" s="910"/>
      <c r="HDP30" s="910"/>
      <c r="HDQ30" s="910"/>
      <c r="HDR30" s="910"/>
      <c r="HDS30" s="910"/>
      <c r="HDT30" s="910"/>
      <c r="HDU30" s="911"/>
      <c r="HDV30" s="911"/>
      <c r="HDW30" s="910"/>
      <c r="HDX30" s="910"/>
      <c r="HDY30" s="910"/>
      <c r="HDZ30" s="910"/>
      <c r="HEA30" s="910"/>
      <c r="HEB30" s="910"/>
      <c r="HEC30" s="910"/>
      <c r="HED30" s="910"/>
      <c r="HEE30" s="910"/>
      <c r="HEF30" s="911"/>
      <c r="HEG30" s="911"/>
      <c r="HEH30" s="910"/>
      <c r="HEI30" s="910"/>
      <c r="HEJ30" s="910"/>
      <c r="HEK30" s="910"/>
      <c r="HEL30" s="910"/>
      <c r="HEM30" s="910"/>
      <c r="HEN30" s="910"/>
      <c r="HEO30" s="910"/>
      <c r="HEP30" s="910"/>
      <c r="HEQ30" s="911"/>
      <c r="HER30" s="911"/>
      <c r="HES30" s="910"/>
      <c r="HET30" s="910"/>
      <c r="HEU30" s="910"/>
      <c r="HEV30" s="910"/>
      <c r="HEW30" s="910"/>
      <c r="HEX30" s="910"/>
      <c r="HEY30" s="910"/>
      <c r="HEZ30" s="910"/>
      <c r="HFA30" s="910"/>
      <c r="HFB30" s="911"/>
      <c r="HFC30" s="911"/>
      <c r="HFD30" s="910"/>
      <c r="HFE30" s="910"/>
      <c r="HFF30" s="910"/>
      <c r="HFG30" s="910"/>
      <c r="HFH30" s="910"/>
      <c r="HFI30" s="910"/>
      <c r="HFJ30" s="910"/>
      <c r="HFK30" s="910"/>
      <c r="HFL30" s="910"/>
      <c r="HFM30" s="911"/>
      <c r="HFN30" s="911"/>
      <c r="HFO30" s="910"/>
      <c r="HFP30" s="910"/>
      <c r="HFQ30" s="910"/>
      <c r="HFR30" s="910"/>
      <c r="HFS30" s="910"/>
      <c r="HFT30" s="910"/>
      <c r="HFU30" s="910"/>
      <c r="HFV30" s="910"/>
      <c r="HFW30" s="910"/>
      <c r="HFX30" s="911"/>
      <c r="HFY30" s="911"/>
      <c r="HFZ30" s="910"/>
      <c r="HGA30" s="910"/>
      <c r="HGB30" s="910"/>
      <c r="HGC30" s="910"/>
      <c r="HGD30" s="910"/>
      <c r="HGE30" s="910"/>
      <c r="HGF30" s="910"/>
      <c r="HGG30" s="910"/>
      <c r="HGH30" s="910"/>
      <c r="HGI30" s="911"/>
      <c r="HGJ30" s="911"/>
      <c r="HGK30" s="910"/>
      <c r="HGL30" s="910"/>
      <c r="HGM30" s="910"/>
      <c r="HGN30" s="910"/>
      <c r="HGO30" s="910"/>
      <c r="HGP30" s="910"/>
      <c r="HGQ30" s="910"/>
      <c r="HGR30" s="910"/>
      <c r="HGS30" s="910"/>
      <c r="HGT30" s="911"/>
      <c r="HGU30" s="911"/>
      <c r="HGV30" s="910"/>
      <c r="HGW30" s="910"/>
      <c r="HGX30" s="910"/>
      <c r="HGY30" s="910"/>
      <c r="HGZ30" s="910"/>
      <c r="HHA30" s="910"/>
      <c r="HHB30" s="910"/>
      <c r="HHC30" s="910"/>
      <c r="HHD30" s="910"/>
      <c r="HHE30" s="911"/>
      <c r="HHF30" s="911"/>
      <c r="HHG30" s="910"/>
      <c r="HHH30" s="910"/>
      <c r="HHI30" s="910"/>
      <c r="HHJ30" s="910"/>
      <c r="HHK30" s="910"/>
      <c r="HHL30" s="910"/>
      <c r="HHM30" s="910"/>
      <c r="HHN30" s="910"/>
      <c r="HHO30" s="910"/>
      <c r="HHP30" s="911"/>
      <c r="HHQ30" s="911"/>
      <c r="HHR30" s="910"/>
      <c r="HHS30" s="910"/>
      <c r="HHT30" s="910"/>
      <c r="HHU30" s="910"/>
      <c r="HHV30" s="910"/>
      <c r="HHW30" s="910"/>
      <c r="HHX30" s="910"/>
      <c r="HHY30" s="910"/>
      <c r="HHZ30" s="910"/>
      <c r="HIA30" s="911"/>
      <c r="HIB30" s="911"/>
      <c r="HIC30" s="910"/>
      <c r="HID30" s="910"/>
      <c r="HIE30" s="910"/>
      <c r="HIF30" s="910"/>
      <c r="HIG30" s="910"/>
      <c r="HIH30" s="910"/>
      <c r="HII30" s="910"/>
      <c r="HIJ30" s="910"/>
      <c r="HIK30" s="910"/>
      <c r="HIL30" s="911"/>
      <c r="HIM30" s="911"/>
      <c r="HIN30" s="910"/>
      <c r="HIO30" s="910"/>
      <c r="HIP30" s="910"/>
      <c r="HIQ30" s="910"/>
      <c r="HIR30" s="910"/>
      <c r="HIS30" s="910"/>
      <c r="HIT30" s="910"/>
      <c r="HIU30" s="910"/>
      <c r="HIV30" s="910"/>
      <c r="HIW30" s="911"/>
      <c r="HIX30" s="911"/>
      <c r="HIY30" s="910"/>
      <c r="HIZ30" s="910"/>
      <c r="HJA30" s="910"/>
      <c r="HJB30" s="910"/>
      <c r="HJC30" s="910"/>
      <c r="HJD30" s="910"/>
      <c r="HJE30" s="910"/>
      <c r="HJF30" s="910"/>
      <c r="HJG30" s="910"/>
      <c r="HJH30" s="911"/>
      <c r="HJI30" s="911"/>
      <c r="HJJ30" s="910"/>
      <c r="HJK30" s="910"/>
      <c r="HJL30" s="910"/>
      <c r="HJM30" s="910"/>
      <c r="HJN30" s="910"/>
      <c r="HJO30" s="910"/>
      <c r="HJP30" s="910"/>
      <c r="HJQ30" s="910"/>
      <c r="HJR30" s="910"/>
      <c r="HJS30" s="911"/>
      <c r="HJT30" s="911"/>
      <c r="HJU30" s="910"/>
      <c r="HJV30" s="910"/>
      <c r="HJW30" s="910"/>
      <c r="HJX30" s="910"/>
      <c r="HJY30" s="910"/>
      <c r="HJZ30" s="910"/>
      <c r="HKA30" s="910"/>
      <c r="HKB30" s="910"/>
      <c r="HKC30" s="910"/>
      <c r="HKD30" s="911"/>
      <c r="HKE30" s="911"/>
      <c r="HKF30" s="910"/>
      <c r="HKG30" s="910"/>
      <c r="HKH30" s="910"/>
      <c r="HKI30" s="910"/>
      <c r="HKJ30" s="910"/>
      <c r="HKK30" s="910"/>
      <c r="HKL30" s="910"/>
      <c r="HKM30" s="910"/>
      <c r="HKN30" s="910"/>
      <c r="HKO30" s="911"/>
      <c r="HKP30" s="911"/>
      <c r="HKQ30" s="910"/>
      <c r="HKR30" s="910"/>
      <c r="HKS30" s="910"/>
      <c r="HKT30" s="910"/>
      <c r="HKU30" s="910"/>
      <c r="HKV30" s="910"/>
      <c r="HKW30" s="910"/>
      <c r="HKX30" s="910"/>
      <c r="HKY30" s="910"/>
      <c r="HKZ30" s="911"/>
      <c r="HLA30" s="911"/>
      <c r="HLB30" s="910"/>
      <c r="HLC30" s="910"/>
      <c r="HLD30" s="910"/>
      <c r="HLE30" s="910"/>
      <c r="HLF30" s="910"/>
      <c r="HLG30" s="910"/>
      <c r="HLH30" s="910"/>
      <c r="HLI30" s="910"/>
      <c r="HLJ30" s="910"/>
      <c r="HLK30" s="911"/>
      <c r="HLL30" s="911"/>
      <c r="HLM30" s="910"/>
      <c r="HLN30" s="910"/>
      <c r="HLO30" s="910"/>
      <c r="HLP30" s="910"/>
      <c r="HLQ30" s="910"/>
      <c r="HLR30" s="910"/>
      <c r="HLS30" s="910"/>
      <c r="HLT30" s="910"/>
      <c r="HLU30" s="910"/>
      <c r="HLV30" s="911"/>
      <c r="HLW30" s="911"/>
      <c r="HLX30" s="910"/>
      <c r="HLY30" s="910"/>
      <c r="HLZ30" s="910"/>
      <c r="HMA30" s="910"/>
      <c r="HMB30" s="910"/>
      <c r="HMC30" s="910"/>
      <c r="HMD30" s="910"/>
      <c r="HME30" s="910"/>
      <c r="HMF30" s="910"/>
      <c r="HMG30" s="911"/>
      <c r="HMH30" s="911"/>
      <c r="HMI30" s="910"/>
      <c r="HMJ30" s="910"/>
      <c r="HMK30" s="910"/>
      <c r="HML30" s="910"/>
      <c r="HMM30" s="910"/>
      <c r="HMN30" s="910"/>
      <c r="HMO30" s="910"/>
      <c r="HMP30" s="910"/>
      <c r="HMQ30" s="910"/>
      <c r="HMR30" s="911"/>
      <c r="HMS30" s="911"/>
      <c r="HMT30" s="910"/>
      <c r="HMU30" s="910"/>
      <c r="HMV30" s="910"/>
      <c r="HMW30" s="910"/>
      <c r="HMX30" s="910"/>
      <c r="HMY30" s="910"/>
      <c r="HMZ30" s="910"/>
      <c r="HNA30" s="910"/>
      <c r="HNB30" s="910"/>
      <c r="HNC30" s="911"/>
      <c r="HND30" s="911"/>
      <c r="HNE30" s="910"/>
      <c r="HNF30" s="910"/>
      <c r="HNG30" s="910"/>
      <c r="HNH30" s="910"/>
      <c r="HNI30" s="910"/>
      <c r="HNJ30" s="910"/>
      <c r="HNK30" s="910"/>
      <c r="HNL30" s="910"/>
      <c r="HNM30" s="910"/>
      <c r="HNN30" s="911"/>
      <c r="HNO30" s="911"/>
      <c r="HNP30" s="910"/>
      <c r="HNQ30" s="910"/>
      <c r="HNR30" s="910"/>
      <c r="HNS30" s="910"/>
      <c r="HNT30" s="910"/>
      <c r="HNU30" s="910"/>
      <c r="HNV30" s="910"/>
      <c r="HNW30" s="910"/>
      <c r="HNX30" s="910"/>
      <c r="HNY30" s="911"/>
      <c r="HNZ30" s="911"/>
      <c r="HOA30" s="910"/>
      <c r="HOB30" s="910"/>
      <c r="HOC30" s="910"/>
      <c r="HOD30" s="910"/>
      <c r="HOE30" s="910"/>
      <c r="HOF30" s="910"/>
      <c r="HOG30" s="910"/>
      <c r="HOH30" s="910"/>
      <c r="HOI30" s="910"/>
      <c r="HOJ30" s="911"/>
      <c r="HOK30" s="911"/>
      <c r="HOL30" s="910"/>
      <c r="HOM30" s="910"/>
      <c r="HON30" s="910"/>
      <c r="HOO30" s="910"/>
      <c r="HOP30" s="910"/>
      <c r="HOQ30" s="910"/>
      <c r="HOR30" s="910"/>
      <c r="HOS30" s="910"/>
      <c r="HOT30" s="910"/>
      <c r="HOU30" s="911"/>
      <c r="HOV30" s="911"/>
      <c r="HOW30" s="910"/>
      <c r="HOX30" s="910"/>
      <c r="HOY30" s="910"/>
      <c r="HOZ30" s="910"/>
      <c r="HPA30" s="910"/>
      <c r="HPB30" s="910"/>
      <c r="HPC30" s="910"/>
      <c r="HPD30" s="910"/>
      <c r="HPE30" s="910"/>
      <c r="HPF30" s="911"/>
      <c r="HPG30" s="911"/>
      <c r="HPH30" s="910"/>
      <c r="HPI30" s="910"/>
      <c r="HPJ30" s="910"/>
      <c r="HPK30" s="910"/>
      <c r="HPL30" s="910"/>
      <c r="HPM30" s="910"/>
      <c r="HPN30" s="910"/>
      <c r="HPO30" s="910"/>
      <c r="HPP30" s="910"/>
      <c r="HPQ30" s="911"/>
      <c r="HPR30" s="911"/>
      <c r="HPS30" s="910"/>
      <c r="HPT30" s="910"/>
      <c r="HPU30" s="910"/>
      <c r="HPV30" s="910"/>
      <c r="HPW30" s="910"/>
      <c r="HPX30" s="910"/>
      <c r="HPY30" s="910"/>
      <c r="HPZ30" s="910"/>
      <c r="HQA30" s="910"/>
      <c r="HQB30" s="911"/>
      <c r="HQC30" s="911"/>
      <c r="HQD30" s="910"/>
      <c r="HQE30" s="910"/>
      <c r="HQF30" s="910"/>
      <c r="HQG30" s="910"/>
      <c r="HQH30" s="910"/>
      <c r="HQI30" s="910"/>
      <c r="HQJ30" s="910"/>
      <c r="HQK30" s="910"/>
      <c r="HQL30" s="910"/>
      <c r="HQM30" s="911"/>
      <c r="HQN30" s="911"/>
      <c r="HQO30" s="910"/>
      <c r="HQP30" s="910"/>
      <c r="HQQ30" s="910"/>
      <c r="HQR30" s="910"/>
      <c r="HQS30" s="910"/>
      <c r="HQT30" s="910"/>
      <c r="HQU30" s="910"/>
      <c r="HQV30" s="910"/>
      <c r="HQW30" s="910"/>
      <c r="HQX30" s="911"/>
      <c r="HQY30" s="911"/>
      <c r="HQZ30" s="910"/>
      <c r="HRA30" s="910"/>
      <c r="HRB30" s="910"/>
      <c r="HRC30" s="910"/>
      <c r="HRD30" s="910"/>
      <c r="HRE30" s="910"/>
      <c r="HRF30" s="910"/>
      <c r="HRG30" s="910"/>
      <c r="HRH30" s="910"/>
      <c r="HRI30" s="911"/>
      <c r="HRJ30" s="911"/>
      <c r="HRK30" s="910"/>
      <c r="HRL30" s="910"/>
      <c r="HRM30" s="910"/>
      <c r="HRN30" s="910"/>
      <c r="HRO30" s="910"/>
      <c r="HRP30" s="910"/>
      <c r="HRQ30" s="910"/>
      <c r="HRR30" s="910"/>
      <c r="HRS30" s="910"/>
      <c r="HRT30" s="911"/>
      <c r="HRU30" s="911"/>
      <c r="HRV30" s="910"/>
      <c r="HRW30" s="910"/>
      <c r="HRX30" s="910"/>
      <c r="HRY30" s="910"/>
      <c r="HRZ30" s="910"/>
      <c r="HSA30" s="910"/>
      <c r="HSB30" s="910"/>
      <c r="HSC30" s="910"/>
      <c r="HSD30" s="910"/>
      <c r="HSE30" s="911"/>
      <c r="HSF30" s="911"/>
      <c r="HSG30" s="910"/>
      <c r="HSH30" s="910"/>
      <c r="HSI30" s="910"/>
      <c r="HSJ30" s="910"/>
      <c r="HSK30" s="910"/>
      <c r="HSL30" s="910"/>
      <c r="HSM30" s="910"/>
      <c r="HSN30" s="910"/>
      <c r="HSO30" s="910"/>
      <c r="HSP30" s="911"/>
      <c r="HSQ30" s="911"/>
      <c r="HSR30" s="910"/>
      <c r="HSS30" s="910"/>
      <c r="HST30" s="910"/>
      <c r="HSU30" s="910"/>
      <c r="HSV30" s="910"/>
      <c r="HSW30" s="910"/>
      <c r="HSX30" s="910"/>
      <c r="HSY30" s="910"/>
      <c r="HSZ30" s="910"/>
      <c r="HTA30" s="911"/>
      <c r="HTB30" s="911"/>
      <c r="HTC30" s="910"/>
      <c r="HTD30" s="910"/>
      <c r="HTE30" s="910"/>
      <c r="HTF30" s="910"/>
      <c r="HTG30" s="910"/>
      <c r="HTH30" s="910"/>
      <c r="HTI30" s="910"/>
      <c r="HTJ30" s="910"/>
      <c r="HTK30" s="910"/>
      <c r="HTL30" s="911"/>
      <c r="HTM30" s="911"/>
      <c r="HTN30" s="910"/>
      <c r="HTO30" s="910"/>
      <c r="HTP30" s="910"/>
      <c r="HTQ30" s="910"/>
      <c r="HTR30" s="910"/>
      <c r="HTS30" s="910"/>
      <c r="HTT30" s="910"/>
      <c r="HTU30" s="910"/>
      <c r="HTV30" s="910"/>
      <c r="HTW30" s="911"/>
      <c r="HTX30" s="911"/>
      <c r="HTY30" s="910"/>
      <c r="HTZ30" s="910"/>
      <c r="HUA30" s="910"/>
      <c r="HUB30" s="910"/>
      <c r="HUC30" s="910"/>
      <c r="HUD30" s="910"/>
      <c r="HUE30" s="910"/>
      <c r="HUF30" s="910"/>
      <c r="HUG30" s="910"/>
      <c r="HUH30" s="911"/>
      <c r="HUI30" s="911"/>
      <c r="HUJ30" s="910"/>
      <c r="HUK30" s="910"/>
      <c r="HUL30" s="910"/>
      <c r="HUM30" s="910"/>
      <c r="HUN30" s="910"/>
      <c r="HUO30" s="910"/>
      <c r="HUP30" s="910"/>
      <c r="HUQ30" s="910"/>
      <c r="HUR30" s="910"/>
      <c r="HUS30" s="911"/>
      <c r="HUT30" s="911"/>
      <c r="HUU30" s="910"/>
      <c r="HUV30" s="910"/>
      <c r="HUW30" s="910"/>
      <c r="HUX30" s="910"/>
      <c r="HUY30" s="910"/>
      <c r="HUZ30" s="910"/>
      <c r="HVA30" s="910"/>
      <c r="HVB30" s="910"/>
      <c r="HVC30" s="910"/>
      <c r="HVD30" s="911"/>
      <c r="HVE30" s="911"/>
      <c r="HVF30" s="910"/>
      <c r="HVG30" s="910"/>
      <c r="HVH30" s="910"/>
      <c r="HVI30" s="910"/>
      <c r="HVJ30" s="910"/>
      <c r="HVK30" s="910"/>
      <c r="HVL30" s="910"/>
      <c r="HVM30" s="910"/>
      <c r="HVN30" s="910"/>
      <c r="HVO30" s="911"/>
      <c r="HVP30" s="911"/>
      <c r="HVQ30" s="910"/>
      <c r="HVR30" s="910"/>
      <c r="HVS30" s="910"/>
      <c r="HVT30" s="910"/>
      <c r="HVU30" s="910"/>
      <c r="HVV30" s="910"/>
      <c r="HVW30" s="910"/>
      <c r="HVX30" s="910"/>
      <c r="HVY30" s="910"/>
      <c r="HVZ30" s="911"/>
      <c r="HWA30" s="911"/>
      <c r="HWB30" s="910"/>
      <c r="HWC30" s="910"/>
      <c r="HWD30" s="910"/>
      <c r="HWE30" s="910"/>
      <c r="HWF30" s="910"/>
      <c r="HWG30" s="910"/>
      <c r="HWH30" s="910"/>
      <c r="HWI30" s="910"/>
      <c r="HWJ30" s="910"/>
      <c r="HWK30" s="911"/>
      <c r="HWL30" s="911"/>
      <c r="HWM30" s="910"/>
      <c r="HWN30" s="910"/>
      <c r="HWO30" s="910"/>
      <c r="HWP30" s="910"/>
      <c r="HWQ30" s="910"/>
      <c r="HWR30" s="910"/>
      <c r="HWS30" s="910"/>
      <c r="HWT30" s="910"/>
      <c r="HWU30" s="910"/>
      <c r="HWV30" s="911"/>
      <c r="HWW30" s="911"/>
      <c r="HWX30" s="910"/>
      <c r="HWY30" s="910"/>
      <c r="HWZ30" s="910"/>
      <c r="HXA30" s="910"/>
      <c r="HXB30" s="910"/>
      <c r="HXC30" s="910"/>
      <c r="HXD30" s="910"/>
      <c r="HXE30" s="910"/>
      <c r="HXF30" s="910"/>
      <c r="HXG30" s="911"/>
      <c r="HXH30" s="911"/>
      <c r="HXI30" s="910"/>
      <c r="HXJ30" s="910"/>
      <c r="HXK30" s="910"/>
      <c r="HXL30" s="910"/>
      <c r="HXM30" s="910"/>
      <c r="HXN30" s="910"/>
      <c r="HXO30" s="910"/>
      <c r="HXP30" s="910"/>
      <c r="HXQ30" s="910"/>
      <c r="HXR30" s="911"/>
      <c r="HXS30" s="911"/>
      <c r="HXT30" s="910"/>
      <c r="HXU30" s="910"/>
      <c r="HXV30" s="910"/>
      <c r="HXW30" s="910"/>
      <c r="HXX30" s="910"/>
      <c r="HXY30" s="910"/>
      <c r="HXZ30" s="910"/>
      <c r="HYA30" s="910"/>
      <c r="HYB30" s="910"/>
      <c r="HYC30" s="911"/>
      <c r="HYD30" s="911"/>
      <c r="HYE30" s="910"/>
      <c r="HYF30" s="910"/>
      <c r="HYG30" s="910"/>
      <c r="HYH30" s="910"/>
      <c r="HYI30" s="910"/>
      <c r="HYJ30" s="910"/>
      <c r="HYK30" s="910"/>
      <c r="HYL30" s="910"/>
      <c r="HYM30" s="910"/>
      <c r="HYN30" s="911"/>
      <c r="HYO30" s="911"/>
      <c r="HYP30" s="910"/>
      <c r="HYQ30" s="910"/>
      <c r="HYR30" s="910"/>
      <c r="HYS30" s="910"/>
      <c r="HYT30" s="910"/>
      <c r="HYU30" s="910"/>
      <c r="HYV30" s="910"/>
      <c r="HYW30" s="910"/>
      <c r="HYX30" s="910"/>
      <c r="HYY30" s="911"/>
      <c r="HYZ30" s="911"/>
      <c r="HZA30" s="910"/>
      <c r="HZB30" s="910"/>
      <c r="HZC30" s="910"/>
      <c r="HZD30" s="910"/>
      <c r="HZE30" s="910"/>
      <c r="HZF30" s="910"/>
      <c r="HZG30" s="910"/>
      <c r="HZH30" s="910"/>
      <c r="HZI30" s="910"/>
      <c r="HZJ30" s="911"/>
      <c r="HZK30" s="911"/>
      <c r="HZL30" s="910"/>
      <c r="HZM30" s="910"/>
      <c r="HZN30" s="910"/>
      <c r="HZO30" s="910"/>
      <c r="HZP30" s="910"/>
      <c r="HZQ30" s="910"/>
      <c r="HZR30" s="910"/>
      <c r="HZS30" s="910"/>
      <c r="HZT30" s="910"/>
      <c r="HZU30" s="911"/>
      <c r="HZV30" s="911"/>
      <c r="HZW30" s="910"/>
      <c r="HZX30" s="910"/>
      <c r="HZY30" s="910"/>
      <c r="HZZ30" s="910"/>
      <c r="IAA30" s="910"/>
      <c r="IAB30" s="910"/>
      <c r="IAC30" s="910"/>
      <c r="IAD30" s="910"/>
      <c r="IAE30" s="910"/>
      <c r="IAF30" s="911"/>
      <c r="IAG30" s="911"/>
      <c r="IAH30" s="910"/>
      <c r="IAI30" s="910"/>
      <c r="IAJ30" s="910"/>
      <c r="IAK30" s="910"/>
      <c r="IAL30" s="910"/>
      <c r="IAM30" s="910"/>
      <c r="IAN30" s="910"/>
      <c r="IAO30" s="910"/>
      <c r="IAP30" s="910"/>
      <c r="IAQ30" s="911"/>
      <c r="IAR30" s="911"/>
      <c r="IAS30" s="910"/>
      <c r="IAT30" s="910"/>
      <c r="IAU30" s="910"/>
      <c r="IAV30" s="910"/>
      <c r="IAW30" s="910"/>
      <c r="IAX30" s="910"/>
      <c r="IAY30" s="910"/>
      <c r="IAZ30" s="910"/>
      <c r="IBA30" s="910"/>
      <c r="IBB30" s="911"/>
      <c r="IBC30" s="911"/>
      <c r="IBD30" s="910"/>
      <c r="IBE30" s="910"/>
      <c r="IBF30" s="910"/>
      <c r="IBG30" s="910"/>
      <c r="IBH30" s="910"/>
      <c r="IBI30" s="910"/>
      <c r="IBJ30" s="910"/>
      <c r="IBK30" s="910"/>
      <c r="IBL30" s="910"/>
      <c r="IBM30" s="911"/>
      <c r="IBN30" s="911"/>
      <c r="IBO30" s="910"/>
      <c r="IBP30" s="910"/>
      <c r="IBQ30" s="910"/>
      <c r="IBR30" s="910"/>
      <c r="IBS30" s="910"/>
      <c r="IBT30" s="910"/>
      <c r="IBU30" s="910"/>
      <c r="IBV30" s="910"/>
      <c r="IBW30" s="910"/>
      <c r="IBX30" s="911"/>
      <c r="IBY30" s="911"/>
      <c r="IBZ30" s="910"/>
      <c r="ICA30" s="910"/>
      <c r="ICB30" s="910"/>
      <c r="ICC30" s="910"/>
      <c r="ICD30" s="910"/>
      <c r="ICE30" s="910"/>
      <c r="ICF30" s="910"/>
      <c r="ICG30" s="910"/>
      <c r="ICH30" s="910"/>
      <c r="ICI30" s="911"/>
      <c r="ICJ30" s="911"/>
      <c r="ICK30" s="910"/>
      <c r="ICL30" s="910"/>
      <c r="ICM30" s="910"/>
      <c r="ICN30" s="910"/>
      <c r="ICO30" s="910"/>
      <c r="ICP30" s="910"/>
      <c r="ICQ30" s="910"/>
      <c r="ICR30" s="910"/>
      <c r="ICS30" s="910"/>
      <c r="ICT30" s="911"/>
      <c r="ICU30" s="911"/>
      <c r="ICV30" s="910"/>
      <c r="ICW30" s="910"/>
      <c r="ICX30" s="910"/>
      <c r="ICY30" s="910"/>
      <c r="ICZ30" s="910"/>
      <c r="IDA30" s="910"/>
      <c r="IDB30" s="910"/>
      <c r="IDC30" s="910"/>
      <c r="IDD30" s="910"/>
      <c r="IDE30" s="911"/>
      <c r="IDF30" s="911"/>
      <c r="IDG30" s="910"/>
      <c r="IDH30" s="910"/>
      <c r="IDI30" s="910"/>
      <c r="IDJ30" s="910"/>
      <c r="IDK30" s="910"/>
      <c r="IDL30" s="910"/>
      <c r="IDM30" s="910"/>
      <c r="IDN30" s="910"/>
      <c r="IDO30" s="910"/>
      <c r="IDP30" s="911"/>
      <c r="IDQ30" s="911"/>
      <c r="IDR30" s="910"/>
      <c r="IDS30" s="910"/>
      <c r="IDT30" s="910"/>
      <c r="IDU30" s="910"/>
      <c r="IDV30" s="910"/>
      <c r="IDW30" s="910"/>
      <c r="IDX30" s="910"/>
      <c r="IDY30" s="910"/>
      <c r="IDZ30" s="910"/>
      <c r="IEA30" s="911"/>
      <c r="IEB30" s="911"/>
      <c r="IEC30" s="910"/>
      <c r="IED30" s="910"/>
      <c r="IEE30" s="910"/>
      <c r="IEF30" s="910"/>
      <c r="IEG30" s="910"/>
      <c r="IEH30" s="910"/>
      <c r="IEI30" s="910"/>
      <c r="IEJ30" s="910"/>
      <c r="IEK30" s="910"/>
      <c r="IEL30" s="911"/>
      <c r="IEM30" s="911"/>
      <c r="IEN30" s="910"/>
      <c r="IEO30" s="910"/>
      <c r="IEP30" s="910"/>
      <c r="IEQ30" s="910"/>
      <c r="IER30" s="910"/>
      <c r="IES30" s="910"/>
      <c r="IET30" s="910"/>
      <c r="IEU30" s="910"/>
      <c r="IEV30" s="910"/>
      <c r="IEW30" s="911"/>
      <c r="IEX30" s="911"/>
      <c r="IEY30" s="910"/>
      <c r="IEZ30" s="910"/>
      <c r="IFA30" s="910"/>
      <c r="IFB30" s="910"/>
      <c r="IFC30" s="910"/>
      <c r="IFD30" s="910"/>
      <c r="IFE30" s="910"/>
      <c r="IFF30" s="910"/>
      <c r="IFG30" s="910"/>
      <c r="IFH30" s="911"/>
      <c r="IFI30" s="911"/>
      <c r="IFJ30" s="910"/>
      <c r="IFK30" s="910"/>
      <c r="IFL30" s="910"/>
      <c r="IFM30" s="910"/>
      <c r="IFN30" s="910"/>
      <c r="IFO30" s="910"/>
      <c r="IFP30" s="910"/>
      <c r="IFQ30" s="910"/>
      <c r="IFR30" s="910"/>
      <c r="IFS30" s="911"/>
      <c r="IFT30" s="911"/>
      <c r="IFU30" s="910"/>
      <c r="IFV30" s="910"/>
      <c r="IFW30" s="910"/>
      <c r="IFX30" s="910"/>
      <c r="IFY30" s="910"/>
      <c r="IFZ30" s="910"/>
      <c r="IGA30" s="910"/>
      <c r="IGB30" s="910"/>
      <c r="IGC30" s="910"/>
      <c r="IGD30" s="911"/>
      <c r="IGE30" s="911"/>
      <c r="IGF30" s="910"/>
      <c r="IGG30" s="910"/>
      <c r="IGH30" s="910"/>
      <c r="IGI30" s="910"/>
      <c r="IGJ30" s="910"/>
      <c r="IGK30" s="910"/>
      <c r="IGL30" s="910"/>
      <c r="IGM30" s="910"/>
      <c r="IGN30" s="910"/>
      <c r="IGO30" s="911"/>
      <c r="IGP30" s="911"/>
      <c r="IGQ30" s="910"/>
      <c r="IGR30" s="910"/>
      <c r="IGS30" s="910"/>
      <c r="IGT30" s="910"/>
      <c r="IGU30" s="910"/>
      <c r="IGV30" s="910"/>
      <c r="IGW30" s="910"/>
      <c r="IGX30" s="910"/>
      <c r="IGY30" s="910"/>
      <c r="IGZ30" s="911"/>
      <c r="IHA30" s="911"/>
      <c r="IHB30" s="910"/>
      <c r="IHC30" s="910"/>
      <c r="IHD30" s="910"/>
      <c r="IHE30" s="910"/>
      <c r="IHF30" s="910"/>
      <c r="IHG30" s="910"/>
      <c r="IHH30" s="910"/>
      <c r="IHI30" s="910"/>
      <c r="IHJ30" s="910"/>
      <c r="IHK30" s="911"/>
      <c r="IHL30" s="911"/>
      <c r="IHM30" s="910"/>
      <c r="IHN30" s="910"/>
      <c r="IHO30" s="910"/>
      <c r="IHP30" s="910"/>
      <c r="IHQ30" s="910"/>
      <c r="IHR30" s="910"/>
      <c r="IHS30" s="910"/>
      <c r="IHT30" s="910"/>
      <c r="IHU30" s="910"/>
      <c r="IHV30" s="911"/>
      <c r="IHW30" s="911"/>
      <c r="IHX30" s="910"/>
      <c r="IHY30" s="910"/>
      <c r="IHZ30" s="910"/>
      <c r="IIA30" s="910"/>
      <c r="IIB30" s="910"/>
      <c r="IIC30" s="910"/>
      <c r="IID30" s="910"/>
      <c r="IIE30" s="910"/>
      <c r="IIF30" s="910"/>
      <c r="IIG30" s="911"/>
      <c r="IIH30" s="911"/>
      <c r="III30" s="910"/>
      <c r="IIJ30" s="910"/>
      <c r="IIK30" s="910"/>
      <c r="IIL30" s="910"/>
      <c r="IIM30" s="910"/>
      <c r="IIN30" s="910"/>
      <c r="IIO30" s="910"/>
      <c r="IIP30" s="910"/>
      <c r="IIQ30" s="910"/>
      <c r="IIR30" s="911"/>
      <c r="IIS30" s="911"/>
      <c r="IIT30" s="910"/>
      <c r="IIU30" s="910"/>
      <c r="IIV30" s="910"/>
      <c r="IIW30" s="910"/>
      <c r="IIX30" s="910"/>
      <c r="IIY30" s="910"/>
      <c r="IIZ30" s="910"/>
      <c r="IJA30" s="910"/>
      <c r="IJB30" s="910"/>
      <c r="IJC30" s="911"/>
      <c r="IJD30" s="911"/>
      <c r="IJE30" s="910"/>
      <c r="IJF30" s="910"/>
      <c r="IJG30" s="910"/>
      <c r="IJH30" s="910"/>
      <c r="IJI30" s="910"/>
      <c r="IJJ30" s="910"/>
      <c r="IJK30" s="910"/>
      <c r="IJL30" s="910"/>
      <c r="IJM30" s="910"/>
      <c r="IJN30" s="911"/>
      <c r="IJO30" s="911"/>
      <c r="IJP30" s="910"/>
      <c r="IJQ30" s="910"/>
      <c r="IJR30" s="910"/>
      <c r="IJS30" s="910"/>
      <c r="IJT30" s="910"/>
      <c r="IJU30" s="910"/>
      <c r="IJV30" s="910"/>
      <c r="IJW30" s="910"/>
      <c r="IJX30" s="910"/>
      <c r="IJY30" s="911"/>
      <c r="IJZ30" s="911"/>
      <c r="IKA30" s="910"/>
      <c r="IKB30" s="910"/>
      <c r="IKC30" s="910"/>
      <c r="IKD30" s="910"/>
      <c r="IKE30" s="910"/>
      <c r="IKF30" s="910"/>
      <c r="IKG30" s="910"/>
      <c r="IKH30" s="910"/>
      <c r="IKI30" s="910"/>
      <c r="IKJ30" s="911"/>
      <c r="IKK30" s="911"/>
      <c r="IKL30" s="910"/>
      <c r="IKM30" s="910"/>
      <c r="IKN30" s="910"/>
      <c r="IKO30" s="910"/>
      <c r="IKP30" s="910"/>
      <c r="IKQ30" s="910"/>
      <c r="IKR30" s="910"/>
      <c r="IKS30" s="910"/>
      <c r="IKT30" s="910"/>
      <c r="IKU30" s="911"/>
      <c r="IKV30" s="911"/>
      <c r="IKW30" s="910"/>
      <c r="IKX30" s="910"/>
      <c r="IKY30" s="910"/>
      <c r="IKZ30" s="910"/>
      <c r="ILA30" s="910"/>
      <c r="ILB30" s="910"/>
      <c r="ILC30" s="910"/>
      <c r="ILD30" s="910"/>
      <c r="ILE30" s="910"/>
      <c r="ILF30" s="911"/>
      <c r="ILG30" s="911"/>
      <c r="ILH30" s="910"/>
      <c r="ILI30" s="910"/>
      <c r="ILJ30" s="910"/>
      <c r="ILK30" s="910"/>
      <c r="ILL30" s="910"/>
      <c r="ILM30" s="910"/>
      <c r="ILN30" s="910"/>
      <c r="ILO30" s="910"/>
      <c r="ILP30" s="910"/>
      <c r="ILQ30" s="911"/>
      <c r="ILR30" s="911"/>
      <c r="ILS30" s="910"/>
      <c r="ILT30" s="910"/>
      <c r="ILU30" s="910"/>
      <c r="ILV30" s="910"/>
      <c r="ILW30" s="910"/>
      <c r="ILX30" s="910"/>
      <c r="ILY30" s="910"/>
      <c r="ILZ30" s="910"/>
      <c r="IMA30" s="910"/>
      <c r="IMB30" s="911"/>
      <c r="IMC30" s="911"/>
      <c r="IMD30" s="910"/>
      <c r="IME30" s="910"/>
      <c r="IMF30" s="910"/>
      <c r="IMG30" s="910"/>
      <c r="IMH30" s="910"/>
      <c r="IMI30" s="910"/>
      <c r="IMJ30" s="910"/>
      <c r="IMK30" s="910"/>
      <c r="IML30" s="910"/>
      <c r="IMM30" s="911"/>
      <c r="IMN30" s="911"/>
      <c r="IMO30" s="910"/>
      <c r="IMP30" s="910"/>
      <c r="IMQ30" s="910"/>
      <c r="IMR30" s="910"/>
      <c r="IMS30" s="910"/>
      <c r="IMT30" s="910"/>
      <c r="IMU30" s="910"/>
      <c r="IMV30" s="910"/>
      <c r="IMW30" s="910"/>
      <c r="IMX30" s="911"/>
      <c r="IMY30" s="911"/>
      <c r="IMZ30" s="910"/>
      <c r="INA30" s="910"/>
      <c r="INB30" s="910"/>
      <c r="INC30" s="910"/>
      <c r="IND30" s="910"/>
      <c r="INE30" s="910"/>
      <c r="INF30" s="910"/>
      <c r="ING30" s="910"/>
      <c r="INH30" s="910"/>
      <c r="INI30" s="911"/>
      <c r="INJ30" s="911"/>
      <c r="INK30" s="910"/>
      <c r="INL30" s="910"/>
      <c r="INM30" s="910"/>
      <c r="INN30" s="910"/>
      <c r="INO30" s="910"/>
      <c r="INP30" s="910"/>
      <c r="INQ30" s="910"/>
      <c r="INR30" s="910"/>
      <c r="INS30" s="910"/>
      <c r="INT30" s="911"/>
      <c r="INU30" s="911"/>
      <c r="INV30" s="910"/>
      <c r="INW30" s="910"/>
      <c r="INX30" s="910"/>
      <c r="INY30" s="910"/>
      <c r="INZ30" s="910"/>
      <c r="IOA30" s="910"/>
      <c r="IOB30" s="910"/>
      <c r="IOC30" s="910"/>
      <c r="IOD30" s="910"/>
      <c r="IOE30" s="911"/>
      <c r="IOF30" s="911"/>
      <c r="IOG30" s="910"/>
      <c r="IOH30" s="910"/>
      <c r="IOI30" s="910"/>
      <c r="IOJ30" s="910"/>
      <c r="IOK30" s="910"/>
      <c r="IOL30" s="910"/>
      <c r="IOM30" s="910"/>
      <c r="ION30" s="910"/>
      <c r="IOO30" s="910"/>
      <c r="IOP30" s="911"/>
      <c r="IOQ30" s="911"/>
      <c r="IOR30" s="910"/>
      <c r="IOS30" s="910"/>
      <c r="IOT30" s="910"/>
      <c r="IOU30" s="910"/>
      <c r="IOV30" s="910"/>
      <c r="IOW30" s="910"/>
      <c r="IOX30" s="910"/>
      <c r="IOY30" s="910"/>
      <c r="IOZ30" s="910"/>
      <c r="IPA30" s="911"/>
      <c r="IPB30" s="911"/>
      <c r="IPC30" s="910"/>
      <c r="IPD30" s="910"/>
      <c r="IPE30" s="910"/>
      <c r="IPF30" s="910"/>
      <c r="IPG30" s="910"/>
      <c r="IPH30" s="910"/>
      <c r="IPI30" s="910"/>
      <c r="IPJ30" s="910"/>
      <c r="IPK30" s="910"/>
      <c r="IPL30" s="911"/>
      <c r="IPM30" s="911"/>
      <c r="IPN30" s="910"/>
      <c r="IPO30" s="910"/>
      <c r="IPP30" s="910"/>
      <c r="IPQ30" s="910"/>
      <c r="IPR30" s="910"/>
      <c r="IPS30" s="910"/>
      <c r="IPT30" s="910"/>
      <c r="IPU30" s="910"/>
      <c r="IPV30" s="910"/>
      <c r="IPW30" s="911"/>
      <c r="IPX30" s="911"/>
      <c r="IPY30" s="910"/>
      <c r="IPZ30" s="910"/>
      <c r="IQA30" s="910"/>
      <c r="IQB30" s="910"/>
      <c r="IQC30" s="910"/>
      <c r="IQD30" s="910"/>
      <c r="IQE30" s="910"/>
      <c r="IQF30" s="910"/>
      <c r="IQG30" s="910"/>
      <c r="IQH30" s="911"/>
      <c r="IQI30" s="911"/>
      <c r="IQJ30" s="910"/>
      <c r="IQK30" s="910"/>
      <c r="IQL30" s="910"/>
      <c r="IQM30" s="910"/>
      <c r="IQN30" s="910"/>
      <c r="IQO30" s="910"/>
      <c r="IQP30" s="910"/>
      <c r="IQQ30" s="910"/>
      <c r="IQR30" s="910"/>
      <c r="IQS30" s="911"/>
      <c r="IQT30" s="911"/>
      <c r="IQU30" s="910"/>
      <c r="IQV30" s="910"/>
      <c r="IQW30" s="910"/>
      <c r="IQX30" s="910"/>
      <c r="IQY30" s="910"/>
      <c r="IQZ30" s="910"/>
      <c r="IRA30" s="910"/>
      <c r="IRB30" s="910"/>
      <c r="IRC30" s="910"/>
      <c r="IRD30" s="911"/>
      <c r="IRE30" s="911"/>
      <c r="IRF30" s="910"/>
      <c r="IRG30" s="910"/>
      <c r="IRH30" s="910"/>
      <c r="IRI30" s="910"/>
      <c r="IRJ30" s="910"/>
      <c r="IRK30" s="910"/>
      <c r="IRL30" s="910"/>
      <c r="IRM30" s="910"/>
      <c r="IRN30" s="910"/>
      <c r="IRO30" s="911"/>
      <c r="IRP30" s="911"/>
      <c r="IRQ30" s="910"/>
      <c r="IRR30" s="910"/>
      <c r="IRS30" s="910"/>
      <c r="IRT30" s="910"/>
      <c r="IRU30" s="910"/>
      <c r="IRV30" s="910"/>
      <c r="IRW30" s="910"/>
      <c r="IRX30" s="910"/>
      <c r="IRY30" s="910"/>
      <c r="IRZ30" s="911"/>
      <c r="ISA30" s="911"/>
      <c r="ISB30" s="910"/>
      <c r="ISC30" s="910"/>
      <c r="ISD30" s="910"/>
      <c r="ISE30" s="910"/>
      <c r="ISF30" s="910"/>
      <c r="ISG30" s="910"/>
      <c r="ISH30" s="910"/>
      <c r="ISI30" s="910"/>
      <c r="ISJ30" s="910"/>
      <c r="ISK30" s="911"/>
      <c r="ISL30" s="911"/>
      <c r="ISM30" s="910"/>
      <c r="ISN30" s="910"/>
      <c r="ISO30" s="910"/>
      <c r="ISP30" s="910"/>
      <c r="ISQ30" s="910"/>
      <c r="ISR30" s="910"/>
      <c r="ISS30" s="910"/>
      <c r="IST30" s="910"/>
      <c r="ISU30" s="910"/>
      <c r="ISV30" s="911"/>
      <c r="ISW30" s="911"/>
      <c r="ISX30" s="910"/>
      <c r="ISY30" s="910"/>
      <c r="ISZ30" s="910"/>
      <c r="ITA30" s="910"/>
      <c r="ITB30" s="910"/>
      <c r="ITC30" s="910"/>
      <c r="ITD30" s="910"/>
      <c r="ITE30" s="910"/>
      <c r="ITF30" s="910"/>
      <c r="ITG30" s="911"/>
      <c r="ITH30" s="911"/>
      <c r="ITI30" s="910"/>
      <c r="ITJ30" s="910"/>
      <c r="ITK30" s="910"/>
      <c r="ITL30" s="910"/>
      <c r="ITM30" s="910"/>
      <c r="ITN30" s="910"/>
      <c r="ITO30" s="910"/>
      <c r="ITP30" s="910"/>
      <c r="ITQ30" s="910"/>
      <c r="ITR30" s="911"/>
      <c r="ITS30" s="911"/>
      <c r="ITT30" s="910"/>
      <c r="ITU30" s="910"/>
      <c r="ITV30" s="910"/>
      <c r="ITW30" s="910"/>
      <c r="ITX30" s="910"/>
      <c r="ITY30" s="910"/>
      <c r="ITZ30" s="910"/>
      <c r="IUA30" s="910"/>
      <c r="IUB30" s="910"/>
      <c r="IUC30" s="911"/>
      <c r="IUD30" s="911"/>
      <c r="IUE30" s="910"/>
      <c r="IUF30" s="910"/>
      <c r="IUG30" s="910"/>
      <c r="IUH30" s="910"/>
      <c r="IUI30" s="910"/>
      <c r="IUJ30" s="910"/>
      <c r="IUK30" s="910"/>
      <c r="IUL30" s="910"/>
      <c r="IUM30" s="910"/>
      <c r="IUN30" s="911"/>
      <c r="IUO30" s="911"/>
      <c r="IUP30" s="910"/>
      <c r="IUQ30" s="910"/>
      <c r="IUR30" s="910"/>
      <c r="IUS30" s="910"/>
      <c r="IUT30" s="910"/>
      <c r="IUU30" s="910"/>
      <c r="IUV30" s="910"/>
      <c r="IUW30" s="910"/>
      <c r="IUX30" s="910"/>
      <c r="IUY30" s="911"/>
      <c r="IUZ30" s="911"/>
      <c r="IVA30" s="910"/>
      <c r="IVB30" s="910"/>
      <c r="IVC30" s="910"/>
      <c r="IVD30" s="910"/>
      <c r="IVE30" s="910"/>
      <c r="IVF30" s="910"/>
      <c r="IVG30" s="910"/>
      <c r="IVH30" s="910"/>
      <c r="IVI30" s="910"/>
      <c r="IVJ30" s="911"/>
      <c r="IVK30" s="911"/>
      <c r="IVL30" s="910"/>
      <c r="IVM30" s="910"/>
      <c r="IVN30" s="910"/>
      <c r="IVO30" s="910"/>
      <c r="IVP30" s="910"/>
      <c r="IVQ30" s="910"/>
      <c r="IVR30" s="910"/>
      <c r="IVS30" s="910"/>
      <c r="IVT30" s="910"/>
      <c r="IVU30" s="911"/>
      <c r="IVV30" s="911"/>
      <c r="IVW30" s="910"/>
      <c r="IVX30" s="910"/>
      <c r="IVY30" s="910"/>
      <c r="IVZ30" s="910"/>
      <c r="IWA30" s="910"/>
      <c r="IWB30" s="910"/>
      <c r="IWC30" s="910"/>
      <c r="IWD30" s="910"/>
      <c r="IWE30" s="910"/>
      <c r="IWF30" s="911"/>
      <c r="IWG30" s="911"/>
      <c r="IWH30" s="910"/>
      <c r="IWI30" s="910"/>
      <c r="IWJ30" s="910"/>
      <c r="IWK30" s="910"/>
      <c r="IWL30" s="910"/>
      <c r="IWM30" s="910"/>
      <c r="IWN30" s="910"/>
      <c r="IWO30" s="910"/>
      <c r="IWP30" s="910"/>
      <c r="IWQ30" s="911"/>
      <c r="IWR30" s="911"/>
      <c r="IWS30" s="910"/>
      <c r="IWT30" s="910"/>
      <c r="IWU30" s="910"/>
      <c r="IWV30" s="910"/>
      <c r="IWW30" s="910"/>
      <c r="IWX30" s="910"/>
      <c r="IWY30" s="910"/>
      <c r="IWZ30" s="910"/>
      <c r="IXA30" s="910"/>
      <c r="IXB30" s="911"/>
      <c r="IXC30" s="911"/>
      <c r="IXD30" s="910"/>
      <c r="IXE30" s="910"/>
      <c r="IXF30" s="910"/>
      <c r="IXG30" s="910"/>
      <c r="IXH30" s="910"/>
      <c r="IXI30" s="910"/>
      <c r="IXJ30" s="910"/>
      <c r="IXK30" s="910"/>
      <c r="IXL30" s="910"/>
      <c r="IXM30" s="911"/>
      <c r="IXN30" s="911"/>
      <c r="IXO30" s="910"/>
      <c r="IXP30" s="910"/>
      <c r="IXQ30" s="910"/>
      <c r="IXR30" s="910"/>
      <c r="IXS30" s="910"/>
      <c r="IXT30" s="910"/>
      <c r="IXU30" s="910"/>
      <c r="IXV30" s="910"/>
      <c r="IXW30" s="910"/>
      <c r="IXX30" s="911"/>
      <c r="IXY30" s="911"/>
      <c r="IXZ30" s="910"/>
      <c r="IYA30" s="910"/>
      <c r="IYB30" s="910"/>
      <c r="IYC30" s="910"/>
      <c r="IYD30" s="910"/>
      <c r="IYE30" s="910"/>
      <c r="IYF30" s="910"/>
      <c r="IYG30" s="910"/>
      <c r="IYH30" s="910"/>
      <c r="IYI30" s="911"/>
      <c r="IYJ30" s="911"/>
      <c r="IYK30" s="910"/>
      <c r="IYL30" s="910"/>
      <c r="IYM30" s="910"/>
      <c r="IYN30" s="910"/>
      <c r="IYO30" s="910"/>
      <c r="IYP30" s="910"/>
      <c r="IYQ30" s="910"/>
      <c r="IYR30" s="910"/>
      <c r="IYS30" s="910"/>
      <c r="IYT30" s="911"/>
      <c r="IYU30" s="911"/>
      <c r="IYV30" s="910"/>
      <c r="IYW30" s="910"/>
      <c r="IYX30" s="910"/>
      <c r="IYY30" s="910"/>
      <c r="IYZ30" s="910"/>
      <c r="IZA30" s="910"/>
      <c r="IZB30" s="910"/>
      <c r="IZC30" s="910"/>
      <c r="IZD30" s="910"/>
      <c r="IZE30" s="911"/>
      <c r="IZF30" s="911"/>
      <c r="IZG30" s="910"/>
      <c r="IZH30" s="910"/>
      <c r="IZI30" s="910"/>
      <c r="IZJ30" s="910"/>
      <c r="IZK30" s="910"/>
      <c r="IZL30" s="910"/>
      <c r="IZM30" s="910"/>
      <c r="IZN30" s="910"/>
      <c r="IZO30" s="910"/>
      <c r="IZP30" s="911"/>
      <c r="IZQ30" s="911"/>
      <c r="IZR30" s="910"/>
      <c r="IZS30" s="910"/>
      <c r="IZT30" s="910"/>
      <c r="IZU30" s="910"/>
      <c r="IZV30" s="910"/>
      <c r="IZW30" s="910"/>
      <c r="IZX30" s="910"/>
      <c r="IZY30" s="910"/>
      <c r="IZZ30" s="910"/>
      <c r="JAA30" s="911"/>
      <c r="JAB30" s="911"/>
      <c r="JAC30" s="910"/>
      <c r="JAD30" s="910"/>
      <c r="JAE30" s="910"/>
      <c r="JAF30" s="910"/>
      <c r="JAG30" s="910"/>
      <c r="JAH30" s="910"/>
      <c r="JAI30" s="910"/>
      <c r="JAJ30" s="910"/>
      <c r="JAK30" s="910"/>
      <c r="JAL30" s="911"/>
      <c r="JAM30" s="911"/>
      <c r="JAN30" s="910"/>
      <c r="JAO30" s="910"/>
      <c r="JAP30" s="910"/>
      <c r="JAQ30" s="910"/>
      <c r="JAR30" s="910"/>
      <c r="JAS30" s="910"/>
      <c r="JAT30" s="910"/>
      <c r="JAU30" s="910"/>
      <c r="JAV30" s="910"/>
      <c r="JAW30" s="911"/>
      <c r="JAX30" s="911"/>
      <c r="JAY30" s="910"/>
      <c r="JAZ30" s="910"/>
      <c r="JBA30" s="910"/>
      <c r="JBB30" s="910"/>
      <c r="JBC30" s="910"/>
      <c r="JBD30" s="910"/>
      <c r="JBE30" s="910"/>
      <c r="JBF30" s="910"/>
      <c r="JBG30" s="910"/>
      <c r="JBH30" s="911"/>
      <c r="JBI30" s="911"/>
      <c r="JBJ30" s="910"/>
      <c r="JBK30" s="910"/>
      <c r="JBL30" s="910"/>
      <c r="JBM30" s="910"/>
      <c r="JBN30" s="910"/>
      <c r="JBO30" s="910"/>
      <c r="JBP30" s="910"/>
      <c r="JBQ30" s="910"/>
      <c r="JBR30" s="910"/>
      <c r="JBS30" s="911"/>
      <c r="JBT30" s="911"/>
      <c r="JBU30" s="910"/>
      <c r="JBV30" s="910"/>
      <c r="JBW30" s="910"/>
      <c r="JBX30" s="910"/>
      <c r="JBY30" s="910"/>
      <c r="JBZ30" s="910"/>
      <c r="JCA30" s="910"/>
      <c r="JCB30" s="910"/>
      <c r="JCC30" s="910"/>
      <c r="JCD30" s="911"/>
      <c r="JCE30" s="911"/>
      <c r="JCF30" s="910"/>
      <c r="JCG30" s="910"/>
      <c r="JCH30" s="910"/>
      <c r="JCI30" s="910"/>
      <c r="JCJ30" s="910"/>
      <c r="JCK30" s="910"/>
      <c r="JCL30" s="910"/>
      <c r="JCM30" s="910"/>
      <c r="JCN30" s="910"/>
      <c r="JCO30" s="911"/>
      <c r="JCP30" s="911"/>
      <c r="JCQ30" s="910"/>
      <c r="JCR30" s="910"/>
      <c r="JCS30" s="910"/>
      <c r="JCT30" s="910"/>
      <c r="JCU30" s="910"/>
      <c r="JCV30" s="910"/>
      <c r="JCW30" s="910"/>
      <c r="JCX30" s="910"/>
      <c r="JCY30" s="910"/>
      <c r="JCZ30" s="911"/>
      <c r="JDA30" s="911"/>
      <c r="JDB30" s="910"/>
      <c r="JDC30" s="910"/>
      <c r="JDD30" s="910"/>
      <c r="JDE30" s="910"/>
      <c r="JDF30" s="910"/>
      <c r="JDG30" s="910"/>
      <c r="JDH30" s="910"/>
      <c r="JDI30" s="910"/>
      <c r="JDJ30" s="910"/>
      <c r="JDK30" s="911"/>
      <c r="JDL30" s="911"/>
      <c r="JDM30" s="910"/>
      <c r="JDN30" s="910"/>
      <c r="JDO30" s="910"/>
      <c r="JDP30" s="910"/>
      <c r="JDQ30" s="910"/>
      <c r="JDR30" s="910"/>
      <c r="JDS30" s="910"/>
      <c r="JDT30" s="910"/>
      <c r="JDU30" s="910"/>
      <c r="JDV30" s="911"/>
      <c r="JDW30" s="911"/>
      <c r="JDX30" s="910"/>
      <c r="JDY30" s="910"/>
      <c r="JDZ30" s="910"/>
      <c r="JEA30" s="910"/>
      <c r="JEB30" s="910"/>
      <c r="JEC30" s="910"/>
      <c r="JED30" s="910"/>
      <c r="JEE30" s="910"/>
      <c r="JEF30" s="910"/>
      <c r="JEG30" s="911"/>
      <c r="JEH30" s="911"/>
      <c r="JEI30" s="910"/>
      <c r="JEJ30" s="910"/>
      <c r="JEK30" s="910"/>
      <c r="JEL30" s="910"/>
      <c r="JEM30" s="910"/>
      <c r="JEN30" s="910"/>
      <c r="JEO30" s="910"/>
      <c r="JEP30" s="910"/>
      <c r="JEQ30" s="910"/>
      <c r="JER30" s="911"/>
      <c r="JES30" s="911"/>
      <c r="JET30" s="910"/>
      <c r="JEU30" s="910"/>
      <c r="JEV30" s="910"/>
      <c r="JEW30" s="910"/>
      <c r="JEX30" s="910"/>
      <c r="JEY30" s="910"/>
      <c r="JEZ30" s="910"/>
      <c r="JFA30" s="910"/>
      <c r="JFB30" s="910"/>
      <c r="JFC30" s="911"/>
      <c r="JFD30" s="911"/>
      <c r="JFE30" s="910"/>
      <c r="JFF30" s="910"/>
      <c r="JFG30" s="910"/>
      <c r="JFH30" s="910"/>
      <c r="JFI30" s="910"/>
      <c r="JFJ30" s="910"/>
      <c r="JFK30" s="910"/>
      <c r="JFL30" s="910"/>
      <c r="JFM30" s="910"/>
      <c r="JFN30" s="911"/>
      <c r="JFO30" s="911"/>
      <c r="JFP30" s="910"/>
      <c r="JFQ30" s="910"/>
      <c r="JFR30" s="910"/>
      <c r="JFS30" s="910"/>
      <c r="JFT30" s="910"/>
      <c r="JFU30" s="910"/>
      <c r="JFV30" s="910"/>
      <c r="JFW30" s="910"/>
      <c r="JFX30" s="910"/>
      <c r="JFY30" s="911"/>
      <c r="JFZ30" s="911"/>
      <c r="JGA30" s="910"/>
      <c r="JGB30" s="910"/>
      <c r="JGC30" s="910"/>
      <c r="JGD30" s="910"/>
      <c r="JGE30" s="910"/>
      <c r="JGF30" s="910"/>
      <c r="JGG30" s="910"/>
      <c r="JGH30" s="910"/>
      <c r="JGI30" s="910"/>
      <c r="JGJ30" s="911"/>
      <c r="JGK30" s="911"/>
      <c r="JGL30" s="910"/>
      <c r="JGM30" s="910"/>
      <c r="JGN30" s="910"/>
      <c r="JGO30" s="910"/>
      <c r="JGP30" s="910"/>
      <c r="JGQ30" s="910"/>
      <c r="JGR30" s="910"/>
      <c r="JGS30" s="910"/>
      <c r="JGT30" s="910"/>
      <c r="JGU30" s="911"/>
      <c r="JGV30" s="911"/>
      <c r="JGW30" s="910"/>
      <c r="JGX30" s="910"/>
      <c r="JGY30" s="910"/>
      <c r="JGZ30" s="910"/>
      <c r="JHA30" s="910"/>
      <c r="JHB30" s="910"/>
      <c r="JHC30" s="910"/>
      <c r="JHD30" s="910"/>
      <c r="JHE30" s="910"/>
      <c r="JHF30" s="911"/>
      <c r="JHG30" s="911"/>
      <c r="JHH30" s="910"/>
      <c r="JHI30" s="910"/>
      <c r="JHJ30" s="910"/>
      <c r="JHK30" s="910"/>
      <c r="JHL30" s="910"/>
      <c r="JHM30" s="910"/>
      <c r="JHN30" s="910"/>
      <c r="JHO30" s="910"/>
      <c r="JHP30" s="910"/>
      <c r="JHQ30" s="911"/>
      <c r="JHR30" s="911"/>
      <c r="JHS30" s="910"/>
      <c r="JHT30" s="910"/>
      <c r="JHU30" s="910"/>
      <c r="JHV30" s="910"/>
      <c r="JHW30" s="910"/>
      <c r="JHX30" s="910"/>
      <c r="JHY30" s="910"/>
      <c r="JHZ30" s="910"/>
      <c r="JIA30" s="910"/>
      <c r="JIB30" s="911"/>
      <c r="JIC30" s="911"/>
      <c r="JID30" s="910"/>
      <c r="JIE30" s="910"/>
      <c r="JIF30" s="910"/>
      <c r="JIG30" s="910"/>
      <c r="JIH30" s="910"/>
      <c r="JII30" s="910"/>
      <c r="JIJ30" s="910"/>
      <c r="JIK30" s="910"/>
      <c r="JIL30" s="910"/>
      <c r="JIM30" s="911"/>
      <c r="JIN30" s="911"/>
      <c r="JIO30" s="910"/>
      <c r="JIP30" s="910"/>
      <c r="JIQ30" s="910"/>
      <c r="JIR30" s="910"/>
      <c r="JIS30" s="910"/>
      <c r="JIT30" s="910"/>
      <c r="JIU30" s="910"/>
      <c r="JIV30" s="910"/>
      <c r="JIW30" s="910"/>
      <c r="JIX30" s="911"/>
      <c r="JIY30" s="911"/>
      <c r="JIZ30" s="910"/>
      <c r="JJA30" s="910"/>
      <c r="JJB30" s="910"/>
      <c r="JJC30" s="910"/>
      <c r="JJD30" s="910"/>
      <c r="JJE30" s="910"/>
      <c r="JJF30" s="910"/>
      <c r="JJG30" s="910"/>
      <c r="JJH30" s="910"/>
      <c r="JJI30" s="911"/>
      <c r="JJJ30" s="911"/>
      <c r="JJK30" s="910"/>
      <c r="JJL30" s="910"/>
      <c r="JJM30" s="910"/>
      <c r="JJN30" s="910"/>
      <c r="JJO30" s="910"/>
      <c r="JJP30" s="910"/>
      <c r="JJQ30" s="910"/>
      <c r="JJR30" s="910"/>
      <c r="JJS30" s="910"/>
      <c r="JJT30" s="911"/>
      <c r="JJU30" s="911"/>
      <c r="JJV30" s="910"/>
      <c r="JJW30" s="910"/>
      <c r="JJX30" s="910"/>
      <c r="JJY30" s="910"/>
      <c r="JJZ30" s="910"/>
      <c r="JKA30" s="910"/>
      <c r="JKB30" s="910"/>
      <c r="JKC30" s="910"/>
      <c r="JKD30" s="910"/>
      <c r="JKE30" s="911"/>
      <c r="JKF30" s="911"/>
      <c r="JKG30" s="910"/>
      <c r="JKH30" s="910"/>
      <c r="JKI30" s="910"/>
      <c r="JKJ30" s="910"/>
      <c r="JKK30" s="910"/>
      <c r="JKL30" s="910"/>
      <c r="JKM30" s="910"/>
      <c r="JKN30" s="910"/>
      <c r="JKO30" s="910"/>
      <c r="JKP30" s="911"/>
      <c r="JKQ30" s="911"/>
      <c r="JKR30" s="910"/>
      <c r="JKS30" s="910"/>
      <c r="JKT30" s="910"/>
      <c r="JKU30" s="910"/>
      <c r="JKV30" s="910"/>
      <c r="JKW30" s="910"/>
      <c r="JKX30" s="910"/>
      <c r="JKY30" s="910"/>
      <c r="JKZ30" s="910"/>
      <c r="JLA30" s="911"/>
      <c r="JLB30" s="911"/>
      <c r="JLC30" s="910"/>
      <c r="JLD30" s="910"/>
      <c r="JLE30" s="910"/>
      <c r="JLF30" s="910"/>
      <c r="JLG30" s="910"/>
      <c r="JLH30" s="910"/>
      <c r="JLI30" s="910"/>
      <c r="JLJ30" s="910"/>
      <c r="JLK30" s="910"/>
      <c r="JLL30" s="911"/>
      <c r="JLM30" s="911"/>
      <c r="JLN30" s="910"/>
      <c r="JLO30" s="910"/>
      <c r="JLP30" s="910"/>
      <c r="JLQ30" s="910"/>
      <c r="JLR30" s="910"/>
      <c r="JLS30" s="910"/>
      <c r="JLT30" s="910"/>
      <c r="JLU30" s="910"/>
      <c r="JLV30" s="910"/>
      <c r="JLW30" s="911"/>
      <c r="JLX30" s="911"/>
      <c r="JLY30" s="910"/>
      <c r="JLZ30" s="910"/>
      <c r="JMA30" s="910"/>
      <c r="JMB30" s="910"/>
      <c r="JMC30" s="910"/>
      <c r="JMD30" s="910"/>
      <c r="JME30" s="910"/>
      <c r="JMF30" s="910"/>
      <c r="JMG30" s="910"/>
      <c r="JMH30" s="911"/>
      <c r="JMI30" s="911"/>
      <c r="JMJ30" s="910"/>
      <c r="JMK30" s="910"/>
      <c r="JML30" s="910"/>
      <c r="JMM30" s="910"/>
      <c r="JMN30" s="910"/>
      <c r="JMO30" s="910"/>
      <c r="JMP30" s="910"/>
      <c r="JMQ30" s="910"/>
      <c r="JMR30" s="910"/>
      <c r="JMS30" s="911"/>
      <c r="JMT30" s="911"/>
      <c r="JMU30" s="910"/>
      <c r="JMV30" s="910"/>
      <c r="JMW30" s="910"/>
      <c r="JMX30" s="910"/>
      <c r="JMY30" s="910"/>
      <c r="JMZ30" s="910"/>
      <c r="JNA30" s="910"/>
      <c r="JNB30" s="910"/>
      <c r="JNC30" s="910"/>
      <c r="JND30" s="911"/>
      <c r="JNE30" s="911"/>
      <c r="JNF30" s="910"/>
      <c r="JNG30" s="910"/>
      <c r="JNH30" s="910"/>
      <c r="JNI30" s="910"/>
      <c r="JNJ30" s="910"/>
      <c r="JNK30" s="910"/>
      <c r="JNL30" s="910"/>
      <c r="JNM30" s="910"/>
      <c r="JNN30" s="910"/>
      <c r="JNO30" s="911"/>
      <c r="JNP30" s="911"/>
      <c r="JNQ30" s="910"/>
      <c r="JNR30" s="910"/>
      <c r="JNS30" s="910"/>
      <c r="JNT30" s="910"/>
      <c r="JNU30" s="910"/>
      <c r="JNV30" s="910"/>
      <c r="JNW30" s="910"/>
      <c r="JNX30" s="910"/>
      <c r="JNY30" s="910"/>
      <c r="JNZ30" s="911"/>
      <c r="JOA30" s="911"/>
      <c r="JOB30" s="910"/>
      <c r="JOC30" s="910"/>
      <c r="JOD30" s="910"/>
      <c r="JOE30" s="910"/>
      <c r="JOF30" s="910"/>
      <c r="JOG30" s="910"/>
      <c r="JOH30" s="910"/>
      <c r="JOI30" s="910"/>
      <c r="JOJ30" s="910"/>
      <c r="JOK30" s="911"/>
      <c r="JOL30" s="911"/>
      <c r="JOM30" s="910"/>
      <c r="JON30" s="910"/>
      <c r="JOO30" s="910"/>
      <c r="JOP30" s="910"/>
      <c r="JOQ30" s="910"/>
      <c r="JOR30" s="910"/>
      <c r="JOS30" s="910"/>
      <c r="JOT30" s="910"/>
      <c r="JOU30" s="910"/>
      <c r="JOV30" s="911"/>
      <c r="JOW30" s="911"/>
      <c r="JOX30" s="910"/>
      <c r="JOY30" s="910"/>
      <c r="JOZ30" s="910"/>
      <c r="JPA30" s="910"/>
      <c r="JPB30" s="910"/>
      <c r="JPC30" s="910"/>
      <c r="JPD30" s="910"/>
      <c r="JPE30" s="910"/>
      <c r="JPF30" s="910"/>
      <c r="JPG30" s="911"/>
      <c r="JPH30" s="911"/>
      <c r="JPI30" s="910"/>
      <c r="JPJ30" s="910"/>
      <c r="JPK30" s="910"/>
      <c r="JPL30" s="910"/>
      <c r="JPM30" s="910"/>
      <c r="JPN30" s="910"/>
      <c r="JPO30" s="910"/>
      <c r="JPP30" s="910"/>
      <c r="JPQ30" s="910"/>
      <c r="JPR30" s="911"/>
      <c r="JPS30" s="911"/>
      <c r="JPT30" s="910"/>
      <c r="JPU30" s="910"/>
      <c r="JPV30" s="910"/>
      <c r="JPW30" s="910"/>
      <c r="JPX30" s="910"/>
      <c r="JPY30" s="910"/>
      <c r="JPZ30" s="910"/>
      <c r="JQA30" s="910"/>
      <c r="JQB30" s="910"/>
      <c r="JQC30" s="911"/>
      <c r="JQD30" s="911"/>
      <c r="JQE30" s="910"/>
      <c r="JQF30" s="910"/>
      <c r="JQG30" s="910"/>
      <c r="JQH30" s="910"/>
      <c r="JQI30" s="910"/>
      <c r="JQJ30" s="910"/>
      <c r="JQK30" s="910"/>
      <c r="JQL30" s="910"/>
      <c r="JQM30" s="910"/>
      <c r="JQN30" s="911"/>
      <c r="JQO30" s="911"/>
      <c r="JQP30" s="910"/>
      <c r="JQQ30" s="910"/>
      <c r="JQR30" s="910"/>
      <c r="JQS30" s="910"/>
      <c r="JQT30" s="910"/>
      <c r="JQU30" s="910"/>
      <c r="JQV30" s="910"/>
      <c r="JQW30" s="910"/>
      <c r="JQX30" s="910"/>
      <c r="JQY30" s="911"/>
      <c r="JQZ30" s="911"/>
      <c r="JRA30" s="910"/>
      <c r="JRB30" s="910"/>
      <c r="JRC30" s="910"/>
      <c r="JRD30" s="910"/>
      <c r="JRE30" s="910"/>
      <c r="JRF30" s="910"/>
      <c r="JRG30" s="910"/>
      <c r="JRH30" s="910"/>
      <c r="JRI30" s="910"/>
      <c r="JRJ30" s="911"/>
      <c r="JRK30" s="911"/>
      <c r="JRL30" s="910"/>
      <c r="JRM30" s="910"/>
      <c r="JRN30" s="910"/>
      <c r="JRO30" s="910"/>
      <c r="JRP30" s="910"/>
      <c r="JRQ30" s="910"/>
      <c r="JRR30" s="910"/>
      <c r="JRS30" s="910"/>
      <c r="JRT30" s="910"/>
      <c r="JRU30" s="911"/>
      <c r="JRV30" s="911"/>
      <c r="JRW30" s="910"/>
      <c r="JRX30" s="910"/>
      <c r="JRY30" s="910"/>
      <c r="JRZ30" s="910"/>
      <c r="JSA30" s="910"/>
      <c r="JSB30" s="910"/>
      <c r="JSC30" s="910"/>
      <c r="JSD30" s="910"/>
      <c r="JSE30" s="910"/>
      <c r="JSF30" s="911"/>
      <c r="JSG30" s="911"/>
      <c r="JSH30" s="910"/>
      <c r="JSI30" s="910"/>
      <c r="JSJ30" s="910"/>
      <c r="JSK30" s="910"/>
      <c r="JSL30" s="910"/>
      <c r="JSM30" s="910"/>
      <c r="JSN30" s="910"/>
      <c r="JSO30" s="910"/>
      <c r="JSP30" s="910"/>
      <c r="JSQ30" s="911"/>
      <c r="JSR30" s="911"/>
      <c r="JSS30" s="910"/>
      <c r="JST30" s="910"/>
      <c r="JSU30" s="910"/>
      <c r="JSV30" s="910"/>
      <c r="JSW30" s="910"/>
      <c r="JSX30" s="910"/>
      <c r="JSY30" s="910"/>
      <c r="JSZ30" s="910"/>
      <c r="JTA30" s="910"/>
      <c r="JTB30" s="911"/>
      <c r="JTC30" s="911"/>
      <c r="JTD30" s="910"/>
      <c r="JTE30" s="910"/>
      <c r="JTF30" s="910"/>
      <c r="JTG30" s="910"/>
      <c r="JTH30" s="910"/>
      <c r="JTI30" s="910"/>
      <c r="JTJ30" s="910"/>
      <c r="JTK30" s="910"/>
      <c r="JTL30" s="910"/>
      <c r="JTM30" s="911"/>
      <c r="JTN30" s="911"/>
      <c r="JTO30" s="910"/>
      <c r="JTP30" s="910"/>
      <c r="JTQ30" s="910"/>
      <c r="JTR30" s="910"/>
      <c r="JTS30" s="910"/>
      <c r="JTT30" s="910"/>
      <c r="JTU30" s="910"/>
      <c r="JTV30" s="910"/>
      <c r="JTW30" s="910"/>
      <c r="JTX30" s="911"/>
      <c r="JTY30" s="911"/>
      <c r="JTZ30" s="910"/>
      <c r="JUA30" s="910"/>
      <c r="JUB30" s="910"/>
      <c r="JUC30" s="910"/>
      <c r="JUD30" s="910"/>
      <c r="JUE30" s="910"/>
      <c r="JUF30" s="910"/>
      <c r="JUG30" s="910"/>
      <c r="JUH30" s="910"/>
      <c r="JUI30" s="911"/>
      <c r="JUJ30" s="911"/>
      <c r="JUK30" s="910"/>
      <c r="JUL30" s="910"/>
      <c r="JUM30" s="910"/>
      <c r="JUN30" s="910"/>
      <c r="JUO30" s="910"/>
      <c r="JUP30" s="910"/>
      <c r="JUQ30" s="910"/>
      <c r="JUR30" s="910"/>
      <c r="JUS30" s="910"/>
      <c r="JUT30" s="911"/>
      <c r="JUU30" s="911"/>
      <c r="JUV30" s="910"/>
      <c r="JUW30" s="910"/>
      <c r="JUX30" s="910"/>
      <c r="JUY30" s="910"/>
      <c r="JUZ30" s="910"/>
      <c r="JVA30" s="910"/>
      <c r="JVB30" s="910"/>
      <c r="JVC30" s="910"/>
      <c r="JVD30" s="910"/>
      <c r="JVE30" s="911"/>
      <c r="JVF30" s="911"/>
      <c r="JVG30" s="910"/>
      <c r="JVH30" s="910"/>
      <c r="JVI30" s="910"/>
      <c r="JVJ30" s="910"/>
      <c r="JVK30" s="910"/>
      <c r="JVL30" s="910"/>
      <c r="JVM30" s="910"/>
      <c r="JVN30" s="910"/>
      <c r="JVO30" s="910"/>
      <c r="JVP30" s="911"/>
      <c r="JVQ30" s="911"/>
      <c r="JVR30" s="910"/>
      <c r="JVS30" s="910"/>
      <c r="JVT30" s="910"/>
      <c r="JVU30" s="910"/>
      <c r="JVV30" s="910"/>
      <c r="JVW30" s="910"/>
      <c r="JVX30" s="910"/>
      <c r="JVY30" s="910"/>
      <c r="JVZ30" s="910"/>
      <c r="JWA30" s="911"/>
      <c r="JWB30" s="911"/>
      <c r="JWC30" s="910"/>
      <c r="JWD30" s="910"/>
      <c r="JWE30" s="910"/>
      <c r="JWF30" s="910"/>
      <c r="JWG30" s="910"/>
      <c r="JWH30" s="910"/>
      <c r="JWI30" s="910"/>
      <c r="JWJ30" s="910"/>
      <c r="JWK30" s="910"/>
      <c r="JWL30" s="911"/>
      <c r="JWM30" s="911"/>
      <c r="JWN30" s="910"/>
      <c r="JWO30" s="910"/>
      <c r="JWP30" s="910"/>
      <c r="JWQ30" s="910"/>
      <c r="JWR30" s="910"/>
      <c r="JWS30" s="910"/>
      <c r="JWT30" s="910"/>
      <c r="JWU30" s="910"/>
      <c r="JWV30" s="910"/>
      <c r="JWW30" s="911"/>
      <c r="JWX30" s="911"/>
      <c r="JWY30" s="910"/>
      <c r="JWZ30" s="910"/>
      <c r="JXA30" s="910"/>
      <c r="JXB30" s="910"/>
      <c r="JXC30" s="910"/>
      <c r="JXD30" s="910"/>
      <c r="JXE30" s="910"/>
      <c r="JXF30" s="910"/>
      <c r="JXG30" s="910"/>
      <c r="JXH30" s="911"/>
      <c r="JXI30" s="911"/>
      <c r="JXJ30" s="910"/>
      <c r="JXK30" s="910"/>
      <c r="JXL30" s="910"/>
      <c r="JXM30" s="910"/>
      <c r="JXN30" s="910"/>
      <c r="JXO30" s="910"/>
      <c r="JXP30" s="910"/>
      <c r="JXQ30" s="910"/>
      <c r="JXR30" s="910"/>
      <c r="JXS30" s="911"/>
      <c r="JXT30" s="911"/>
      <c r="JXU30" s="910"/>
      <c r="JXV30" s="910"/>
      <c r="JXW30" s="910"/>
      <c r="JXX30" s="910"/>
      <c r="JXY30" s="910"/>
      <c r="JXZ30" s="910"/>
      <c r="JYA30" s="910"/>
      <c r="JYB30" s="910"/>
      <c r="JYC30" s="910"/>
      <c r="JYD30" s="911"/>
      <c r="JYE30" s="911"/>
      <c r="JYF30" s="910"/>
      <c r="JYG30" s="910"/>
      <c r="JYH30" s="910"/>
      <c r="JYI30" s="910"/>
      <c r="JYJ30" s="910"/>
      <c r="JYK30" s="910"/>
      <c r="JYL30" s="910"/>
      <c r="JYM30" s="910"/>
      <c r="JYN30" s="910"/>
      <c r="JYO30" s="911"/>
      <c r="JYP30" s="911"/>
      <c r="JYQ30" s="910"/>
      <c r="JYR30" s="910"/>
      <c r="JYS30" s="910"/>
      <c r="JYT30" s="910"/>
      <c r="JYU30" s="910"/>
      <c r="JYV30" s="910"/>
      <c r="JYW30" s="910"/>
      <c r="JYX30" s="910"/>
      <c r="JYY30" s="910"/>
      <c r="JYZ30" s="911"/>
      <c r="JZA30" s="911"/>
      <c r="JZB30" s="910"/>
      <c r="JZC30" s="910"/>
      <c r="JZD30" s="910"/>
      <c r="JZE30" s="910"/>
      <c r="JZF30" s="910"/>
      <c r="JZG30" s="910"/>
      <c r="JZH30" s="910"/>
      <c r="JZI30" s="910"/>
      <c r="JZJ30" s="910"/>
      <c r="JZK30" s="911"/>
      <c r="JZL30" s="911"/>
      <c r="JZM30" s="910"/>
      <c r="JZN30" s="910"/>
      <c r="JZO30" s="910"/>
      <c r="JZP30" s="910"/>
      <c r="JZQ30" s="910"/>
      <c r="JZR30" s="910"/>
      <c r="JZS30" s="910"/>
      <c r="JZT30" s="910"/>
      <c r="JZU30" s="910"/>
      <c r="JZV30" s="911"/>
      <c r="JZW30" s="911"/>
      <c r="JZX30" s="910"/>
      <c r="JZY30" s="910"/>
      <c r="JZZ30" s="910"/>
      <c r="KAA30" s="910"/>
      <c r="KAB30" s="910"/>
      <c r="KAC30" s="910"/>
      <c r="KAD30" s="910"/>
      <c r="KAE30" s="910"/>
      <c r="KAF30" s="910"/>
      <c r="KAG30" s="911"/>
      <c r="KAH30" s="911"/>
      <c r="KAI30" s="910"/>
      <c r="KAJ30" s="910"/>
      <c r="KAK30" s="910"/>
      <c r="KAL30" s="910"/>
      <c r="KAM30" s="910"/>
      <c r="KAN30" s="910"/>
      <c r="KAO30" s="910"/>
      <c r="KAP30" s="910"/>
      <c r="KAQ30" s="910"/>
      <c r="KAR30" s="911"/>
      <c r="KAS30" s="911"/>
      <c r="KAT30" s="910"/>
      <c r="KAU30" s="910"/>
      <c r="KAV30" s="910"/>
      <c r="KAW30" s="910"/>
      <c r="KAX30" s="910"/>
      <c r="KAY30" s="910"/>
      <c r="KAZ30" s="910"/>
      <c r="KBA30" s="910"/>
      <c r="KBB30" s="910"/>
      <c r="KBC30" s="911"/>
      <c r="KBD30" s="911"/>
      <c r="KBE30" s="910"/>
      <c r="KBF30" s="910"/>
      <c r="KBG30" s="910"/>
      <c r="KBH30" s="910"/>
      <c r="KBI30" s="910"/>
      <c r="KBJ30" s="910"/>
      <c r="KBK30" s="910"/>
      <c r="KBL30" s="910"/>
      <c r="KBM30" s="910"/>
      <c r="KBN30" s="911"/>
      <c r="KBO30" s="911"/>
      <c r="KBP30" s="910"/>
      <c r="KBQ30" s="910"/>
      <c r="KBR30" s="910"/>
      <c r="KBS30" s="910"/>
      <c r="KBT30" s="910"/>
      <c r="KBU30" s="910"/>
      <c r="KBV30" s="910"/>
      <c r="KBW30" s="910"/>
      <c r="KBX30" s="910"/>
      <c r="KBY30" s="911"/>
      <c r="KBZ30" s="911"/>
      <c r="KCA30" s="910"/>
      <c r="KCB30" s="910"/>
      <c r="KCC30" s="910"/>
      <c r="KCD30" s="910"/>
      <c r="KCE30" s="910"/>
      <c r="KCF30" s="910"/>
      <c r="KCG30" s="910"/>
      <c r="KCH30" s="910"/>
      <c r="KCI30" s="910"/>
      <c r="KCJ30" s="911"/>
      <c r="KCK30" s="911"/>
      <c r="KCL30" s="910"/>
      <c r="KCM30" s="910"/>
      <c r="KCN30" s="910"/>
      <c r="KCO30" s="910"/>
      <c r="KCP30" s="910"/>
      <c r="KCQ30" s="910"/>
      <c r="KCR30" s="910"/>
      <c r="KCS30" s="910"/>
      <c r="KCT30" s="910"/>
      <c r="KCU30" s="911"/>
      <c r="KCV30" s="911"/>
      <c r="KCW30" s="910"/>
      <c r="KCX30" s="910"/>
      <c r="KCY30" s="910"/>
      <c r="KCZ30" s="910"/>
      <c r="KDA30" s="910"/>
      <c r="KDB30" s="910"/>
      <c r="KDC30" s="910"/>
      <c r="KDD30" s="910"/>
      <c r="KDE30" s="910"/>
      <c r="KDF30" s="911"/>
      <c r="KDG30" s="911"/>
      <c r="KDH30" s="910"/>
      <c r="KDI30" s="910"/>
      <c r="KDJ30" s="910"/>
      <c r="KDK30" s="910"/>
      <c r="KDL30" s="910"/>
      <c r="KDM30" s="910"/>
      <c r="KDN30" s="910"/>
      <c r="KDO30" s="910"/>
      <c r="KDP30" s="910"/>
      <c r="KDQ30" s="911"/>
      <c r="KDR30" s="911"/>
      <c r="KDS30" s="910"/>
      <c r="KDT30" s="910"/>
      <c r="KDU30" s="910"/>
      <c r="KDV30" s="910"/>
      <c r="KDW30" s="910"/>
      <c r="KDX30" s="910"/>
      <c r="KDY30" s="910"/>
      <c r="KDZ30" s="910"/>
      <c r="KEA30" s="910"/>
      <c r="KEB30" s="911"/>
      <c r="KEC30" s="911"/>
      <c r="KED30" s="910"/>
      <c r="KEE30" s="910"/>
      <c r="KEF30" s="910"/>
      <c r="KEG30" s="910"/>
      <c r="KEH30" s="910"/>
      <c r="KEI30" s="910"/>
      <c r="KEJ30" s="910"/>
      <c r="KEK30" s="910"/>
      <c r="KEL30" s="910"/>
      <c r="KEM30" s="911"/>
      <c r="KEN30" s="911"/>
      <c r="KEO30" s="910"/>
      <c r="KEP30" s="910"/>
      <c r="KEQ30" s="910"/>
      <c r="KER30" s="910"/>
      <c r="KES30" s="910"/>
      <c r="KET30" s="910"/>
      <c r="KEU30" s="910"/>
      <c r="KEV30" s="910"/>
      <c r="KEW30" s="910"/>
      <c r="KEX30" s="911"/>
      <c r="KEY30" s="911"/>
      <c r="KEZ30" s="910"/>
      <c r="KFA30" s="910"/>
      <c r="KFB30" s="910"/>
      <c r="KFC30" s="910"/>
      <c r="KFD30" s="910"/>
      <c r="KFE30" s="910"/>
      <c r="KFF30" s="910"/>
      <c r="KFG30" s="910"/>
      <c r="KFH30" s="910"/>
      <c r="KFI30" s="911"/>
      <c r="KFJ30" s="911"/>
      <c r="KFK30" s="910"/>
      <c r="KFL30" s="910"/>
      <c r="KFM30" s="910"/>
      <c r="KFN30" s="910"/>
      <c r="KFO30" s="910"/>
      <c r="KFP30" s="910"/>
      <c r="KFQ30" s="910"/>
      <c r="KFR30" s="910"/>
      <c r="KFS30" s="910"/>
      <c r="KFT30" s="911"/>
      <c r="KFU30" s="911"/>
      <c r="KFV30" s="910"/>
      <c r="KFW30" s="910"/>
      <c r="KFX30" s="910"/>
      <c r="KFY30" s="910"/>
      <c r="KFZ30" s="910"/>
      <c r="KGA30" s="910"/>
      <c r="KGB30" s="910"/>
      <c r="KGC30" s="910"/>
      <c r="KGD30" s="910"/>
      <c r="KGE30" s="911"/>
      <c r="KGF30" s="911"/>
      <c r="KGG30" s="910"/>
      <c r="KGH30" s="910"/>
      <c r="KGI30" s="910"/>
      <c r="KGJ30" s="910"/>
      <c r="KGK30" s="910"/>
      <c r="KGL30" s="910"/>
      <c r="KGM30" s="910"/>
      <c r="KGN30" s="910"/>
      <c r="KGO30" s="910"/>
      <c r="KGP30" s="911"/>
      <c r="KGQ30" s="911"/>
      <c r="KGR30" s="910"/>
      <c r="KGS30" s="910"/>
      <c r="KGT30" s="910"/>
      <c r="KGU30" s="910"/>
      <c r="KGV30" s="910"/>
      <c r="KGW30" s="910"/>
      <c r="KGX30" s="910"/>
      <c r="KGY30" s="910"/>
      <c r="KGZ30" s="910"/>
      <c r="KHA30" s="911"/>
      <c r="KHB30" s="911"/>
      <c r="KHC30" s="910"/>
      <c r="KHD30" s="910"/>
      <c r="KHE30" s="910"/>
      <c r="KHF30" s="910"/>
      <c r="KHG30" s="910"/>
      <c r="KHH30" s="910"/>
      <c r="KHI30" s="910"/>
      <c r="KHJ30" s="910"/>
      <c r="KHK30" s="910"/>
      <c r="KHL30" s="911"/>
      <c r="KHM30" s="911"/>
      <c r="KHN30" s="910"/>
      <c r="KHO30" s="910"/>
      <c r="KHP30" s="910"/>
      <c r="KHQ30" s="910"/>
      <c r="KHR30" s="910"/>
      <c r="KHS30" s="910"/>
      <c r="KHT30" s="910"/>
      <c r="KHU30" s="910"/>
      <c r="KHV30" s="910"/>
      <c r="KHW30" s="911"/>
      <c r="KHX30" s="911"/>
      <c r="KHY30" s="910"/>
      <c r="KHZ30" s="910"/>
      <c r="KIA30" s="910"/>
      <c r="KIB30" s="910"/>
      <c r="KIC30" s="910"/>
      <c r="KID30" s="910"/>
      <c r="KIE30" s="910"/>
      <c r="KIF30" s="910"/>
      <c r="KIG30" s="910"/>
      <c r="KIH30" s="911"/>
      <c r="KII30" s="911"/>
      <c r="KIJ30" s="910"/>
      <c r="KIK30" s="910"/>
      <c r="KIL30" s="910"/>
      <c r="KIM30" s="910"/>
      <c r="KIN30" s="910"/>
      <c r="KIO30" s="910"/>
      <c r="KIP30" s="910"/>
      <c r="KIQ30" s="910"/>
      <c r="KIR30" s="910"/>
      <c r="KIS30" s="911"/>
      <c r="KIT30" s="911"/>
      <c r="KIU30" s="910"/>
      <c r="KIV30" s="910"/>
      <c r="KIW30" s="910"/>
      <c r="KIX30" s="910"/>
      <c r="KIY30" s="910"/>
      <c r="KIZ30" s="910"/>
      <c r="KJA30" s="910"/>
      <c r="KJB30" s="910"/>
      <c r="KJC30" s="910"/>
      <c r="KJD30" s="911"/>
      <c r="KJE30" s="911"/>
      <c r="KJF30" s="910"/>
      <c r="KJG30" s="910"/>
      <c r="KJH30" s="910"/>
      <c r="KJI30" s="910"/>
      <c r="KJJ30" s="910"/>
      <c r="KJK30" s="910"/>
      <c r="KJL30" s="910"/>
      <c r="KJM30" s="910"/>
      <c r="KJN30" s="910"/>
      <c r="KJO30" s="911"/>
      <c r="KJP30" s="911"/>
      <c r="KJQ30" s="910"/>
      <c r="KJR30" s="910"/>
      <c r="KJS30" s="910"/>
      <c r="KJT30" s="910"/>
      <c r="KJU30" s="910"/>
      <c r="KJV30" s="910"/>
      <c r="KJW30" s="910"/>
      <c r="KJX30" s="910"/>
      <c r="KJY30" s="910"/>
      <c r="KJZ30" s="911"/>
      <c r="KKA30" s="911"/>
      <c r="KKB30" s="910"/>
      <c r="KKC30" s="910"/>
      <c r="KKD30" s="910"/>
      <c r="KKE30" s="910"/>
      <c r="KKF30" s="910"/>
      <c r="KKG30" s="910"/>
      <c r="KKH30" s="910"/>
      <c r="KKI30" s="910"/>
      <c r="KKJ30" s="910"/>
      <c r="KKK30" s="911"/>
      <c r="KKL30" s="911"/>
      <c r="KKM30" s="910"/>
      <c r="KKN30" s="910"/>
      <c r="KKO30" s="910"/>
      <c r="KKP30" s="910"/>
      <c r="KKQ30" s="910"/>
      <c r="KKR30" s="910"/>
      <c r="KKS30" s="910"/>
      <c r="KKT30" s="910"/>
      <c r="KKU30" s="910"/>
      <c r="KKV30" s="911"/>
      <c r="KKW30" s="911"/>
      <c r="KKX30" s="910"/>
      <c r="KKY30" s="910"/>
      <c r="KKZ30" s="910"/>
      <c r="KLA30" s="910"/>
      <c r="KLB30" s="910"/>
      <c r="KLC30" s="910"/>
      <c r="KLD30" s="910"/>
      <c r="KLE30" s="910"/>
      <c r="KLF30" s="910"/>
      <c r="KLG30" s="911"/>
      <c r="KLH30" s="911"/>
      <c r="KLI30" s="910"/>
      <c r="KLJ30" s="910"/>
      <c r="KLK30" s="910"/>
      <c r="KLL30" s="910"/>
      <c r="KLM30" s="910"/>
      <c r="KLN30" s="910"/>
      <c r="KLO30" s="910"/>
      <c r="KLP30" s="910"/>
      <c r="KLQ30" s="910"/>
      <c r="KLR30" s="911"/>
      <c r="KLS30" s="911"/>
      <c r="KLT30" s="910"/>
      <c r="KLU30" s="910"/>
      <c r="KLV30" s="910"/>
      <c r="KLW30" s="910"/>
      <c r="KLX30" s="910"/>
      <c r="KLY30" s="910"/>
      <c r="KLZ30" s="910"/>
      <c r="KMA30" s="910"/>
      <c r="KMB30" s="910"/>
      <c r="KMC30" s="911"/>
      <c r="KMD30" s="911"/>
      <c r="KME30" s="910"/>
      <c r="KMF30" s="910"/>
      <c r="KMG30" s="910"/>
      <c r="KMH30" s="910"/>
      <c r="KMI30" s="910"/>
      <c r="KMJ30" s="910"/>
      <c r="KMK30" s="910"/>
      <c r="KML30" s="910"/>
      <c r="KMM30" s="910"/>
      <c r="KMN30" s="911"/>
      <c r="KMO30" s="911"/>
      <c r="KMP30" s="910"/>
      <c r="KMQ30" s="910"/>
      <c r="KMR30" s="910"/>
      <c r="KMS30" s="910"/>
      <c r="KMT30" s="910"/>
      <c r="KMU30" s="910"/>
      <c r="KMV30" s="910"/>
      <c r="KMW30" s="910"/>
      <c r="KMX30" s="910"/>
      <c r="KMY30" s="911"/>
      <c r="KMZ30" s="911"/>
      <c r="KNA30" s="910"/>
      <c r="KNB30" s="910"/>
      <c r="KNC30" s="910"/>
      <c r="KND30" s="910"/>
      <c r="KNE30" s="910"/>
      <c r="KNF30" s="910"/>
      <c r="KNG30" s="910"/>
      <c r="KNH30" s="910"/>
      <c r="KNI30" s="910"/>
      <c r="KNJ30" s="911"/>
      <c r="KNK30" s="911"/>
      <c r="KNL30" s="910"/>
      <c r="KNM30" s="910"/>
      <c r="KNN30" s="910"/>
      <c r="KNO30" s="910"/>
      <c r="KNP30" s="910"/>
      <c r="KNQ30" s="910"/>
      <c r="KNR30" s="910"/>
      <c r="KNS30" s="910"/>
      <c r="KNT30" s="910"/>
      <c r="KNU30" s="911"/>
      <c r="KNV30" s="911"/>
      <c r="KNW30" s="910"/>
      <c r="KNX30" s="910"/>
      <c r="KNY30" s="910"/>
      <c r="KNZ30" s="910"/>
      <c r="KOA30" s="910"/>
      <c r="KOB30" s="910"/>
      <c r="KOC30" s="910"/>
      <c r="KOD30" s="910"/>
      <c r="KOE30" s="910"/>
      <c r="KOF30" s="911"/>
      <c r="KOG30" s="911"/>
      <c r="KOH30" s="910"/>
      <c r="KOI30" s="910"/>
      <c r="KOJ30" s="910"/>
      <c r="KOK30" s="910"/>
      <c r="KOL30" s="910"/>
      <c r="KOM30" s="910"/>
      <c r="KON30" s="910"/>
      <c r="KOO30" s="910"/>
      <c r="KOP30" s="910"/>
      <c r="KOQ30" s="911"/>
      <c r="KOR30" s="911"/>
      <c r="KOS30" s="910"/>
      <c r="KOT30" s="910"/>
      <c r="KOU30" s="910"/>
      <c r="KOV30" s="910"/>
      <c r="KOW30" s="910"/>
      <c r="KOX30" s="910"/>
      <c r="KOY30" s="910"/>
      <c r="KOZ30" s="910"/>
      <c r="KPA30" s="910"/>
      <c r="KPB30" s="911"/>
      <c r="KPC30" s="911"/>
      <c r="KPD30" s="910"/>
      <c r="KPE30" s="910"/>
      <c r="KPF30" s="910"/>
      <c r="KPG30" s="910"/>
      <c r="KPH30" s="910"/>
      <c r="KPI30" s="910"/>
      <c r="KPJ30" s="910"/>
      <c r="KPK30" s="910"/>
      <c r="KPL30" s="910"/>
      <c r="KPM30" s="911"/>
      <c r="KPN30" s="911"/>
      <c r="KPO30" s="910"/>
      <c r="KPP30" s="910"/>
      <c r="KPQ30" s="910"/>
      <c r="KPR30" s="910"/>
      <c r="KPS30" s="910"/>
      <c r="KPT30" s="910"/>
      <c r="KPU30" s="910"/>
      <c r="KPV30" s="910"/>
      <c r="KPW30" s="910"/>
      <c r="KPX30" s="911"/>
      <c r="KPY30" s="911"/>
      <c r="KPZ30" s="910"/>
      <c r="KQA30" s="910"/>
      <c r="KQB30" s="910"/>
      <c r="KQC30" s="910"/>
      <c r="KQD30" s="910"/>
      <c r="KQE30" s="910"/>
      <c r="KQF30" s="910"/>
      <c r="KQG30" s="910"/>
      <c r="KQH30" s="910"/>
      <c r="KQI30" s="911"/>
      <c r="KQJ30" s="911"/>
      <c r="KQK30" s="910"/>
      <c r="KQL30" s="910"/>
      <c r="KQM30" s="910"/>
      <c r="KQN30" s="910"/>
      <c r="KQO30" s="910"/>
      <c r="KQP30" s="910"/>
      <c r="KQQ30" s="910"/>
      <c r="KQR30" s="910"/>
      <c r="KQS30" s="910"/>
      <c r="KQT30" s="911"/>
      <c r="KQU30" s="911"/>
      <c r="KQV30" s="910"/>
      <c r="KQW30" s="910"/>
      <c r="KQX30" s="910"/>
      <c r="KQY30" s="910"/>
      <c r="KQZ30" s="910"/>
      <c r="KRA30" s="910"/>
      <c r="KRB30" s="910"/>
      <c r="KRC30" s="910"/>
      <c r="KRD30" s="910"/>
      <c r="KRE30" s="911"/>
      <c r="KRF30" s="911"/>
      <c r="KRG30" s="910"/>
      <c r="KRH30" s="910"/>
      <c r="KRI30" s="910"/>
      <c r="KRJ30" s="910"/>
      <c r="KRK30" s="910"/>
      <c r="KRL30" s="910"/>
      <c r="KRM30" s="910"/>
      <c r="KRN30" s="910"/>
      <c r="KRO30" s="910"/>
      <c r="KRP30" s="911"/>
      <c r="KRQ30" s="911"/>
      <c r="KRR30" s="910"/>
      <c r="KRS30" s="910"/>
      <c r="KRT30" s="910"/>
      <c r="KRU30" s="910"/>
      <c r="KRV30" s="910"/>
      <c r="KRW30" s="910"/>
      <c r="KRX30" s="910"/>
      <c r="KRY30" s="910"/>
      <c r="KRZ30" s="910"/>
      <c r="KSA30" s="911"/>
      <c r="KSB30" s="911"/>
      <c r="KSC30" s="910"/>
      <c r="KSD30" s="910"/>
      <c r="KSE30" s="910"/>
      <c r="KSF30" s="910"/>
      <c r="KSG30" s="910"/>
      <c r="KSH30" s="910"/>
      <c r="KSI30" s="910"/>
      <c r="KSJ30" s="910"/>
      <c r="KSK30" s="910"/>
      <c r="KSL30" s="911"/>
      <c r="KSM30" s="911"/>
      <c r="KSN30" s="910"/>
      <c r="KSO30" s="910"/>
      <c r="KSP30" s="910"/>
      <c r="KSQ30" s="910"/>
      <c r="KSR30" s="910"/>
      <c r="KSS30" s="910"/>
      <c r="KST30" s="910"/>
      <c r="KSU30" s="910"/>
      <c r="KSV30" s="910"/>
      <c r="KSW30" s="911"/>
      <c r="KSX30" s="911"/>
      <c r="KSY30" s="910"/>
      <c r="KSZ30" s="910"/>
      <c r="KTA30" s="910"/>
      <c r="KTB30" s="910"/>
      <c r="KTC30" s="910"/>
      <c r="KTD30" s="910"/>
      <c r="KTE30" s="910"/>
      <c r="KTF30" s="910"/>
      <c r="KTG30" s="910"/>
      <c r="KTH30" s="911"/>
      <c r="KTI30" s="911"/>
      <c r="KTJ30" s="910"/>
      <c r="KTK30" s="910"/>
      <c r="KTL30" s="910"/>
      <c r="KTM30" s="910"/>
      <c r="KTN30" s="910"/>
      <c r="KTO30" s="910"/>
      <c r="KTP30" s="910"/>
      <c r="KTQ30" s="910"/>
      <c r="KTR30" s="910"/>
      <c r="KTS30" s="911"/>
      <c r="KTT30" s="911"/>
      <c r="KTU30" s="910"/>
      <c r="KTV30" s="910"/>
      <c r="KTW30" s="910"/>
      <c r="KTX30" s="910"/>
      <c r="KTY30" s="910"/>
      <c r="KTZ30" s="910"/>
      <c r="KUA30" s="910"/>
      <c r="KUB30" s="910"/>
      <c r="KUC30" s="910"/>
      <c r="KUD30" s="911"/>
      <c r="KUE30" s="911"/>
      <c r="KUF30" s="910"/>
      <c r="KUG30" s="910"/>
      <c r="KUH30" s="910"/>
      <c r="KUI30" s="910"/>
      <c r="KUJ30" s="910"/>
      <c r="KUK30" s="910"/>
      <c r="KUL30" s="910"/>
      <c r="KUM30" s="910"/>
      <c r="KUN30" s="910"/>
      <c r="KUO30" s="911"/>
      <c r="KUP30" s="911"/>
      <c r="KUQ30" s="910"/>
      <c r="KUR30" s="910"/>
      <c r="KUS30" s="910"/>
      <c r="KUT30" s="910"/>
      <c r="KUU30" s="910"/>
      <c r="KUV30" s="910"/>
      <c r="KUW30" s="910"/>
      <c r="KUX30" s="910"/>
      <c r="KUY30" s="910"/>
      <c r="KUZ30" s="911"/>
      <c r="KVA30" s="911"/>
      <c r="KVB30" s="910"/>
      <c r="KVC30" s="910"/>
      <c r="KVD30" s="910"/>
      <c r="KVE30" s="910"/>
      <c r="KVF30" s="910"/>
      <c r="KVG30" s="910"/>
      <c r="KVH30" s="910"/>
      <c r="KVI30" s="910"/>
      <c r="KVJ30" s="910"/>
      <c r="KVK30" s="911"/>
      <c r="KVL30" s="911"/>
      <c r="KVM30" s="910"/>
      <c r="KVN30" s="910"/>
      <c r="KVO30" s="910"/>
      <c r="KVP30" s="910"/>
      <c r="KVQ30" s="910"/>
      <c r="KVR30" s="910"/>
      <c r="KVS30" s="910"/>
      <c r="KVT30" s="910"/>
      <c r="KVU30" s="910"/>
      <c r="KVV30" s="911"/>
      <c r="KVW30" s="911"/>
      <c r="KVX30" s="910"/>
      <c r="KVY30" s="910"/>
      <c r="KVZ30" s="910"/>
      <c r="KWA30" s="910"/>
      <c r="KWB30" s="910"/>
      <c r="KWC30" s="910"/>
      <c r="KWD30" s="910"/>
      <c r="KWE30" s="910"/>
      <c r="KWF30" s="910"/>
      <c r="KWG30" s="911"/>
      <c r="KWH30" s="911"/>
      <c r="KWI30" s="910"/>
      <c r="KWJ30" s="910"/>
      <c r="KWK30" s="910"/>
      <c r="KWL30" s="910"/>
      <c r="KWM30" s="910"/>
      <c r="KWN30" s="910"/>
      <c r="KWO30" s="910"/>
      <c r="KWP30" s="910"/>
      <c r="KWQ30" s="910"/>
      <c r="KWR30" s="911"/>
      <c r="KWS30" s="911"/>
      <c r="KWT30" s="910"/>
      <c r="KWU30" s="910"/>
      <c r="KWV30" s="910"/>
      <c r="KWW30" s="910"/>
      <c r="KWX30" s="910"/>
      <c r="KWY30" s="910"/>
      <c r="KWZ30" s="910"/>
      <c r="KXA30" s="910"/>
      <c r="KXB30" s="910"/>
      <c r="KXC30" s="911"/>
      <c r="KXD30" s="911"/>
      <c r="KXE30" s="910"/>
      <c r="KXF30" s="910"/>
      <c r="KXG30" s="910"/>
      <c r="KXH30" s="910"/>
      <c r="KXI30" s="910"/>
      <c r="KXJ30" s="910"/>
      <c r="KXK30" s="910"/>
      <c r="KXL30" s="910"/>
      <c r="KXM30" s="910"/>
      <c r="KXN30" s="911"/>
      <c r="KXO30" s="911"/>
      <c r="KXP30" s="910"/>
      <c r="KXQ30" s="910"/>
      <c r="KXR30" s="910"/>
      <c r="KXS30" s="910"/>
      <c r="KXT30" s="910"/>
      <c r="KXU30" s="910"/>
      <c r="KXV30" s="910"/>
      <c r="KXW30" s="910"/>
      <c r="KXX30" s="910"/>
      <c r="KXY30" s="911"/>
      <c r="KXZ30" s="911"/>
      <c r="KYA30" s="910"/>
      <c r="KYB30" s="910"/>
      <c r="KYC30" s="910"/>
      <c r="KYD30" s="910"/>
      <c r="KYE30" s="910"/>
      <c r="KYF30" s="910"/>
      <c r="KYG30" s="910"/>
      <c r="KYH30" s="910"/>
      <c r="KYI30" s="910"/>
      <c r="KYJ30" s="911"/>
      <c r="KYK30" s="911"/>
      <c r="KYL30" s="910"/>
      <c r="KYM30" s="910"/>
      <c r="KYN30" s="910"/>
      <c r="KYO30" s="910"/>
      <c r="KYP30" s="910"/>
      <c r="KYQ30" s="910"/>
      <c r="KYR30" s="910"/>
      <c r="KYS30" s="910"/>
      <c r="KYT30" s="910"/>
      <c r="KYU30" s="911"/>
      <c r="KYV30" s="911"/>
      <c r="KYW30" s="910"/>
      <c r="KYX30" s="910"/>
      <c r="KYY30" s="910"/>
      <c r="KYZ30" s="910"/>
      <c r="KZA30" s="910"/>
      <c r="KZB30" s="910"/>
      <c r="KZC30" s="910"/>
      <c r="KZD30" s="910"/>
      <c r="KZE30" s="910"/>
      <c r="KZF30" s="911"/>
      <c r="KZG30" s="911"/>
      <c r="KZH30" s="910"/>
      <c r="KZI30" s="910"/>
      <c r="KZJ30" s="910"/>
      <c r="KZK30" s="910"/>
      <c r="KZL30" s="910"/>
      <c r="KZM30" s="910"/>
      <c r="KZN30" s="910"/>
      <c r="KZO30" s="910"/>
      <c r="KZP30" s="910"/>
      <c r="KZQ30" s="911"/>
      <c r="KZR30" s="911"/>
      <c r="KZS30" s="910"/>
      <c r="KZT30" s="910"/>
      <c r="KZU30" s="910"/>
      <c r="KZV30" s="910"/>
      <c r="KZW30" s="910"/>
      <c r="KZX30" s="910"/>
      <c r="KZY30" s="910"/>
      <c r="KZZ30" s="910"/>
      <c r="LAA30" s="910"/>
      <c r="LAB30" s="911"/>
      <c r="LAC30" s="911"/>
      <c r="LAD30" s="910"/>
      <c r="LAE30" s="910"/>
      <c r="LAF30" s="910"/>
      <c r="LAG30" s="910"/>
      <c r="LAH30" s="910"/>
      <c r="LAI30" s="910"/>
      <c r="LAJ30" s="910"/>
      <c r="LAK30" s="910"/>
      <c r="LAL30" s="910"/>
      <c r="LAM30" s="911"/>
      <c r="LAN30" s="911"/>
      <c r="LAO30" s="910"/>
      <c r="LAP30" s="910"/>
      <c r="LAQ30" s="910"/>
      <c r="LAR30" s="910"/>
      <c r="LAS30" s="910"/>
      <c r="LAT30" s="910"/>
      <c r="LAU30" s="910"/>
      <c r="LAV30" s="910"/>
      <c r="LAW30" s="910"/>
      <c r="LAX30" s="911"/>
      <c r="LAY30" s="911"/>
      <c r="LAZ30" s="910"/>
      <c r="LBA30" s="910"/>
      <c r="LBB30" s="910"/>
      <c r="LBC30" s="910"/>
      <c r="LBD30" s="910"/>
      <c r="LBE30" s="910"/>
      <c r="LBF30" s="910"/>
      <c r="LBG30" s="910"/>
      <c r="LBH30" s="910"/>
      <c r="LBI30" s="911"/>
      <c r="LBJ30" s="911"/>
      <c r="LBK30" s="910"/>
      <c r="LBL30" s="910"/>
      <c r="LBM30" s="910"/>
      <c r="LBN30" s="910"/>
      <c r="LBO30" s="910"/>
      <c r="LBP30" s="910"/>
      <c r="LBQ30" s="910"/>
      <c r="LBR30" s="910"/>
      <c r="LBS30" s="910"/>
      <c r="LBT30" s="911"/>
      <c r="LBU30" s="911"/>
      <c r="LBV30" s="910"/>
      <c r="LBW30" s="910"/>
      <c r="LBX30" s="910"/>
      <c r="LBY30" s="910"/>
      <c r="LBZ30" s="910"/>
      <c r="LCA30" s="910"/>
      <c r="LCB30" s="910"/>
      <c r="LCC30" s="910"/>
      <c r="LCD30" s="910"/>
      <c r="LCE30" s="911"/>
      <c r="LCF30" s="911"/>
      <c r="LCG30" s="910"/>
      <c r="LCH30" s="910"/>
      <c r="LCI30" s="910"/>
      <c r="LCJ30" s="910"/>
      <c r="LCK30" s="910"/>
      <c r="LCL30" s="910"/>
      <c r="LCM30" s="910"/>
      <c r="LCN30" s="910"/>
      <c r="LCO30" s="910"/>
      <c r="LCP30" s="911"/>
      <c r="LCQ30" s="911"/>
      <c r="LCR30" s="910"/>
      <c r="LCS30" s="910"/>
      <c r="LCT30" s="910"/>
      <c r="LCU30" s="910"/>
      <c r="LCV30" s="910"/>
      <c r="LCW30" s="910"/>
      <c r="LCX30" s="910"/>
      <c r="LCY30" s="910"/>
      <c r="LCZ30" s="910"/>
      <c r="LDA30" s="911"/>
      <c r="LDB30" s="911"/>
      <c r="LDC30" s="910"/>
      <c r="LDD30" s="910"/>
      <c r="LDE30" s="910"/>
      <c r="LDF30" s="910"/>
      <c r="LDG30" s="910"/>
      <c r="LDH30" s="910"/>
      <c r="LDI30" s="910"/>
      <c r="LDJ30" s="910"/>
      <c r="LDK30" s="910"/>
      <c r="LDL30" s="911"/>
      <c r="LDM30" s="911"/>
      <c r="LDN30" s="910"/>
      <c r="LDO30" s="910"/>
      <c r="LDP30" s="910"/>
      <c r="LDQ30" s="910"/>
      <c r="LDR30" s="910"/>
      <c r="LDS30" s="910"/>
      <c r="LDT30" s="910"/>
      <c r="LDU30" s="910"/>
      <c r="LDV30" s="910"/>
      <c r="LDW30" s="911"/>
      <c r="LDX30" s="911"/>
      <c r="LDY30" s="910"/>
      <c r="LDZ30" s="910"/>
      <c r="LEA30" s="910"/>
      <c r="LEB30" s="910"/>
      <c r="LEC30" s="910"/>
      <c r="LED30" s="910"/>
      <c r="LEE30" s="910"/>
      <c r="LEF30" s="910"/>
      <c r="LEG30" s="910"/>
      <c r="LEH30" s="911"/>
      <c r="LEI30" s="911"/>
      <c r="LEJ30" s="910"/>
      <c r="LEK30" s="910"/>
      <c r="LEL30" s="910"/>
      <c r="LEM30" s="910"/>
      <c r="LEN30" s="910"/>
      <c r="LEO30" s="910"/>
      <c r="LEP30" s="910"/>
      <c r="LEQ30" s="910"/>
      <c r="LER30" s="910"/>
      <c r="LES30" s="911"/>
      <c r="LET30" s="911"/>
      <c r="LEU30" s="910"/>
      <c r="LEV30" s="910"/>
      <c r="LEW30" s="910"/>
      <c r="LEX30" s="910"/>
      <c r="LEY30" s="910"/>
      <c r="LEZ30" s="910"/>
      <c r="LFA30" s="910"/>
      <c r="LFB30" s="910"/>
      <c r="LFC30" s="910"/>
      <c r="LFD30" s="911"/>
      <c r="LFE30" s="911"/>
      <c r="LFF30" s="910"/>
      <c r="LFG30" s="910"/>
      <c r="LFH30" s="910"/>
      <c r="LFI30" s="910"/>
      <c r="LFJ30" s="910"/>
      <c r="LFK30" s="910"/>
      <c r="LFL30" s="910"/>
      <c r="LFM30" s="910"/>
      <c r="LFN30" s="910"/>
      <c r="LFO30" s="911"/>
      <c r="LFP30" s="911"/>
      <c r="LFQ30" s="910"/>
      <c r="LFR30" s="910"/>
      <c r="LFS30" s="910"/>
      <c r="LFT30" s="910"/>
      <c r="LFU30" s="910"/>
      <c r="LFV30" s="910"/>
      <c r="LFW30" s="910"/>
      <c r="LFX30" s="910"/>
      <c r="LFY30" s="910"/>
      <c r="LFZ30" s="911"/>
      <c r="LGA30" s="911"/>
      <c r="LGB30" s="910"/>
      <c r="LGC30" s="910"/>
      <c r="LGD30" s="910"/>
      <c r="LGE30" s="910"/>
      <c r="LGF30" s="910"/>
      <c r="LGG30" s="910"/>
      <c r="LGH30" s="910"/>
      <c r="LGI30" s="910"/>
      <c r="LGJ30" s="910"/>
      <c r="LGK30" s="911"/>
      <c r="LGL30" s="911"/>
      <c r="LGM30" s="910"/>
      <c r="LGN30" s="910"/>
      <c r="LGO30" s="910"/>
      <c r="LGP30" s="910"/>
      <c r="LGQ30" s="910"/>
      <c r="LGR30" s="910"/>
      <c r="LGS30" s="910"/>
      <c r="LGT30" s="910"/>
      <c r="LGU30" s="910"/>
      <c r="LGV30" s="911"/>
      <c r="LGW30" s="911"/>
      <c r="LGX30" s="910"/>
      <c r="LGY30" s="910"/>
      <c r="LGZ30" s="910"/>
      <c r="LHA30" s="910"/>
      <c r="LHB30" s="910"/>
      <c r="LHC30" s="910"/>
      <c r="LHD30" s="910"/>
      <c r="LHE30" s="910"/>
      <c r="LHF30" s="910"/>
      <c r="LHG30" s="911"/>
      <c r="LHH30" s="911"/>
      <c r="LHI30" s="910"/>
      <c r="LHJ30" s="910"/>
      <c r="LHK30" s="910"/>
      <c r="LHL30" s="910"/>
      <c r="LHM30" s="910"/>
      <c r="LHN30" s="910"/>
      <c r="LHO30" s="910"/>
      <c r="LHP30" s="910"/>
      <c r="LHQ30" s="910"/>
      <c r="LHR30" s="911"/>
      <c r="LHS30" s="911"/>
      <c r="LHT30" s="910"/>
      <c r="LHU30" s="910"/>
      <c r="LHV30" s="910"/>
      <c r="LHW30" s="910"/>
      <c r="LHX30" s="910"/>
      <c r="LHY30" s="910"/>
      <c r="LHZ30" s="910"/>
      <c r="LIA30" s="910"/>
      <c r="LIB30" s="910"/>
      <c r="LIC30" s="911"/>
      <c r="LID30" s="911"/>
      <c r="LIE30" s="910"/>
      <c r="LIF30" s="910"/>
      <c r="LIG30" s="910"/>
      <c r="LIH30" s="910"/>
      <c r="LII30" s="910"/>
      <c r="LIJ30" s="910"/>
      <c r="LIK30" s="910"/>
      <c r="LIL30" s="910"/>
      <c r="LIM30" s="910"/>
      <c r="LIN30" s="911"/>
      <c r="LIO30" s="911"/>
      <c r="LIP30" s="910"/>
      <c r="LIQ30" s="910"/>
      <c r="LIR30" s="910"/>
      <c r="LIS30" s="910"/>
      <c r="LIT30" s="910"/>
      <c r="LIU30" s="910"/>
      <c r="LIV30" s="910"/>
      <c r="LIW30" s="910"/>
      <c r="LIX30" s="910"/>
      <c r="LIY30" s="911"/>
      <c r="LIZ30" s="911"/>
      <c r="LJA30" s="910"/>
      <c r="LJB30" s="910"/>
      <c r="LJC30" s="910"/>
      <c r="LJD30" s="910"/>
      <c r="LJE30" s="910"/>
      <c r="LJF30" s="910"/>
      <c r="LJG30" s="910"/>
      <c r="LJH30" s="910"/>
      <c r="LJI30" s="910"/>
      <c r="LJJ30" s="911"/>
      <c r="LJK30" s="911"/>
      <c r="LJL30" s="910"/>
      <c r="LJM30" s="910"/>
      <c r="LJN30" s="910"/>
      <c r="LJO30" s="910"/>
      <c r="LJP30" s="910"/>
      <c r="LJQ30" s="910"/>
      <c r="LJR30" s="910"/>
      <c r="LJS30" s="910"/>
      <c r="LJT30" s="910"/>
      <c r="LJU30" s="911"/>
      <c r="LJV30" s="911"/>
      <c r="LJW30" s="910"/>
      <c r="LJX30" s="910"/>
      <c r="LJY30" s="910"/>
      <c r="LJZ30" s="910"/>
      <c r="LKA30" s="910"/>
      <c r="LKB30" s="910"/>
      <c r="LKC30" s="910"/>
      <c r="LKD30" s="910"/>
      <c r="LKE30" s="910"/>
      <c r="LKF30" s="911"/>
      <c r="LKG30" s="911"/>
      <c r="LKH30" s="910"/>
      <c r="LKI30" s="910"/>
      <c r="LKJ30" s="910"/>
      <c r="LKK30" s="910"/>
      <c r="LKL30" s="910"/>
      <c r="LKM30" s="910"/>
      <c r="LKN30" s="910"/>
      <c r="LKO30" s="910"/>
      <c r="LKP30" s="910"/>
      <c r="LKQ30" s="911"/>
      <c r="LKR30" s="911"/>
      <c r="LKS30" s="910"/>
      <c r="LKT30" s="910"/>
      <c r="LKU30" s="910"/>
      <c r="LKV30" s="910"/>
      <c r="LKW30" s="910"/>
      <c r="LKX30" s="910"/>
      <c r="LKY30" s="910"/>
      <c r="LKZ30" s="910"/>
      <c r="LLA30" s="910"/>
      <c r="LLB30" s="911"/>
      <c r="LLC30" s="911"/>
      <c r="LLD30" s="910"/>
      <c r="LLE30" s="910"/>
      <c r="LLF30" s="910"/>
      <c r="LLG30" s="910"/>
      <c r="LLH30" s="910"/>
      <c r="LLI30" s="910"/>
      <c r="LLJ30" s="910"/>
      <c r="LLK30" s="910"/>
      <c r="LLL30" s="910"/>
      <c r="LLM30" s="911"/>
      <c r="LLN30" s="911"/>
      <c r="LLO30" s="910"/>
      <c r="LLP30" s="910"/>
      <c r="LLQ30" s="910"/>
      <c r="LLR30" s="910"/>
      <c r="LLS30" s="910"/>
      <c r="LLT30" s="910"/>
      <c r="LLU30" s="910"/>
      <c r="LLV30" s="910"/>
      <c r="LLW30" s="910"/>
      <c r="LLX30" s="911"/>
      <c r="LLY30" s="911"/>
      <c r="LLZ30" s="910"/>
      <c r="LMA30" s="910"/>
      <c r="LMB30" s="910"/>
      <c r="LMC30" s="910"/>
      <c r="LMD30" s="910"/>
      <c r="LME30" s="910"/>
      <c r="LMF30" s="910"/>
      <c r="LMG30" s="910"/>
      <c r="LMH30" s="910"/>
      <c r="LMI30" s="911"/>
      <c r="LMJ30" s="911"/>
      <c r="LMK30" s="910"/>
      <c r="LML30" s="910"/>
      <c r="LMM30" s="910"/>
      <c r="LMN30" s="910"/>
      <c r="LMO30" s="910"/>
      <c r="LMP30" s="910"/>
      <c r="LMQ30" s="910"/>
      <c r="LMR30" s="910"/>
      <c r="LMS30" s="910"/>
      <c r="LMT30" s="911"/>
      <c r="LMU30" s="911"/>
      <c r="LMV30" s="910"/>
      <c r="LMW30" s="910"/>
      <c r="LMX30" s="910"/>
      <c r="LMY30" s="910"/>
      <c r="LMZ30" s="910"/>
      <c r="LNA30" s="910"/>
      <c r="LNB30" s="910"/>
      <c r="LNC30" s="910"/>
      <c r="LND30" s="910"/>
      <c r="LNE30" s="911"/>
      <c r="LNF30" s="911"/>
      <c r="LNG30" s="910"/>
      <c r="LNH30" s="910"/>
      <c r="LNI30" s="910"/>
      <c r="LNJ30" s="910"/>
      <c r="LNK30" s="910"/>
      <c r="LNL30" s="910"/>
      <c r="LNM30" s="910"/>
      <c r="LNN30" s="910"/>
      <c r="LNO30" s="910"/>
      <c r="LNP30" s="911"/>
      <c r="LNQ30" s="911"/>
      <c r="LNR30" s="910"/>
      <c r="LNS30" s="910"/>
      <c r="LNT30" s="910"/>
      <c r="LNU30" s="910"/>
      <c r="LNV30" s="910"/>
      <c r="LNW30" s="910"/>
      <c r="LNX30" s="910"/>
      <c r="LNY30" s="910"/>
      <c r="LNZ30" s="910"/>
      <c r="LOA30" s="911"/>
      <c r="LOB30" s="911"/>
      <c r="LOC30" s="910"/>
      <c r="LOD30" s="910"/>
      <c r="LOE30" s="910"/>
      <c r="LOF30" s="910"/>
      <c r="LOG30" s="910"/>
      <c r="LOH30" s="910"/>
      <c r="LOI30" s="910"/>
      <c r="LOJ30" s="910"/>
      <c r="LOK30" s="910"/>
      <c r="LOL30" s="911"/>
      <c r="LOM30" s="911"/>
      <c r="LON30" s="910"/>
      <c r="LOO30" s="910"/>
      <c r="LOP30" s="910"/>
      <c r="LOQ30" s="910"/>
      <c r="LOR30" s="910"/>
      <c r="LOS30" s="910"/>
      <c r="LOT30" s="910"/>
      <c r="LOU30" s="910"/>
      <c r="LOV30" s="910"/>
      <c r="LOW30" s="911"/>
      <c r="LOX30" s="911"/>
      <c r="LOY30" s="910"/>
      <c r="LOZ30" s="910"/>
      <c r="LPA30" s="910"/>
      <c r="LPB30" s="910"/>
      <c r="LPC30" s="910"/>
      <c r="LPD30" s="910"/>
      <c r="LPE30" s="910"/>
      <c r="LPF30" s="910"/>
      <c r="LPG30" s="910"/>
      <c r="LPH30" s="911"/>
      <c r="LPI30" s="911"/>
      <c r="LPJ30" s="910"/>
      <c r="LPK30" s="910"/>
      <c r="LPL30" s="910"/>
      <c r="LPM30" s="910"/>
      <c r="LPN30" s="910"/>
      <c r="LPO30" s="910"/>
      <c r="LPP30" s="910"/>
      <c r="LPQ30" s="910"/>
      <c r="LPR30" s="910"/>
      <c r="LPS30" s="911"/>
      <c r="LPT30" s="911"/>
      <c r="LPU30" s="910"/>
      <c r="LPV30" s="910"/>
      <c r="LPW30" s="910"/>
      <c r="LPX30" s="910"/>
      <c r="LPY30" s="910"/>
      <c r="LPZ30" s="910"/>
      <c r="LQA30" s="910"/>
      <c r="LQB30" s="910"/>
      <c r="LQC30" s="910"/>
      <c r="LQD30" s="911"/>
      <c r="LQE30" s="911"/>
      <c r="LQF30" s="910"/>
      <c r="LQG30" s="910"/>
      <c r="LQH30" s="910"/>
      <c r="LQI30" s="910"/>
      <c r="LQJ30" s="910"/>
      <c r="LQK30" s="910"/>
      <c r="LQL30" s="910"/>
      <c r="LQM30" s="910"/>
      <c r="LQN30" s="910"/>
      <c r="LQO30" s="911"/>
      <c r="LQP30" s="911"/>
      <c r="LQQ30" s="910"/>
      <c r="LQR30" s="910"/>
      <c r="LQS30" s="910"/>
      <c r="LQT30" s="910"/>
      <c r="LQU30" s="910"/>
      <c r="LQV30" s="910"/>
      <c r="LQW30" s="910"/>
      <c r="LQX30" s="910"/>
      <c r="LQY30" s="910"/>
      <c r="LQZ30" s="911"/>
      <c r="LRA30" s="911"/>
      <c r="LRB30" s="910"/>
      <c r="LRC30" s="910"/>
      <c r="LRD30" s="910"/>
      <c r="LRE30" s="910"/>
      <c r="LRF30" s="910"/>
      <c r="LRG30" s="910"/>
      <c r="LRH30" s="910"/>
      <c r="LRI30" s="910"/>
      <c r="LRJ30" s="910"/>
      <c r="LRK30" s="911"/>
      <c r="LRL30" s="911"/>
      <c r="LRM30" s="910"/>
      <c r="LRN30" s="910"/>
      <c r="LRO30" s="910"/>
      <c r="LRP30" s="910"/>
      <c r="LRQ30" s="910"/>
      <c r="LRR30" s="910"/>
      <c r="LRS30" s="910"/>
      <c r="LRT30" s="910"/>
      <c r="LRU30" s="910"/>
      <c r="LRV30" s="911"/>
      <c r="LRW30" s="911"/>
      <c r="LRX30" s="910"/>
      <c r="LRY30" s="910"/>
      <c r="LRZ30" s="910"/>
      <c r="LSA30" s="910"/>
      <c r="LSB30" s="910"/>
      <c r="LSC30" s="910"/>
      <c r="LSD30" s="910"/>
      <c r="LSE30" s="910"/>
      <c r="LSF30" s="910"/>
      <c r="LSG30" s="911"/>
      <c r="LSH30" s="911"/>
      <c r="LSI30" s="910"/>
      <c r="LSJ30" s="910"/>
      <c r="LSK30" s="910"/>
      <c r="LSL30" s="910"/>
      <c r="LSM30" s="910"/>
      <c r="LSN30" s="910"/>
      <c r="LSO30" s="910"/>
      <c r="LSP30" s="910"/>
      <c r="LSQ30" s="910"/>
      <c r="LSR30" s="911"/>
      <c r="LSS30" s="911"/>
      <c r="LST30" s="910"/>
      <c r="LSU30" s="910"/>
      <c r="LSV30" s="910"/>
      <c r="LSW30" s="910"/>
      <c r="LSX30" s="910"/>
      <c r="LSY30" s="910"/>
      <c r="LSZ30" s="910"/>
      <c r="LTA30" s="910"/>
      <c r="LTB30" s="910"/>
      <c r="LTC30" s="911"/>
      <c r="LTD30" s="911"/>
      <c r="LTE30" s="910"/>
      <c r="LTF30" s="910"/>
      <c r="LTG30" s="910"/>
      <c r="LTH30" s="910"/>
      <c r="LTI30" s="910"/>
      <c r="LTJ30" s="910"/>
      <c r="LTK30" s="910"/>
      <c r="LTL30" s="910"/>
      <c r="LTM30" s="910"/>
      <c r="LTN30" s="911"/>
      <c r="LTO30" s="911"/>
      <c r="LTP30" s="910"/>
      <c r="LTQ30" s="910"/>
      <c r="LTR30" s="910"/>
      <c r="LTS30" s="910"/>
      <c r="LTT30" s="910"/>
      <c r="LTU30" s="910"/>
      <c r="LTV30" s="910"/>
      <c r="LTW30" s="910"/>
      <c r="LTX30" s="910"/>
      <c r="LTY30" s="911"/>
      <c r="LTZ30" s="911"/>
      <c r="LUA30" s="910"/>
      <c r="LUB30" s="910"/>
      <c r="LUC30" s="910"/>
      <c r="LUD30" s="910"/>
      <c r="LUE30" s="910"/>
      <c r="LUF30" s="910"/>
      <c r="LUG30" s="910"/>
      <c r="LUH30" s="910"/>
      <c r="LUI30" s="910"/>
      <c r="LUJ30" s="911"/>
      <c r="LUK30" s="911"/>
      <c r="LUL30" s="910"/>
      <c r="LUM30" s="910"/>
      <c r="LUN30" s="910"/>
      <c r="LUO30" s="910"/>
      <c r="LUP30" s="910"/>
      <c r="LUQ30" s="910"/>
      <c r="LUR30" s="910"/>
      <c r="LUS30" s="910"/>
      <c r="LUT30" s="910"/>
      <c r="LUU30" s="911"/>
      <c r="LUV30" s="911"/>
      <c r="LUW30" s="910"/>
      <c r="LUX30" s="910"/>
      <c r="LUY30" s="910"/>
      <c r="LUZ30" s="910"/>
      <c r="LVA30" s="910"/>
      <c r="LVB30" s="910"/>
      <c r="LVC30" s="910"/>
      <c r="LVD30" s="910"/>
      <c r="LVE30" s="910"/>
      <c r="LVF30" s="911"/>
      <c r="LVG30" s="911"/>
      <c r="LVH30" s="910"/>
      <c r="LVI30" s="910"/>
      <c r="LVJ30" s="910"/>
      <c r="LVK30" s="910"/>
      <c r="LVL30" s="910"/>
      <c r="LVM30" s="910"/>
      <c r="LVN30" s="910"/>
      <c r="LVO30" s="910"/>
      <c r="LVP30" s="910"/>
      <c r="LVQ30" s="911"/>
      <c r="LVR30" s="911"/>
      <c r="LVS30" s="910"/>
      <c r="LVT30" s="910"/>
      <c r="LVU30" s="910"/>
      <c r="LVV30" s="910"/>
      <c r="LVW30" s="910"/>
      <c r="LVX30" s="910"/>
      <c r="LVY30" s="910"/>
      <c r="LVZ30" s="910"/>
      <c r="LWA30" s="910"/>
      <c r="LWB30" s="911"/>
      <c r="LWC30" s="911"/>
      <c r="LWD30" s="910"/>
      <c r="LWE30" s="910"/>
      <c r="LWF30" s="910"/>
      <c r="LWG30" s="910"/>
      <c r="LWH30" s="910"/>
      <c r="LWI30" s="910"/>
      <c r="LWJ30" s="910"/>
      <c r="LWK30" s="910"/>
      <c r="LWL30" s="910"/>
      <c r="LWM30" s="911"/>
      <c r="LWN30" s="911"/>
      <c r="LWO30" s="910"/>
      <c r="LWP30" s="910"/>
      <c r="LWQ30" s="910"/>
      <c r="LWR30" s="910"/>
      <c r="LWS30" s="910"/>
      <c r="LWT30" s="910"/>
      <c r="LWU30" s="910"/>
      <c r="LWV30" s="910"/>
      <c r="LWW30" s="910"/>
      <c r="LWX30" s="911"/>
      <c r="LWY30" s="911"/>
      <c r="LWZ30" s="910"/>
      <c r="LXA30" s="910"/>
      <c r="LXB30" s="910"/>
      <c r="LXC30" s="910"/>
      <c r="LXD30" s="910"/>
      <c r="LXE30" s="910"/>
      <c r="LXF30" s="910"/>
      <c r="LXG30" s="910"/>
      <c r="LXH30" s="910"/>
      <c r="LXI30" s="911"/>
      <c r="LXJ30" s="911"/>
      <c r="LXK30" s="910"/>
      <c r="LXL30" s="910"/>
      <c r="LXM30" s="910"/>
      <c r="LXN30" s="910"/>
      <c r="LXO30" s="910"/>
      <c r="LXP30" s="910"/>
      <c r="LXQ30" s="910"/>
      <c r="LXR30" s="910"/>
      <c r="LXS30" s="910"/>
      <c r="LXT30" s="911"/>
      <c r="LXU30" s="911"/>
      <c r="LXV30" s="910"/>
      <c r="LXW30" s="910"/>
      <c r="LXX30" s="910"/>
      <c r="LXY30" s="910"/>
      <c r="LXZ30" s="910"/>
      <c r="LYA30" s="910"/>
      <c r="LYB30" s="910"/>
      <c r="LYC30" s="910"/>
      <c r="LYD30" s="910"/>
      <c r="LYE30" s="911"/>
      <c r="LYF30" s="911"/>
      <c r="LYG30" s="910"/>
      <c r="LYH30" s="910"/>
      <c r="LYI30" s="910"/>
      <c r="LYJ30" s="910"/>
      <c r="LYK30" s="910"/>
      <c r="LYL30" s="910"/>
      <c r="LYM30" s="910"/>
      <c r="LYN30" s="910"/>
      <c r="LYO30" s="910"/>
      <c r="LYP30" s="911"/>
      <c r="LYQ30" s="911"/>
      <c r="LYR30" s="910"/>
      <c r="LYS30" s="910"/>
      <c r="LYT30" s="910"/>
      <c r="LYU30" s="910"/>
      <c r="LYV30" s="910"/>
      <c r="LYW30" s="910"/>
      <c r="LYX30" s="910"/>
      <c r="LYY30" s="910"/>
      <c r="LYZ30" s="910"/>
      <c r="LZA30" s="911"/>
      <c r="LZB30" s="911"/>
      <c r="LZC30" s="910"/>
      <c r="LZD30" s="910"/>
      <c r="LZE30" s="910"/>
      <c r="LZF30" s="910"/>
      <c r="LZG30" s="910"/>
      <c r="LZH30" s="910"/>
      <c r="LZI30" s="910"/>
      <c r="LZJ30" s="910"/>
      <c r="LZK30" s="910"/>
      <c r="LZL30" s="911"/>
      <c r="LZM30" s="911"/>
      <c r="LZN30" s="910"/>
      <c r="LZO30" s="910"/>
      <c r="LZP30" s="910"/>
      <c r="LZQ30" s="910"/>
      <c r="LZR30" s="910"/>
      <c r="LZS30" s="910"/>
      <c r="LZT30" s="910"/>
      <c r="LZU30" s="910"/>
      <c r="LZV30" s="910"/>
      <c r="LZW30" s="911"/>
      <c r="LZX30" s="911"/>
      <c r="LZY30" s="910"/>
      <c r="LZZ30" s="910"/>
      <c r="MAA30" s="910"/>
      <c r="MAB30" s="910"/>
      <c r="MAC30" s="910"/>
      <c r="MAD30" s="910"/>
      <c r="MAE30" s="910"/>
      <c r="MAF30" s="910"/>
      <c r="MAG30" s="910"/>
      <c r="MAH30" s="911"/>
      <c r="MAI30" s="911"/>
      <c r="MAJ30" s="910"/>
      <c r="MAK30" s="910"/>
      <c r="MAL30" s="910"/>
      <c r="MAM30" s="910"/>
      <c r="MAN30" s="910"/>
      <c r="MAO30" s="910"/>
      <c r="MAP30" s="910"/>
      <c r="MAQ30" s="910"/>
      <c r="MAR30" s="910"/>
      <c r="MAS30" s="911"/>
      <c r="MAT30" s="911"/>
      <c r="MAU30" s="910"/>
      <c r="MAV30" s="910"/>
      <c r="MAW30" s="910"/>
      <c r="MAX30" s="910"/>
      <c r="MAY30" s="910"/>
      <c r="MAZ30" s="910"/>
      <c r="MBA30" s="910"/>
      <c r="MBB30" s="910"/>
      <c r="MBC30" s="910"/>
      <c r="MBD30" s="911"/>
      <c r="MBE30" s="911"/>
      <c r="MBF30" s="910"/>
      <c r="MBG30" s="910"/>
      <c r="MBH30" s="910"/>
      <c r="MBI30" s="910"/>
      <c r="MBJ30" s="910"/>
      <c r="MBK30" s="910"/>
      <c r="MBL30" s="910"/>
      <c r="MBM30" s="910"/>
      <c r="MBN30" s="910"/>
      <c r="MBO30" s="911"/>
      <c r="MBP30" s="911"/>
      <c r="MBQ30" s="910"/>
      <c r="MBR30" s="910"/>
      <c r="MBS30" s="910"/>
      <c r="MBT30" s="910"/>
      <c r="MBU30" s="910"/>
      <c r="MBV30" s="910"/>
      <c r="MBW30" s="910"/>
      <c r="MBX30" s="910"/>
      <c r="MBY30" s="910"/>
      <c r="MBZ30" s="911"/>
      <c r="MCA30" s="911"/>
      <c r="MCB30" s="910"/>
      <c r="MCC30" s="910"/>
      <c r="MCD30" s="910"/>
      <c r="MCE30" s="910"/>
      <c r="MCF30" s="910"/>
      <c r="MCG30" s="910"/>
      <c r="MCH30" s="910"/>
      <c r="MCI30" s="910"/>
      <c r="MCJ30" s="910"/>
      <c r="MCK30" s="911"/>
      <c r="MCL30" s="911"/>
      <c r="MCM30" s="910"/>
      <c r="MCN30" s="910"/>
      <c r="MCO30" s="910"/>
      <c r="MCP30" s="910"/>
      <c r="MCQ30" s="910"/>
      <c r="MCR30" s="910"/>
      <c r="MCS30" s="910"/>
      <c r="MCT30" s="910"/>
      <c r="MCU30" s="910"/>
      <c r="MCV30" s="911"/>
      <c r="MCW30" s="911"/>
      <c r="MCX30" s="910"/>
      <c r="MCY30" s="910"/>
      <c r="MCZ30" s="910"/>
      <c r="MDA30" s="910"/>
      <c r="MDB30" s="910"/>
      <c r="MDC30" s="910"/>
      <c r="MDD30" s="910"/>
      <c r="MDE30" s="910"/>
      <c r="MDF30" s="910"/>
      <c r="MDG30" s="911"/>
      <c r="MDH30" s="911"/>
      <c r="MDI30" s="910"/>
      <c r="MDJ30" s="910"/>
      <c r="MDK30" s="910"/>
      <c r="MDL30" s="910"/>
      <c r="MDM30" s="910"/>
      <c r="MDN30" s="910"/>
      <c r="MDO30" s="910"/>
      <c r="MDP30" s="910"/>
      <c r="MDQ30" s="910"/>
      <c r="MDR30" s="911"/>
      <c r="MDS30" s="911"/>
      <c r="MDT30" s="910"/>
      <c r="MDU30" s="910"/>
      <c r="MDV30" s="910"/>
      <c r="MDW30" s="910"/>
      <c r="MDX30" s="910"/>
      <c r="MDY30" s="910"/>
      <c r="MDZ30" s="910"/>
      <c r="MEA30" s="910"/>
      <c r="MEB30" s="910"/>
      <c r="MEC30" s="911"/>
      <c r="MED30" s="911"/>
      <c r="MEE30" s="910"/>
      <c r="MEF30" s="910"/>
      <c r="MEG30" s="910"/>
      <c r="MEH30" s="910"/>
      <c r="MEI30" s="910"/>
      <c r="MEJ30" s="910"/>
      <c r="MEK30" s="910"/>
      <c r="MEL30" s="910"/>
      <c r="MEM30" s="910"/>
      <c r="MEN30" s="911"/>
      <c r="MEO30" s="911"/>
      <c r="MEP30" s="910"/>
      <c r="MEQ30" s="910"/>
      <c r="MER30" s="910"/>
      <c r="MES30" s="910"/>
      <c r="MET30" s="910"/>
      <c r="MEU30" s="910"/>
      <c r="MEV30" s="910"/>
      <c r="MEW30" s="910"/>
      <c r="MEX30" s="910"/>
      <c r="MEY30" s="911"/>
      <c r="MEZ30" s="911"/>
      <c r="MFA30" s="910"/>
      <c r="MFB30" s="910"/>
      <c r="MFC30" s="910"/>
      <c r="MFD30" s="910"/>
      <c r="MFE30" s="910"/>
      <c r="MFF30" s="910"/>
      <c r="MFG30" s="910"/>
      <c r="MFH30" s="910"/>
      <c r="MFI30" s="910"/>
      <c r="MFJ30" s="911"/>
      <c r="MFK30" s="911"/>
      <c r="MFL30" s="910"/>
      <c r="MFM30" s="910"/>
      <c r="MFN30" s="910"/>
      <c r="MFO30" s="910"/>
      <c r="MFP30" s="910"/>
      <c r="MFQ30" s="910"/>
      <c r="MFR30" s="910"/>
      <c r="MFS30" s="910"/>
      <c r="MFT30" s="910"/>
      <c r="MFU30" s="911"/>
      <c r="MFV30" s="911"/>
      <c r="MFW30" s="910"/>
      <c r="MFX30" s="910"/>
      <c r="MFY30" s="910"/>
      <c r="MFZ30" s="910"/>
      <c r="MGA30" s="910"/>
      <c r="MGB30" s="910"/>
      <c r="MGC30" s="910"/>
      <c r="MGD30" s="910"/>
      <c r="MGE30" s="910"/>
      <c r="MGF30" s="911"/>
      <c r="MGG30" s="911"/>
      <c r="MGH30" s="910"/>
      <c r="MGI30" s="910"/>
      <c r="MGJ30" s="910"/>
      <c r="MGK30" s="910"/>
      <c r="MGL30" s="910"/>
      <c r="MGM30" s="910"/>
      <c r="MGN30" s="910"/>
      <c r="MGO30" s="910"/>
      <c r="MGP30" s="910"/>
      <c r="MGQ30" s="911"/>
      <c r="MGR30" s="911"/>
      <c r="MGS30" s="910"/>
      <c r="MGT30" s="910"/>
      <c r="MGU30" s="910"/>
      <c r="MGV30" s="910"/>
      <c r="MGW30" s="910"/>
      <c r="MGX30" s="910"/>
      <c r="MGY30" s="910"/>
      <c r="MGZ30" s="910"/>
      <c r="MHA30" s="910"/>
      <c r="MHB30" s="911"/>
      <c r="MHC30" s="911"/>
      <c r="MHD30" s="910"/>
      <c r="MHE30" s="910"/>
      <c r="MHF30" s="910"/>
      <c r="MHG30" s="910"/>
      <c r="MHH30" s="910"/>
      <c r="MHI30" s="910"/>
      <c r="MHJ30" s="910"/>
      <c r="MHK30" s="910"/>
      <c r="MHL30" s="910"/>
      <c r="MHM30" s="911"/>
      <c r="MHN30" s="911"/>
      <c r="MHO30" s="910"/>
      <c r="MHP30" s="910"/>
      <c r="MHQ30" s="910"/>
      <c r="MHR30" s="910"/>
      <c r="MHS30" s="910"/>
      <c r="MHT30" s="910"/>
      <c r="MHU30" s="910"/>
      <c r="MHV30" s="910"/>
      <c r="MHW30" s="910"/>
      <c r="MHX30" s="911"/>
      <c r="MHY30" s="911"/>
      <c r="MHZ30" s="910"/>
      <c r="MIA30" s="910"/>
      <c r="MIB30" s="910"/>
      <c r="MIC30" s="910"/>
      <c r="MID30" s="910"/>
      <c r="MIE30" s="910"/>
      <c r="MIF30" s="910"/>
      <c r="MIG30" s="910"/>
      <c r="MIH30" s="910"/>
      <c r="MII30" s="911"/>
      <c r="MIJ30" s="911"/>
      <c r="MIK30" s="910"/>
      <c r="MIL30" s="910"/>
      <c r="MIM30" s="910"/>
      <c r="MIN30" s="910"/>
      <c r="MIO30" s="910"/>
      <c r="MIP30" s="910"/>
      <c r="MIQ30" s="910"/>
      <c r="MIR30" s="910"/>
      <c r="MIS30" s="910"/>
      <c r="MIT30" s="911"/>
      <c r="MIU30" s="911"/>
      <c r="MIV30" s="910"/>
      <c r="MIW30" s="910"/>
      <c r="MIX30" s="910"/>
      <c r="MIY30" s="910"/>
      <c r="MIZ30" s="910"/>
      <c r="MJA30" s="910"/>
      <c r="MJB30" s="910"/>
      <c r="MJC30" s="910"/>
      <c r="MJD30" s="910"/>
      <c r="MJE30" s="911"/>
      <c r="MJF30" s="911"/>
      <c r="MJG30" s="910"/>
      <c r="MJH30" s="910"/>
      <c r="MJI30" s="910"/>
      <c r="MJJ30" s="910"/>
      <c r="MJK30" s="910"/>
      <c r="MJL30" s="910"/>
      <c r="MJM30" s="910"/>
      <c r="MJN30" s="910"/>
      <c r="MJO30" s="910"/>
      <c r="MJP30" s="911"/>
      <c r="MJQ30" s="911"/>
      <c r="MJR30" s="910"/>
      <c r="MJS30" s="910"/>
      <c r="MJT30" s="910"/>
      <c r="MJU30" s="910"/>
      <c r="MJV30" s="910"/>
      <c r="MJW30" s="910"/>
      <c r="MJX30" s="910"/>
      <c r="MJY30" s="910"/>
      <c r="MJZ30" s="910"/>
      <c r="MKA30" s="911"/>
      <c r="MKB30" s="911"/>
      <c r="MKC30" s="910"/>
      <c r="MKD30" s="910"/>
      <c r="MKE30" s="910"/>
      <c r="MKF30" s="910"/>
      <c r="MKG30" s="910"/>
      <c r="MKH30" s="910"/>
      <c r="MKI30" s="910"/>
      <c r="MKJ30" s="910"/>
      <c r="MKK30" s="910"/>
      <c r="MKL30" s="911"/>
      <c r="MKM30" s="911"/>
      <c r="MKN30" s="910"/>
      <c r="MKO30" s="910"/>
      <c r="MKP30" s="910"/>
      <c r="MKQ30" s="910"/>
      <c r="MKR30" s="910"/>
      <c r="MKS30" s="910"/>
      <c r="MKT30" s="910"/>
      <c r="MKU30" s="910"/>
      <c r="MKV30" s="910"/>
      <c r="MKW30" s="911"/>
      <c r="MKX30" s="911"/>
      <c r="MKY30" s="910"/>
      <c r="MKZ30" s="910"/>
      <c r="MLA30" s="910"/>
      <c r="MLB30" s="910"/>
      <c r="MLC30" s="910"/>
      <c r="MLD30" s="910"/>
      <c r="MLE30" s="910"/>
      <c r="MLF30" s="910"/>
      <c r="MLG30" s="910"/>
      <c r="MLH30" s="911"/>
      <c r="MLI30" s="911"/>
      <c r="MLJ30" s="910"/>
      <c r="MLK30" s="910"/>
      <c r="MLL30" s="910"/>
      <c r="MLM30" s="910"/>
      <c r="MLN30" s="910"/>
      <c r="MLO30" s="910"/>
      <c r="MLP30" s="910"/>
      <c r="MLQ30" s="910"/>
      <c r="MLR30" s="910"/>
      <c r="MLS30" s="911"/>
      <c r="MLT30" s="911"/>
      <c r="MLU30" s="910"/>
      <c r="MLV30" s="910"/>
      <c r="MLW30" s="910"/>
      <c r="MLX30" s="910"/>
      <c r="MLY30" s="910"/>
      <c r="MLZ30" s="910"/>
      <c r="MMA30" s="910"/>
      <c r="MMB30" s="910"/>
      <c r="MMC30" s="910"/>
      <c r="MMD30" s="911"/>
      <c r="MME30" s="911"/>
      <c r="MMF30" s="910"/>
      <c r="MMG30" s="910"/>
      <c r="MMH30" s="910"/>
      <c r="MMI30" s="910"/>
      <c r="MMJ30" s="910"/>
      <c r="MMK30" s="910"/>
      <c r="MML30" s="910"/>
      <c r="MMM30" s="910"/>
      <c r="MMN30" s="910"/>
      <c r="MMO30" s="911"/>
      <c r="MMP30" s="911"/>
      <c r="MMQ30" s="910"/>
      <c r="MMR30" s="910"/>
      <c r="MMS30" s="910"/>
      <c r="MMT30" s="910"/>
      <c r="MMU30" s="910"/>
      <c r="MMV30" s="910"/>
      <c r="MMW30" s="910"/>
      <c r="MMX30" s="910"/>
      <c r="MMY30" s="910"/>
      <c r="MMZ30" s="911"/>
      <c r="MNA30" s="911"/>
      <c r="MNB30" s="910"/>
      <c r="MNC30" s="910"/>
      <c r="MND30" s="910"/>
      <c r="MNE30" s="910"/>
      <c r="MNF30" s="910"/>
      <c r="MNG30" s="910"/>
      <c r="MNH30" s="910"/>
      <c r="MNI30" s="910"/>
      <c r="MNJ30" s="910"/>
      <c r="MNK30" s="911"/>
      <c r="MNL30" s="911"/>
      <c r="MNM30" s="910"/>
      <c r="MNN30" s="910"/>
      <c r="MNO30" s="910"/>
      <c r="MNP30" s="910"/>
      <c r="MNQ30" s="910"/>
      <c r="MNR30" s="910"/>
      <c r="MNS30" s="910"/>
      <c r="MNT30" s="910"/>
      <c r="MNU30" s="910"/>
      <c r="MNV30" s="911"/>
      <c r="MNW30" s="911"/>
      <c r="MNX30" s="910"/>
      <c r="MNY30" s="910"/>
      <c r="MNZ30" s="910"/>
      <c r="MOA30" s="910"/>
      <c r="MOB30" s="910"/>
      <c r="MOC30" s="910"/>
      <c r="MOD30" s="910"/>
      <c r="MOE30" s="910"/>
      <c r="MOF30" s="910"/>
      <c r="MOG30" s="911"/>
      <c r="MOH30" s="911"/>
      <c r="MOI30" s="910"/>
      <c r="MOJ30" s="910"/>
      <c r="MOK30" s="910"/>
      <c r="MOL30" s="910"/>
      <c r="MOM30" s="910"/>
      <c r="MON30" s="910"/>
      <c r="MOO30" s="910"/>
      <c r="MOP30" s="910"/>
      <c r="MOQ30" s="910"/>
      <c r="MOR30" s="911"/>
      <c r="MOS30" s="911"/>
      <c r="MOT30" s="910"/>
      <c r="MOU30" s="910"/>
      <c r="MOV30" s="910"/>
      <c r="MOW30" s="910"/>
      <c r="MOX30" s="910"/>
      <c r="MOY30" s="910"/>
      <c r="MOZ30" s="910"/>
      <c r="MPA30" s="910"/>
      <c r="MPB30" s="910"/>
      <c r="MPC30" s="911"/>
      <c r="MPD30" s="911"/>
      <c r="MPE30" s="910"/>
      <c r="MPF30" s="910"/>
      <c r="MPG30" s="910"/>
      <c r="MPH30" s="910"/>
      <c r="MPI30" s="910"/>
      <c r="MPJ30" s="910"/>
      <c r="MPK30" s="910"/>
      <c r="MPL30" s="910"/>
      <c r="MPM30" s="910"/>
      <c r="MPN30" s="911"/>
      <c r="MPO30" s="911"/>
      <c r="MPP30" s="910"/>
      <c r="MPQ30" s="910"/>
      <c r="MPR30" s="910"/>
      <c r="MPS30" s="910"/>
      <c r="MPT30" s="910"/>
      <c r="MPU30" s="910"/>
      <c r="MPV30" s="910"/>
      <c r="MPW30" s="910"/>
      <c r="MPX30" s="910"/>
      <c r="MPY30" s="911"/>
      <c r="MPZ30" s="911"/>
      <c r="MQA30" s="910"/>
      <c r="MQB30" s="910"/>
      <c r="MQC30" s="910"/>
      <c r="MQD30" s="910"/>
      <c r="MQE30" s="910"/>
      <c r="MQF30" s="910"/>
      <c r="MQG30" s="910"/>
      <c r="MQH30" s="910"/>
      <c r="MQI30" s="910"/>
      <c r="MQJ30" s="911"/>
      <c r="MQK30" s="911"/>
      <c r="MQL30" s="910"/>
      <c r="MQM30" s="910"/>
      <c r="MQN30" s="910"/>
      <c r="MQO30" s="910"/>
      <c r="MQP30" s="910"/>
      <c r="MQQ30" s="910"/>
      <c r="MQR30" s="910"/>
      <c r="MQS30" s="910"/>
      <c r="MQT30" s="910"/>
      <c r="MQU30" s="911"/>
      <c r="MQV30" s="911"/>
      <c r="MQW30" s="910"/>
      <c r="MQX30" s="910"/>
      <c r="MQY30" s="910"/>
      <c r="MQZ30" s="910"/>
      <c r="MRA30" s="910"/>
      <c r="MRB30" s="910"/>
      <c r="MRC30" s="910"/>
      <c r="MRD30" s="910"/>
      <c r="MRE30" s="910"/>
      <c r="MRF30" s="911"/>
      <c r="MRG30" s="911"/>
      <c r="MRH30" s="910"/>
      <c r="MRI30" s="910"/>
      <c r="MRJ30" s="910"/>
      <c r="MRK30" s="910"/>
      <c r="MRL30" s="910"/>
      <c r="MRM30" s="910"/>
      <c r="MRN30" s="910"/>
      <c r="MRO30" s="910"/>
      <c r="MRP30" s="910"/>
      <c r="MRQ30" s="911"/>
      <c r="MRR30" s="911"/>
      <c r="MRS30" s="910"/>
      <c r="MRT30" s="910"/>
      <c r="MRU30" s="910"/>
      <c r="MRV30" s="910"/>
      <c r="MRW30" s="910"/>
      <c r="MRX30" s="910"/>
      <c r="MRY30" s="910"/>
      <c r="MRZ30" s="910"/>
      <c r="MSA30" s="910"/>
      <c r="MSB30" s="911"/>
      <c r="MSC30" s="911"/>
      <c r="MSD30" s="910"/>
      <c r="MSE30" s="910"/>
      <c r="MSF30" s="910"/>
      <c r="MSG30" s="910"/>
      <c r="MSH30" s="910"/>
      <c r="MSI30" s="910"/>
      <c r="MSJ30" s="910"/>
      <c r="MSK30" s="910"/>
      <c r="MSL30" s="910"/>
      <c r="MSM30" s="911"/>
      <c r="MSN30" s="911"/>
      <c r="MSO30" s="910"/>
      <c r="MSP30" s="910"/>
      <c r="MSQ30" s="910"/>
      <c r="MSR30" s="910"/>
      <c r="MSS30" s="910"/>
      <c r="MST30" s="910"/>
      <c r="MSU30" s="910"/>
      <c r="MSV30" s="910"/>
      <c r="MSW30" s="910"/>
      <c r="MSX30" s="911"/>
      <c r="MSY30" s="911"/>
      <c r="MSZ30" s="910"/>
      <c r="MTA30" s="910"/>
      <c r="MTB30" s="910"/>
      <c r="MTC30" s="910"/>
      <c r="MTD30" s="910"/>
      <c r="MTE30" s="910"/>
      <c r="MTF30" s="910"/>
      <c r="MTG30" s="910"/>
      <c r="MTH30" s="910"/>
      <c r="MTI30" s="911"/>
      <c r="MTJ30" s="911"/>
      <c r="MTK30" s="910"/>
      <c r="MTL30" s="910"/>
      <c r="MTM30" s="910"/>
      <c r="MTN30" s="910"/>
      <c r="MTO30" s="910"/>
      <c r="MTP30" s="910"/>
      <c r="MTQ30" s="910"/>
      <c r="MTR30" s="910"/>
      <c r="MTS30" s="910"/>
      <c r="MTT30" s="911"/>
      <c r="MTU30" s="911"/>
      <c r="MTV30" s="910"/>
      <c r="MTW30" s="910"/>
      <c r="MTX30" s="910"/>
      <c r="MTY30" s="910"/>
      <c r="MTZ30" s="910"/>
      <c r="MUA30" s="910"/>
      <c r="MUB30" s="910"/>
      <c r="MUC30" s="910"/>
      <c r="MUD30" s="910"/>
      <c r="MUE30" s="911"/>
      <c r="MUF30" s="911"/>
      <c r="MUG30" s="910"/>
      <c r="MUH30" s="910"/>
      <c r="MUI30" s="910"/>
      <c r="MUJ30" s="910"/>
      <c r="MUK30" s="910"/>
      <c r="MUL30" s="910"/>
      <c r="MUM30" s="910"/>
      <c r="MUN30" s="910"/>
      <c r="MUO30" s="910"/>
      <c r="MUP30" s="911"/>
      <c r="MUQ30" s="911"/>
      <c r="MUR30" s="910"/>
      <c r="MUS30" s="910"/>
      <c r="MUT30" s="910"/>
      <c r="MUU30" s="910"/>
      <c r="MUV30" s="910"/>
      <c r="MUW30" s="910"/>
      <c r="MUX30" s="910"/>
      <c r="MUY30" s="910"/>
      <c r="MUZ30" s="910"/>
      <c r="MVA30" s="911"/>
      <c r="MVB30" s="911"/>
      <c r="MVC30" s="910"/>
      <c r="MVD30" s="910"/>
      <c r="MVE30" s="910"/>
      <c r="MVF30" s="910"/>
      <c r="MVG30" s="910"/>
      <c r="MVH30" s="910"/>
      <c r="MVI30" s="910"/>
      <c r="MVJ30" s="910"/>
      <c r="MVK30" s="910"/>
      <c r="MVL30" s="911"/>
      <c r="MVM30" s="911"/>
      <c r="MVN30" s="910"/>
      <c r="MVO30" s="910"/>
      <c r="MVP30" s="910"/>
      <c r="MVQ30" s="910"/>
      <c r="MVR30" s="910"/>
      <c r="MVS30" s="910"/>
      <c r="MVT30" s="910"/>
      <c r="MVU30" s="910"/>
      <c r="MVV30" s="910"/>
      <c r="MVW30" s="911"/>
      <c r="MVX30" s="911"/>
      <c r="MVY30" s="910"/>
      <c r="MVZ30" s="910"/>
      <c r="MWA30" s="910"/>
      <c r="MWB30" s="910"/>
      <c r="MWC30" s="910"/>
      <c r="MWD30" s="910"/>
      <c r="MWE30" s="910"/>
      <c r="MWF30" s="910"/>
      <c r="MWG30" s="910"/>
      <c r="MWH30" s="911"/>
      <c r="MWI30" s="911"/>
      <c r="MWJ30" s="910"/>
      <c r="MWK30" s="910"/>
      <c r="MWL30" s="910"/>
      <c r="MWM30" s="910"/>
      <c r="MWN30" s="910"/>
      <c r="MWO30" s="910"/>
      <c r="MWP30" s="910"/>
      <c r="MWQ30" s="910"/>
      <c r="MWR30" s="910"/>
      <c r="MWS30" s="911"/>
      <c r="MWT30" s="911"/>
      <c r="MWU30" s="910"/>
      <c r="MWV30" s="910"/>
      <c r="MWW30" s="910"/>
      <c r="MWX30" s="910"/>
      <c r="MWY30" s="910"/>
      <c r="MWZ30" s="910"/>
      <c r="MXA30" s="910"/>
      <c r="MXB30" s="910"/>
      <c r="MXC30" s="910"/>
      <c r="MXD30" s="911"/>
      <c r="MXE30" s="911"/>
      <c r="MXF30" s="910"/>
      <c r="MXG30" s="910"/>
      <c r="MXH30" s="910"/>
      <c r="MXI30" s="910"/>
      <c r="MXJ30" s="910"/>
      <c r="MXK30" s="910"/>
      <c r="MXL30" s="910"/>
      <c r="MXM30" s="910"/>
      <c r="MXN30" s="910"/>
      <c r="MXO30" s="911"/>
      <c r="MXP30" s="911"/>
      <c r="MXQ30" s="910"/>
      <c r="MXR30" s="910"/>
      <c r="MXS30" s="910"/>
      <c r="MXT30" s="910"/>
      <c r="MXU30" s="910"/>
      <c r="MXV30" s="910"/>
      <c r="MXW30" s="910"/>
      <c r="MXX30" s="910"/>
      <c r="MXY30" s="910"/>
      <c r="MXZ30" s="911"/>
      <c r="MYA30" s="911"/>
      <c r="MYB30" s="910"/>
      <c r="MYC30" s="910"/>
      <c r="MYD30" s="910"/>
      <c r="MYE30" s="910"/>
      <c r="MYF30" s="910"/>
      <c r="MYG30" s="910"/>
      <c r="MYH30" s="910"/>
      <c r="MYI30" s="910"/>
      <c r="MYJ30" s="910"/>
      <c r="MYK30" s="911"/>
      <c r="MYL30" s="911"/>
      <c r="MYM30" s="910"/>
      <c r="MYN30" s="910"/>
      <c r="MYO30" s="910"/>
      <c r="MYP30" s="910"/>
      <c r="MYQ30" s="910"/>
      <c r="MYR30" s="910"/>
      <c r="MYS30" s="910"/>
      <c r="MYT30" s="910"/>
      <c r="MYU30" s="910"/>
      <c r="MYV30" s="911"/>
      <c r="MYW30" s="911"/>
      <c r="MYX30" s="910"/>
      <c r="MYY30" s="910"/>
      <c r="MYZ30" s="910"/>
      <c r="MZA30" s="910"/>
      <c r="MZB30" s="910"/>
      <c r="MZC30" s="910"/>
      <c r="MZD30" s="910"/>
      <c r="MZE30" s="910"/>
      <c r="MZF30" s="910"/>
      <c r="MZG30" s="911"/>
      <c r="MZH30" s="911"/>
      <c r="MZI30" s="910"/>
      <c r="MZJ30" s="910"/>
      <c r="MZK30" s="910"/>
      <c r="MZL30" s="910"/>
      <c r="MZM30" s="910"/>
      <c r="MZN30" s="910"/>
      <c r="MZO30" s="910"/>
      <c r="MZP30" s="910"/>
      <c r="MZQ30" s="910"/>
      <c r="MZR30" s="911"/>
      <c r="MZS30" s="911"/>
      <c r="MZT30" s="910"/>
      <c r="MZU30" s="910"/>
      <c r="MZV30" s="910"/>
      <c r="MZW30" s="910"/>
      <c r="MZX30" s="910"/>
      <c r="MZY30" s="910"/>
      <c r="MZZ30" s="910"/>
      <c r="NAA30" s="910"/>
      <c r="NAB30" s="910"/>
      <c r="NAC30" s="911"/>
      <c r="NAD30" s="911"/>
      <c r="NAE30" s="910"/>
      <c r="NAF30" s="910"/>
      <c r="NAG30" s="910"/>
      <c r="NAH30" s="910"/>
      <c r="NAI30" s="910"/>
      <c r="NAJ30" s="910"/>
      <c r="NAK30" s="910"/>
      <c r="NAL30" s="910"/>
      <c r="NAM30" s="910"/>
      <c r="NAN30" s="911"/>
      <c r="NAO30" s="911"/>
      <c r="NAP30" s="910"/>
      <c r="NAQ30" s="910"/>
      <c r="NAR30" s="910"/>
      <c r="NAS30" s="910"/>
      <c r="NAT30" s="910"/>
      <c r="NAU30" s="910"/>
      <c r="NAV30" s="910"/>
      <c r="NAW30" s="910"/>
      <c r="NAX30" s="910"/>
      <c r="NAY30" s="911"/>
      <c r="NAZ30" s="911"/>
      <c r="NBA30" s="910"/>
      <c r="NBB30" s="910"/>
      <c r="NBC30" s="910"/>
      <c r="NBD30" s="910"/>
      <c r="NBE30" s="910"/>
      <c r="NBF30" s="910"/>
      <c r="NBG30" s="910"/>
      <c r="NBH30" s="910"/>
      <c r="NBI30" s="910"/>
      <c r="NBJ30" s="911"/>
      <c r="NBK30" s="911"/>
      <c r="NBL30" s="910"/>
      <c r="NBM30" s="910"/>
      <c r="NBN30" s="910"/>
      <c r="NBO30" s="910"/>
      <c r="NBP30" s="910"/>
      <c r="NBQ30" s="910"/>
      <c r="NBR30" s="910"/>
      <c r="NBS30" s="910"/>
      <c r="NBT30" s="910"/>
      <c r="NBU30" s="911"/>
      <c r="NBV30" s="911"/>
      <c r="NBW30" s="910"/>
      <c r="NBX30" s="910"/>
      <c r="NBY30" s="910"/>
      <c r="NBZ30" s="910"/>
      <c r="NCA30" s="910"/>
      <c r="NCB30" s="910"/>
      <c r="NCC30" s="910"/>
      <c r="NCD30" s="910"/>
      <c r="NCE30" s="910"/>
      <c r="NCF30" s="911"/>
      <c r="NCG30" s="911"/>
      <c r="NCH30" s="910"/>
      <c r="NCI30" s="910"/>
      <c r="NCJ30" s="910"/>
      <c r="NCK30" s="910"/>
      <c r="NCL30" s="910"/>
      <c r="NCM30" s="910"/>
      <c r="NCN30" s="910"/>
      <c r="NCO30" s="910"/>
      <c r="NCP30" s="910"/>
      <c r="NCQ30" s="911"/>
      <c r="NCR30" s="911"/>
      <c r="NCS30" s="910"/>
      <c r="NCT30" s="910"/>
      <c r="NCU30" s="910"/>
      <c r="NCV30" s="910"/>
      <c r="NCW30" s="910"/>
      <c r="NCX30" s="910"/>
      <c r="NCY30" s="910"/>
      <c r="NCZ30" s="910"/>
      <c r="NDA30" s="910"/>
      <c r="NDB30" s="911"/>
      <c r="NDC30" s="911"/>
      <c r="NDD30" s="910"/>
      <c r="NDE30" s="910"/>
      <c r="NDF30" s="910"/>
      <c r="NDG30" s="910"/>
      <c r="NDH30" s="910"/>
      <c r="NDI30" s="910"/>
      <c r="NDJ30" s="910"/>
      <c r="NDK30" s="910"/>
      <c r="NDL30" s="910"/>
      <c r="NDM30" s="911"/>
      <c r="NDN30" s="911"/>
      <c r="NDO30" s="910"/>
      <c r="NDP30" s="910"/>
      <c r="NDQ30" s="910"/>
      <c r="NDR30" s="910"/>
      <c r="NDS30" s="910"/>
      <c r="NDT30" s="910"/>
      <c r="NDU30" s="910"/>
      <c r="NDV30" s="910"/>
      <c r="NDW30" s="910"/>
      <c r="NDX30" s="911"/>
      <c r="NDY30" s="911"/>
      <c r="NDZ30" s="910"/>
      <c r="NEA30" s="910"/>
      <c r="NEB30" s="910"/>
      <c r="NEC30" s="910"/>
      <c r="NED30" s="910"/>
      <c r="NEE30" s="910"/>
      <c r="NEF30" s="910"/>
      <c r="NEG30" s="910"/>
      <c r="NEH30" s="910"/>
      <c r="NEI30" s="911"/>
      <c r="NEJ30" s="911"/>
      <c r="NEK30" s="910"/>
      <c r="NEL30" s="910"/>
      <c r="NEM30" s="910"/>
      <c r="NEN30" s="910"/>
      <c r="NEO30" s="910"/>
      <c r="NEP30" s="910"/>
      <c r="NEQ30" s="910"/>
      <c r="NER30" s="910"/>
      <c r="NES30" s="910"/>
      <c r="NET30" s="911"/>
      <c r="NEU30" s="911"/>
      <c r="NEV30" s="910"/>
      <c r="NEW30" s="910"/>
      <c r="NEX30" s="910"/>
      <c r="NEY30" s="910"/>
      <c r="NEZ30" s="910"/>
      <c r="NFA30" s="910"/>
      <c r="NFB30" s="910"/>
      <c r="NFC30" s="910"/>
      <c r="NFD30" s="910"/>
      <c r="NFE30" s="911"/>
      <c r="NFF30" s="911"/>
      <c r="NFG30" s="910"/>
      <c r="NFH30" s="910"/>
      <c r="NFI30" s="910"/>
      <c r="NFJ30" s="910"/>
      <c r="NFK30" s="910"/>
      <c r="NFL30" s="910"/>
      <c r="NFM30" s="910"/>
      <c r="NFN30" s="910"/>
      <c r="NFO30" s="910"/>
      <c r="NFP30" s="911"/>
      <c r="NFQ30" s="911"/>
      <c r="NFR30" s="910"/>
      <c r="NFS30" s="910"/>
      <c r="NFT30" s="910"/>
      <c r="NFU30" s="910"/>
      <c r="NFV30" s="910"/>
      <c r="NFW30" s="910"/>
      <c r="NFX30" s="910"/>
      <c r="NFY30" s="910"/>
      <c r="NFZ30" s="910"/>
      <c r="NGA30" s="911"/>
      <c r="NGB30" s="911"/>
      <c r="NGC30" s="910"/>
      <c r="NGD30" s="910"/>
      <c r="NGE30" s="910"/>
      <c r="NGF30" s="910"/>
      <c r="NGG30" s="910"/>
      <c r="NGH30" s="910"/>
      <c r="NGI30" s="910"/>
      <c r="NGJ30" s="910"/>
      <c r="NGK30" s="910"/>
      <c r="NGL30" s="911"/>
      <c r="NGM30" s="911"/>
      <c r="NGN30" s="910"/>
      <c r="NGO30" s="910"/>
      <c r="NGP30" s="910"/>
      <c r="NGQ30" s="910"/>
      <c r="NGR30" s="910"/>
      <c r="NGS30" s="910"/>
      <c r="NGT30" s="910"/>
      <c r="NGU30" s="910"/>
      <c r="NGV30" s="910"/>
      <c r="NGW30" s="911"/>
      <c r="NGX30" s="911"/>
      <c r="NGY30" s="910"/>
      <c r="NGZ30" s="910"/>
      <c r="NHA30" s="910"/>
      <c r="NHB30" s="910"/>
      <c r="NHC30" s="910"/>
      <c r="NHD30" s="910"/>
      <c r="NHE30" s="910"/>
      <c r="NHF30" s="910"/>
      <c r="NHG30" s="910"/>
      <c r="NHH30" s="911"/>
      <c r="NHI30" s="911"/>
      <c r="NHJ30" s="910"/>
      <c r="NHK30" s="910"/>
      <c r="NHL30" s="910"/>
      <c r="NHM30" s="910"/>
      <c r="NHN30" s="910"/>
      <c r="NHO30" s="910"/>
      <c r="NHP30" s="910"/>
      <c r="NHQ30" s="910"/>
      <c r="NHR30" s="910"/>
      <c r="NHS30" s="911"/>
      <c r="NHT30" s="911"/>
      <c r="NHU30" s="910"/>
      <c r="NHV30" s="910"/>
      <c r="NHW30" s="910"/>
      <c r="NHX30" s="910"/>
      <c r="NHY30" s="910"/>
      <c r="NHZ30" s="910"/>
      <c r="NIA30" s="910"/>
      <c r="NIB30" s="910"/>
      <c r="NIC30" s="910"/>
      <c r="NID30" s="911"/>
      <c r="NIE30" s="911"/>
      <c r="NIF30" s="910"/>
      <c r="NIG30" s="910"/>
      <c r="NIH30" s="910"/>
      <c r="NII30" s="910"/>
      <c r="NIJ30" s="910"/>
      <c r="NIK30" s="910"/>
      <c r="NIL30" s="910"/>
      <c r="NIM30" s="910"/>
      <c r="NIN30" s="910"/>
      <c r="NIO30" s="911"/>
      <c r="NIP30" s="911"/>
      <c r="NIQ30" s="910"/>
      <c r="NIR30" s="910"/>
      <c r="NIS30" s="910"/>
      <c r="NIT30" s="910"/>
      <c r="NIU30" s="910"/>
      <c r="NIV30" s="910"/>
      <c r="NIW30" s="910"/>
      <c r="NIX30" s="910"/>
      <c r="NIY30" s="910"/>
      <c r="NIZ30" s="911"/>
      <c r="NJA30" s="911"/>
      <c r="NJB30" s="910"/>
      <c r="NJC30" s="910"/>
      <c r="NJD30" s="910"/>
      <c r="NJE30" s="910"/>
      <c r="NJF30" s="910"/>
      <c r="NJG30" s="910"/>
      <c r="NJH30" s="910"/>
      <c r="NJI30" s="910"/>
      <c r="NJJ30" s="910"/>
      <c r="NJK30" s="911"/>
      <c r="NJL30" s="911"/>
      <c r="NJM30" s="910"/>
      <c r="NJN30" s="910"/>
      <c r="NJO30" s="910"/>
      <c r="NJP30" s="910"/>
      <c r="NJQ30" s="910"/>
      <c r="NJR30" s="910"/>
      <c r="NJS30" s="910"/>
      <c r="NJT30" s="910"/>
      <c r="NJU30" s="910"/>
      <c r="NJV30" s="911"/>
      <c r="NJW30" s="911"/>
      <c r="NJX30" s="910"/>
      <c r="NJY30" s="910"/>
      <c r="NJZ30" s="910"/>
      <c r="NKA30" s="910"/>
      <c r="NKB30" s="910"/>
      <c r="NKC30" s="910"/>
      <c r="NKD30" s="910"/>
      <c r="NKE30" s="910"/>
      <c r="NKF30" s="910"/>
      <c r="NKG30" s="911"/>
      <c r="NKH30" s="911"/>
      <c r="NKI30" s="910"/>
      <c r="NKJ30" s="910"/>
      <c r="NKK30" s="910"/>
      <c r="NKL30" s="910"/>
      <c r="NKM30" s="910"/>
      <c r="NKN30" s="910"/>
      <c r="NKO30" s="910"/>
      <c r="NKP30" s="910"/>
      <c r="NKQ30" s="910"/>
      <c r="NKR30" s="911"/>
      <c r="NKS30" s="911"/>
      <c r="NKT30" s="910"/>
      <c r="NKU30" s="910"/>
      <c r="NKV30" s="910"/>
      <c r="NKW30" s="910"/>
      <c r="NKX30" s="910"/>
      <c r="NKY30" s="910"/>
      <c r="NKZ30" s="910"/>
      <c r="NLA30" s="910"/>
      <c r="NLB30" s="910"/>
      <c r="NLC30" s="911"/>
      <c r="NLD30" s="911"/>
      <c r="NLE30" s="910"/>
      <c r="NLF30" s="910"/>
      <c r="NLG30" s="910"/>
      <c r="NLH30" s="910"/>
      <c r="NLI30" s="910"/>
      <c r="NLJ30" s="910"/>
      <c r="NLK30" s="910"/>
      <c r="NLL30" s="910"/>
      <c r="NLM30" s="910"/>
      <c r="NLN30" s="911"/>
      <c r="NLO30" s="911"/>
      <c r="NLP30" s="910"/>
      <c r="NLQ30" s="910"/>
      <c r="NLR30" s="910"/>
      <c r="NLS30" s="910"/>
      <c r="NLT30" s="910"/>
      <c r="NLU30" s="910"/>
      <c r="NLV30" s="910"/>
      <c r="NLW30" s="910"/>
      <c r="NLX30" s="910"/>
      <c r="NLY30" s="911"/>
      <c r="NLZ30" s="911"/>
      <c r="NMA30" s="910"/>
      <c r="NMB30" s="910"/>
      <c r="NMC30" s="910"/>
      <c r="NMD30" s="910"/>
      <c r="NME30" s="910"/>
      <c r="NMF30" s="910"/>
      <c r="NMG30" s="910"/>
      <c r="NMH30" s="910"/>
      <c r="NMI30" s="910"/>
      <c r="NMJ30" s="911"/>
      <c r="NMK30" s="911"/>
      <c r="NML30" s="910"/>
      <c r="NMM30" s="910"/>
      <c r="NMN30" s="910"/>
      <c r="NMO30" s="910"/>
      <c r="NMP30" s="910"/>
      <c r="NMQ30" s="910"/>
      <c r="NMR30" s="910"/>
      <c r="NMS30" s="910"/>
      <c r="NMT30" s="910"/>
      <c r="NMU30" s="911"/>
      <c r="NMV30" s="911"/>
      <c r="NMW30" s="910"/>
      <c r="NMX30" s="910"/>
      <c r="NMY30" s="910"/>
      <c r="NMZ30" s="910"/>
      <c r="NNA30" s="910"/>
      <c r="NNB30" s="910"/>
      <c r="NNC30" s="910"/>
      <c r="NND30" s="910"/>
      <c r="NNE30" s="910"/>
      <c r="NNF30" s="911"/>
      <c r="NNG30" s="911"/>
      <c r="NNH30" s="910"/>
      <c r="NNI30" s="910"/>
      <c r="NNJ30" s="910"/>
      <c r="NNK30" s="910"/>
      <c r="NNL30" s="910"/>
      <c r="NNM30" s="910"/>
      <c r="NNN30" s="910"/>
      <c r="NNO30" s="910"/>
      <c r="NNP30" s="910"/>
      <c r="NNQ30" s="911"/>
      <c r="NNR30" s="911"/>
      <c r="NNS30" s="910"/>
      <c r="NNT30" s="910"/>
      <c r="NNU30" s="910"/>
      <c r="NNV30" s="910"/>
      <c r="NNW30" s="910"/>
      <c r="NNX30" s="910"/>
      <c r="NNY30" s="910"/>
      <c r="NNZ30" s="910"/>
      <c r="NOA30" s="910"/>
      <c r="NOB30" s="911"/>
      <c r="NOC30" s="911"/>
      <c r="NOD30" s="910"/>
      <c r="NOE30" s="910"/>
      <c r="NOF30" s="910"/>
      <c r="NOG30" s="910"/>
      <c r="NOH30" s="910"/>
      <c r="NOI30" s="910"/>
      <c r="NOJ30" s="910"/>
      <c r="NOK30" s="910"/>
      <c r="NOL30" s="910"/>
      <c r="NOM30" s="911"/>
      <c r="NON30" s="911"/>
      <c r="NOO30" s="910"/>
      <c r="NOP30" s="910"/>
      <c r="NOQ30" s="910"/>
      <c r="NOR30" s="910"/>
      <c r="NOS30" s="910"/>
      <c r="NOT30" s="910"/>
      <c r="NOU30" s="910"/>
      <c r="NOV30" s="910"/>
      <c r="NOW30" s="910"/>
      <c r="NOX30" s="911"/>
      <c r="NOY30" s="911"/>
      <c r="NOZ30" s="910"/>
      <c r="NPA30" s="910"/>
      <c r="NPB30" s="910"/>
      <c r="NPC30" s="910"/>
      <c r="NPD30" s="910"/>
      <c r="NPE30" s="910"/>
      <c r="NPF30" s="910"/>
      <c r="NPG30" s="910"/>
      <c r="NPH30" s="910"/>
      <c r="NPI30" s="911"/>
      <c r="NPJ30" s="911"/>
      <c r="NPK30" s="910"/>
      <c r="NPL30" s="910"/>
      <c r="NPM30" s="910"/>
      <c r="NPN30" s="910"/>
      <c r="NPO30" s="910"/>
      <c r="NPP30" s="910"/>
      <c r="NPQ30" s="910"/>
      <c r="NPR30" s="910"/>
      <c r="NPS30" s="910"/>
      <c r="NPT30" s="911"/>
      <c r="NPU30" s="911"/>
      <c r="NPV30" s="910"/>
      <c r="NPW30" s="910"/>
      <c r="NPX30" s="910"/>
      <c r="NPY30" s="910"/>
      <c r="NPZ30" s="910"/>
      <c r="NQA30" s="910"/>
      <c r="NQB30" s="910"/>
      <c r="NQC30" s="910"/>
      <c r="NQD30" s="910"/>
      <c r="NQE30" s="911"/>
      <c r="NQF30" s="911"/>
      <c r="NQG30" s="910"/>
      <c r="NQH30" s="910"/>
      <c r="NQI30" s="910"/>
      <c r="NQJ30" s="910"/>
      <c r="NQK30" s="910"/>
      <c r="NQL30" s="910"/>
      <c r="NQM30" s="910"/>
      <c r="NQN30" s="910"/>
      <c r="NQO30" s="910"/>
      <c r="NQP30" s="911"/>
      <c r="NQQ30" s="911"/>
      <c r="NQR30" s="910"/>
      <c r="NQS30" s="910"/>
      <c r="NQT30" s="910"/>
      <c r="NQU30" s="910"/>
      <c r="NQV30" s="910"/>
      <c r="NQW30" s="910"/>
      <c r="NQX30" s="910"/>
      <c r="NQY30" s="910"/>
      <c r="NQZ30" s="910"/>
      <c r="NRA30" s="911"/>
      <c r="NRB30" s="911"/>
      <c r="NRC30" s="910"/>
      <c r="NRD30" s="910"/>
      <c r="NRE30" s="910"/>
      <c r="NRF30" s="910"/>
      <c r="NRG30" s="910"/>
      <c r="NRH30" s="910"/>
      <c r="NRI30" s="910"/>
      <c r="NRJ30" s="910"/>
      <c r="NRK30" s="910"/>
      <c r="NRL30" s="911"/>
      <c r="NRM30" s="911"/>
      <c r="NRN30" s="910"/>
      <c r="NRO30" s="910"/>
      <c r="NRP30" s="910"/>
      <c r="NRQ30" s="910"/>
      <c r="NRR30" s="910"/>
      <c r="NRS30" s="910"/>
      <c r="NRT30" s="910"/>
      <c r="NRU30" s="910"/>
      <c r="NRV30" s="910"/>
      <c r="NRW30" s="911"/>
      <c r="NRX30" s="911"/>
      <c r="NRY30" s="910"/>
      <c r="NRZ30" s="910"/>
      <c r="NSA30" s="910"/>
      <c r="NSB30" s="910"/>
      <c r="NSC30" s="910"/>
      <c r="NSD30" s="910"/>
      <c r="NSE30" s="910"/>
      <c r="NSF30" s="910"/>
      <c r="NSG30" s="910"/>
      <c r="NSH30" s="911"/>
      <c r="NSI30" s="911"/>
      <c r="NSJ30" s="910"/>
      <c r="NSK30" s="910"/>
      <c r="NSL30" s="910"/>
      <c r="NSM30" s="910"/>
      <c r="NSN30" s="910"/>
      <c r="NSO30" s="910"/>
      <c r="NSP30" s="910"/>
      <c r="NSQ30" s="910"/>
      <c r="NSR30" s="910"/>
      <c r="NSS30" s="911"/>
      <c r="NST30" s="911"/>
      <c r="NSU30" s="910"/>
      <c r="NSV30" s="910"/>
      <c r="NSW30" s="910"/>
      <c r="NSX30" s="910"/>
      <c r="NSY30" s="910"/>
      <c r="NSZ30" s="910"/>
      <c r="NTA30" s="910"/>
      <c r="NTB30" s="910"/>
      <c r="NTC30" s="910"/>
      <c r="NTD30" s="911"/>
      <c r="NTE30" s="911"/>
      <c r="NTF30" s="910"/>
      <c r="NTG30" s="910"/>
      <c r="NTH30" s="910"/>
      <c r="NTI30" s="910"/>
      <c r="NTJ30" s="910"/>
      <c r="NTK30" s="910"/>
      <c r="NTL30" s="910"/>
      <c r="NTM30" s="910"/>
      <c r="NTN30" s="910"/>
      <c r="NTO30" s="911"/>
      <c r="NTP30" s="911"/>
      <c r="NTQ30" s="910"/>
      <c r="NTR30" s="910"/>
      <c r="NTS30" s="910"/>
      <c r="NTT30" s="910"/>
      <c r="NTU30" s="910"/>
      <c r="NTV30" s="910"/>
      <c r="NTW30" s="910"/>
      <c r="NTX30" s="910"/>
      <c r="NTY30" s="910"/>
      <c r="NTZ30" s="911"/>
      <c r="NUA30" s="911"/>
      <c r="NUB30" s="910"/>
      <c r="NUC30" s="910"/>
      <c r="NUD30" s="910"/>
      <c r="NUE30" s="910"/>
      <c r="NUF30" s="910"/>
      <c r="NUG30" s="910"/>
      <c r="NUH30" s="910"/>
      <c r="NUI30" s="910"/>
      <c r="NUJ30" s="910"/>
      <c r="NUK30" s="911"/>
      <c r="NUL30" s="911"/>
      <c r="NUM30" s="910"/>
      <c r="NUN30" s="910"/>
      <c r="NUO30" s="910"/>
      <c r="NUP30" s="910"/>
      <c r="NUQ30" s="910"/>
      <c r="NUR30" s="910"/>
      <c r="NUS30" s="910"/>
      <c r="NUT30" s="910"/>
      <c r="NUU30" s="910"/>
      <c r="NUV30" s="911"/>
      <c r="NUW30" s="911"/>
      <c r="NUX30" s="910"/>
      <c r="NUY30" s="910"/>
      <c r="NUZ30" s="910"/>
      <c r="NVA30" s="910"/>
      <c r="NVB30" s="910"/>
      <c r="NVC30" s="910"/>
      <c r="NVD30" s="910"/>
      <c r="NVE30" s="910"/>
      <c r="NVF30" s="910"/>
      <c r="NVG30" s="911"/>
      <c r="NVH30" s="911"/>
      <c r="NVI30" s="910"/>
      <c r="NVJ30" s="910"/>
      <c r="NVK30" s="910"/>
      <c r="NVL30" s="910"/>
      <c r="NVM30" s="910"/>
      <c r="NVN30" s="910"/>
      <c r="NVO30" s="910"/>
      <c r="NVP30" s="910"/>
      <c r="NVQ30" s="910"/>
      <c r="NVR30" s="911"/>
      <c r="NVS30" s="911"/>
      <c r="NVT30" s="910"/>
      <c r="NVU30" s="910"/>
      <c r="NVV30" s="910"/>
      <c r="NVW30" s="910"/>
      <c r="NVX30" s="910"/>
      <c r="NVY30" s="910"/>
      <c r="NVZ30" s="910"/>
      <c r="NWA30" s="910"/>
      <c r="NWB30" s="910"/>
      <c r="NWC30" s="911"/>
      <c r="NWD30" s="911"/>
      <c r="NWE30" s="910"/>
      <c r="NWF30" s="910"/>
      <c r="NWG30" s="910"/>
      <c r="NWH30" s="910"/>
      <c r="NWI30" s="910"/>
      <c r="NWJ30" s="910"/>
      <c r="NWK30" s="910"/>
      <c r="NWL30" s="910"/>
      <c r="NWM30" s="910"/>
      <c r="NWN30" s="911"/>
      <c r="NWO30" s="911"/>
      <c r="NWP30" s="910"/>
      <c r="NWQ30" s="910"/>
      <c r="NWR30" s="910"/>
      <c r="NWS30" s="910"/>
      <c r="NWT30" s="910"/>
      <c r="NWU30" s="910"/>
      <c r="NWV30" s="910"/>
      <c r="NWW30" s="910"/>
      <c r="NWX30" s="910"/>
      <c r="NWY30" s="911"/>
      <c r="NWZ30" s="911"/>
      <c r="NXA30" s="910"/>
      <c r="NXB30" s="910"/>
      <c r="NXC30" s="910"/>
      <c r="NXD30" s="910"/>
      <c r="NXE30" s="910"/>
      <c r="NXF30" s="910"/>
      <c r="NXG30" s="910"/>
      <c r="NXH30" s="910"/>
      <c r="NXI30" s="910"/>
      <c r="NXJ30" s="911"/>
      <c r="NXK30" s="911"/>
      <c r="NXL30" s="910"/>
      <c r="NXM30" s="910"/>
      <c r="NXN30" s="910"/>
      <c r="NXO30" s="910"/>
      <c r="NXP30" s="910"/>
      <c r="NXQ30" s="910"/>
      <c r="NXR30" s="910"/>
      <c r="NXS30" s="910"/>
      <c r="NXT30" s="910"/>
      <c r="NXU30" s="911"/>
      <c r="NXV30" s="911"/>
      <c r="NXW30" s="910"/>
      <c r="NXX30" s="910"/>
      <c r="NXY30" s="910"/>
      <c r="NXZ30" s="910"/>
      <c r="NYA30" s="910"/>
      <c r="NYB30" s="910"/>
      <c r="NYC30" s="910"/>
      <c r="NYD30" s="910"/>
      <c r="NYE30" s="910"/>
      <c r="NYF30" s="911"/>
      <c r="NYG30" s="911"/>
      <c r="NYH30" s="910"/>
      <c r="NYI30" s="910"/>
      <c r="NYJ30" s="910"/>
      <c r="NYK30" s="910"/>
      <c r="NYL30" s="910"/>
      <c r="NYM30" s="910"/>
      <c r="NYN30" s="910"/>
      <c r="NYO30" s="910"/>
      <c r="NYP30" s="910"/>
      <c r="NYQ30" s="911"/>
      <c r="NYR30" s="911"/>
      <c r="NYS30" s="910"/>
      <c r="NYT30" s="910"/>
      <c r="NYU30" s="910"/>
      <c r="NYV30" s="910"/>
      <c r="NYW30" s="910"/>
      <c r="NYX30" s="910"/>
      <c r="NYY30" s="910"/>
      <c r="NYZ30" s="910"/>
      <c r="NZA30" s="910"/>
      <c r="NZB30" s="911"/>
      <c r="NZC30" s="911"/>
      <c r="NZD30" s="910"/>
      <c r="NZE30" s="910"/>
      <c r="NZF30" s="910"/>
      <c r="NZG30" s="910"/>
      <c r="NZH30" s="910"/>
      <c r="NZI30" s="910"/>
      <c r="NZJ30" s="910"/>
      <c r="NZK30" s="910"/>
      <c r="NZL30" s="910"/>
      <c r="NZM30" s="911"/>
      <c r="NZN30" s="911"/>
      <c r="NZO30" s="910"/>
      <c r="NZP30" s="910"/>
      <c r="NZQ30" s="910"/>
      <c r="NZR30" s="910"/>
      <c r="NZS30" s="910"/>
      <c r="NZT30" s="910"/>
      <c r="NZU30" s="910"/>
      <c r="NZV30" s="910"/>
      <c r="NZW30" s="910"/>
      <c r="NZX30" s="911"/>
      <c r="NZY30" s="911"/>
      <c r="NZZ30" s="910"/>
      <c r="OAA30" s="910"/>
      <c r="OAB30" s="910"/>
      <c r="OAC30" s="910"/>
      <c r="OAD30" s="910"/>
      <c r="OAE30" s="910"/>
      <c r="OAF30" s="910"/>
      <c r="OAG30" s="910"/>
      <c r="OAH30" s="910"/>
      <c r="OAI30" s="911"/>
      <c r="OAJ30" s="911"/>
      <c r="OAK30" s="910"/>
      <c r="OAL30" s="910"/>
      <c r="OAM30" s="910"/>
      <c r="OAN30" s="910"/>
      <c r="OAO30" s="910"/>
      <c r="OAP30" s="910"/>
      <c r="OAQ30" s="910"/>
      <c r="OAR30" s="910"/>
      <c r="OAS30" s="910"/>
      <c r="OAT30" s="911"/>
      <c r="OAU30" s="911"/>
      <c r="OAV30" s="910"/>
      <c r="OAW30" s="910"/>
      <c r="OAX30" s="910"/>
      <c r="OAY30" s="910"/>
      <c r="OAZ30" s="910"/>
      <c r="OBA30" s="910"/>
      <c r="OBB30" s="910"/>
      <c r="OBC30" s="910"/>
      <c r="OBD30" s="910"/>
      <c r="OBE30" s="911"/>
      <c r="OBF30" s="911"/>
      <c r="OBG30" s="910"/>
      <c r="OBH30" s="910"/>
      <c r="OBI30" s="910"/>
      <c r="OBJ30" s="910"/>
      <c r="OBK30" s="910"/>
      <c r="OBL30" s="910"/>
      <c r="OBM30" s="910"/>
      <c r="OBN30" s="910"/>
      <c r="OBO30" s="910"/>
      <c r="OBP30" s="911"/>
      <c r="OBQ30" s="911"/>
      <c r="OBR30" s="910"/>
      <c r="OBS30" s="910"/>
      <c r="OBT30" s="910"/>
      <c r="OBU30" s="910"/>
      <c r="OBV30" s="910"/>
      <c r="OBW30" s="910"/>
      <c r="OBX30" s="910"/>
      <c r="OBY30" s="910"/>
      <c r="OBZ30" s="910"/>
      <c r="OCA30" s="911"/>
      <c r="OCB30" s="911"/>
      <c r="OCC30" s="910"/>
      <c r="OCD30" s="910"/>
      <c r="OCE30" s="910"/>
      <c r="OCF30" s="910"/>
      <c r="OCG30" s="910"/>
      <c r="OCH30" s="910"/>
      <c r="OCI30" s="910"/>
      <c r="OCJ30" s="910"/>
      <c r="OCK30" s="910"/>
      <c r="OCL30" s="911"/>
      <c r="OCM30" s="911"/>
      <c r="OCN30" s="910"/>
      <c r="OCO30" s="910"/>
      <c r="OCP30" s="910"/>
      <c r="OCQ30" s="910"/>
      <c r="OCR30" s="910"/>
      <c r="OCS30" s="910"/>
      <c r="OCT30" s="910"/>
      <c r="OCU30" s="910"/>
      <c r="OCV30" s="910"/>
      <c r="OCW30" s="911"/>
      <c r="OCX30" s="911"/>
      <c r="OCY30" s="910"/>
      <c r="OCZ30" s="910"/>
      <c r="ODA30" s="910"/>
      <c r="ODB30" s="910"/>
      <c r="ODC30" s="910"/>
      <c r="ODD30" s="910"/>
      <c r="ODE30" s="910"/>
      <c r="ODF30" s="910"/>
      <c r="ODG30" s="910"/>
      <c r="ODH30" s="911"/>
      <c r="ODI30" s="911"/>
      <c r="ODJ30" s="910"/>
      <c r="ODK30" s="910"/>
      <c r="ODL30" s="910"/>
      <c r="ODM30" s="910"/>
      <c r="ODN30" s="910"/>
      <c r="ODO30" s="910"/>
      <c r="ODP30" s="910"/>
      <c r="ODQ30" s="910"/>
      <c r="ODR30" s="910"/>
      <c r="ODS30" s="911"/>
      <c r="ODT30" s="911"/>
      <c r="ODU30" s="910"/>
      <c r="ODV30" s="910"/>
      <c r="ODW30" s="910"/>
      <c r="ODX30" s="910"/>
      <c r="ODY30" s="910"/>
      <c r="ODZ30" s="910"/>
      <c r="OEA30" s="910"/>
      <c r="OEB30" s="910"/>
      <c r="OEC30" s="910"/>
      <c r="OED30" s="911"/>
      <c r="OEE30" s="911"/>
      <c r="OEF30" s="910"/>
      <c r="OEG30" s="910"/>
      <c r="OEH30" s="910"/>
      <c r="OEI30" s="910"/>
      <c r="OEJ30" s="910"/>
      <c r="OEK30" s="910"/>
      <c r="OEL30" s="910"/>
      <c r="OEM30" s="910"/>
      <c r="OEN30" s="910"/>
      <c r="OEO30" s="911"/>
      <c r="OEP30" s="911"/>
      <c r="OEQ30" s="910"/>
      <c r="OER30" s="910"/>
      <c r="OES30" s="910"/>
      <c r="OET30" s="910"/>
      <c r="OEU30" s="910"/>
      <c r="OEV30" s="910"/>
      <c r="OEW30" s="910"/>
      <c r="OEX30" s="910"/>
      <c r="OEY30" s="910"/>
      <c r="OEZ30" s="911"/>
      <c r="OFA30" s="911"/>
      <c r="OFB30" s="910"/>
      <c r="OFC30" s="910"/>
      <c r="OFD30" s="910"/>
      <c r="OFE30" s="910"/>
      <c r="OFF30" s="910"/>
      <c r="OFG30" s="910"/>
      <c r="OFH30" s="910"/>
      <c r="OFI30" s="910"/>
      <c r="OFJ30" s="910"/>
      <c r="OFK30" s="911"/>
      <c r="OFL30" s="911"/>
      <c r="OFM30" s="910"/>
      <c r="OFN30" s="910"/>
      <c r="OFO30" s="910"/>
      <c r="OFP30" s="910"/>
      <c r="OFQ30" s="910"/>
      <c r="OFR30" s="910"/>
      <c r="OFS30" s="910"/>
      <c r="OFT30" s="910"/>
      <c r="OFU30" s="910"/>
      <c r="OFV30" s="911"/>
      <c r="OFW30" s="911"/>
      <c r="OFX30" s="910"/>
      <c r="OFY30" s="910"/>
      <c r="OFZ30" s="910"/>
      <c r="OGA30" s="910"/>
      <c r="OGB30" s="910"/>
      <c r="OGC30" s="910"/>
      <c r="OGD30" s="910"/>
      <c r="OGE30" s="910"/>
      <c r="OGF30" s="910"/>
      <c r="OGG30" s="911"/>
      <c r="OGH30" s="911"/>
      <c r="OGI30" s="910"/>
      <c r="OGJ30" s="910"/>
      <c r="OGK30" s="910"/>
      <c r="OGL30" s="910"/>
      <c r="OGM30" s="910"/>
      <c r="OGN30" s="910"/>
      <c r="OGO30" s="910"/>
      <c r="OGP30" s="910"/>
      <c r="OGQ30" s="910"/>
      <c r="OGR30" s="911"/>
      <c r="OGS30" s="911"/>
      <c r="OGT30" s="910"/>
      <c r="OGU30" s="910"/>
      <c r="OGV30" s="910"/>
      <c r="OGW30" s="910"/>
      <c r="OGX30" s="910"/>
      <c r="OGY30" s="910"/>
      <c r="OGZ30" s="910"/>
      <c r="OHA30" s="910"/>
      <c r="OHB30" s="910"/>
      <c r="OHC30" s="911"/>
      <c r="OHD30" s="911"/>
      <c r="OHE30" s="910"/>
      <c r="OHF30" s="910"/>
      <c r="OHG30" s="910"/>
      <c r="OHH30" s="910"/>
      <c r="OHI30" s="910"/>
      <c r="OHJ30" s="910"/>
      <c r="OHK30" s="910"/>
      <c r="OHL30" s="910"/>
      <c r="OHM30" s="910"/>
      <c r="OHN30" s="911"/>
      <c r="OHO30" s="911"/>
      <c r="OHP30" s="910"/>
      <c r="OHQ30" s="910"/>
      <c r="OHR30" s="910"/>
      <c r="OHS30" s="910"/>
      <c r="OHT30" s="910"/>
      <c r="OHU30" s="910"/>
      <c r="OHV30" s="910"/>
      <c r="OHW30" s="910"/>
      <c r="OHX30" s="910"/>
      <c r="OHY30" s="911"/>
      <c r="OHZ30" s="911"/>
      <c r="OIA30" s="910"/>
      <c r="OIB30" s="910"/>
      <c r="OIC30" s="910"/>
      <c r="OID30" s="910"/>
      <c r="OIE30" s="910"/>
      <c r="OIF30" s="910"/>
      <c r="OIG30" s="910"/>
      <c r="OIH30" s="910"/>
      <c r="OII30" s="910"/>
      <c r="OIJ30" s="911"/>
      <c r="OIK30" s="911"/>
      <c r="OIL30" s="910"/>
      <c r="OIM30" s="910"/>
      <c r="OIN30" s="910"/>
      <c r="OIO30" s="910"/>
      <c r="OIP30" s="910"/>
      <c r="OIQ30" s="910"/>
      <c r="OIR30" s="910"/>
      <c r="OIS30" s="910"/>
      <c r="OIT30" s="910"/>
      <c r="OIU30" s="911"/>
      <c r="OIV30" s="911"/>
      <c r="OIW30" s="910"/>
      <c r="OIX30" s="910"/>
      <c r="OIY30" s="910"/>
      <c r="OIZ30" s="910"/>
      <c r="OJA30" s="910"/>
      <c r="OJB30" s="910"/>
      <c r="OJC30" s="910"/>
      <c r="OJD30" s="910"/>
      <c r="OJE30" s="910"/>
      <c r="OJF30" s="911"/>
      <c r="OJG30" s="911"/>
      <c r="OJH30" s="910"/>
      <c r="OJI30" s="910"/>
      <c r="OJJ30" s="910"/>
      <c r="OJK30" s="910"/>
      <c r="OJL30" s="910"/>
      <c r="OJM30" s="910"/>
      <c r="OJN30" s="910"/>
      <c r="OJO30" s="910"/>
      <c r="OJP30" s="910"/>
      <c r="OJQ30" s="911"/>
      <c r="OJR30" s="911"/>
      <c r="OJS30" s="910"/>
      <c r="OJT30" s="910"/>
      <c r="OJU30" s="910"/>
      <c r="OJV30" s="910"/>
      <c r="OJW30" s="910"/>
      <c r="OJX30" s="910"/>
      <c r="OJY30" s="910"/>
      <c r="OJZ30" s="910"/>
      <c r="OKA30" s="910"/>
      <c r="OKB30" s="911"/>
      <c r="OKC30" s="911"/>
      <c r="OKD30" s="910"/>
      <c r="OKE30" s="910"/>
      <c r="OKF30" s="910"/>
      <c r="OKG30" s="910"/>
      <c r="OKH30" s="910"/>
      <c r="OKI30" s="910"/>
      <c r="OKJ30" s="910"/>
      <c r="OKK30" s="910"/>
      <c r="OKL30" s="910"/>
      <c r="OKM30" s="911"/>
      <c r="OKN30" s="911"/>
      <c r="OKO30" s="910"/>
      <c r="OKP30" s="910"/>
      <c r="OKQ30" s="910"/>
      <c r="OKR30" s="910"/>
      <c r="OKS30" s="910"/>
      <c r="OKT30" s="910"/>
      <c r="OKU30" s="910"/>
      <c r="OKV30" s="910"/>
      <c r="OKW30" s="910"/>
      <c r="OKX30" s="911"/>
      <c r="OKY30" s="911"/>
      <c r="OKZ30" s="910"/>
      <c r="OLA30" s="910"/>
      <c r="OLB30" s="910"/>
      <c r="OLC30" s="910"/>
      <c r="OLD30" s="910"/>
      <c r="OLE30" s="910"/>
      <c r="OLF30" s="910"/>
      <c r="OLG30" s="910"/>
      <c r="OLH30" s="910"/>
      <c r="OLI30" s="911"/>
      <c r="OLJ30" s="911"/>
      <c r="OLK30" s="910"/>
      <c r="OLL30" s="910"/>
      <c r="OLM30" s="910"/>
      <c r="OLN30" s="910"/>
      <c r="OLO30" s="910"/>
      <c r="OLP30" s="910"/>
      <c r="OLQ30" s="910"/>
      <c r="OLR30" s="910"/>
      <c r="OLS30" s="910"/>
      <c r="OLT30" s="911"/>
      <c r="OLU30" s="911"/>
      <c r="OLV30" s="910"/>
      <c r="OLW30" s="910"/>
      <c r="OLX30" s="910"/>
      <c r="OLY30" s="910"/>
      <c r="OLZ30" s="910"/>
      <c r="OMA30" s="910"/>
      <c r="OMB30" s="910"/>
      <c r="OMC30" s="910"/>
      <c r="OMD30" s="910"/>
      <c r="OME30" s="911"/>
      <c r="OMF30" s="911"/>
      <c r="OMG30" s="910"/>
      <c r="OMH30" s="910"/>
      <c r="OMI30" s="910"/>
      <c r="OMJ30" s="910"/>
      <c r="OMK30" s="910"/>
      <c r="OML30" s="910"/>
      <c r="OMM30" s="910"/>
      <c r="OMN30" s="910"/>
      <c r="OMO30" s="910"/>
      <c r="OMP30" s="911"/>
      <c r="OMQ30" s="911"/>
      <c r="OMR30" s="910"/>
      <c r="OMS30" s="910"/>
      <c r="OMT30" s="910"/>
      <c r="OMU30" s="910"/>
      <c r="OMV30" s="910"/>
      <c r="OMW30" s="910"/>
      <c r="OMX30" s="910"/>
      <c r="OMY30" s="910"/>
      <c r="OMZ30" s="910"/>
      <c r="ONA30" s="911"/>
      <c r="ONB30" s="911"/>
      <c r="ONC30" s="910"/>
      <c r="OND30" s="910"/>
      <c r="ONE30" s="910"/>
      <c r="ONF30" s="910"/>
      <c r="ONG30" s="910"/>
      <c r="ONH30" s="910"/>
      <c r="ONI30" s="910"/>
      <c r="ONJ30" s="910"/>
      <c r="ONK30" s="910"/>
      <c r="ONL30" s="911"/>
      <c r="ONM30" s="911"/>
      <c r="ONN30" s="910"/>
      <c r="ONO30" s="910"/>
      <c r="ONP30" s="910"/>
      <c r="ONQ30" s="910"/>
      <c r="ONR30" s="910"/>
      <c r="ONS30" s="910"/>
      <c r="ONT30" s="910"/>
      <c r="ONU30" s="910"/>
      <c r="ONV30" s="910"/>
      <c r="ONW30" s="911"/>
      <c r="ONX30" s="911"/>
      <c r="ONY30" s="910"/>
      <c r="ONZ30" s="910"/>
      <c r="OOA30" s="910"/>
      <c r="OOB30" s="910"/>
      <c r="OOC30" s="910"/>
      <c r="OOD30" s="910"/>
      <c r="OOE30" s="910"/>
      <c r="OOF30" s="910"/>
      <c r="OOG30" s="910"/>
      <c r="OOH30" s="911"/>
      <c r="OOI30" s="911"/>
      <c r="OOJ30" s="910"/>
      <c r="OOK30" s="910"/>
      <c r="OOL30" s="910"/>
      <c r="OOM30" s="910"/>
      <c r="OON30" s="910"/>
      <c r="OOO30" s="910"/>
      <c r="OOP30" s="910"/>
      <c r="OOQ30" s="910"/>
      <c r="OOR30" s="910"/>
      <c r="OOS30" s="911"/>
      <c r="OOT30" s="911"/>
      <c r="OOU30" s="910"/>
      <c r="OOV30" s="910"/>
      <c r="OOW30" s="910"/>
      <c r="OOX30" s="910"/>
      <c r="OOY30" s="910"/>
      <c r="OOZ30" s="910"/>
      <c r="OPA30" s="910"/>
      <c r="OPB30" s="910"/>
      <c r="OPC30" s="910"/>
      <c r="OPD30" s="911"/>
      <c r="OPE30" s="911"/>
      <c r="OPF30" s="910"/>
      <c r="OPG30" s="910"/>
      <c r="OPH30" s="910"/>
      <c r="OPI30" s="910"/>
      <c r="OPJ30" s="910"/>
      <c r="OPK30" s="910"/>
      <c r="OPL30" s="910"/>
      <c r="OPM30" s="910"/>
      <c r="OPN30" s="910"/>
      <c r="OPO30" s="911"/>
      <c r="OPP30" s="911"/>
      <c r="OPQ30" s="910"/>
      <c r="OPR30" s="910"/>
      <c r="OPS30" s="910"/>
      <c r="OPT30" s="910"/>
      <c r="OPU30" s="910"/>
      <c r="OPV30" s="910"/>
      <c r="OPW30" s="910"/>
      <c r="OPX30" s="910"/>
      <c r="OPY30" s="910"/>
      <c r="OPZ30" s="911"/>
      <c r="OQA30" s="911"/>
      <c r="OQB30" s="910"/>
      <c r="OQC30" s="910"/>
      <c r="OQD30" s="910"/>
      <c r="OQE30" s="910"/>
      <c r="OQF30" s="910"/>
      <c r="OQG30" s="910"/>
      <c r="OQH30" s="910"/>
      <c r="OQI30" s="910"/>
      <c r="OQJ30" s="910"/>
      <c r="OQK30" s="911"/>
      <c r="OQL30" s="911"/>
      <c r="OQM30" s="910"/>
      <c r="OQN30" s="910"/>
      <c r="OQO30" s="910"/>
      <c r="OQP30" s="910"/>
      <c r="OQQ30" s="910"/>
      <c r="OQR30" s="910"/>
      <c r="OQS30" s="910"/>
      <c r="OQT30" s="910"/>
      <c r="OQU30" s="910"/>
      <c r="OQV30" s="911"/>
      <c r="OQW30" s="911"/>
      <c r="OQX30" s="910"/>
      <c r="OQY30" s="910"/>
      <c r="OQZ30" s="910"/>
      <c r="ORA30" s="910"/>
      <c r="ORB30" s="910"/>
      <c r="ORC30" s="910"/>
      <c r="ORD30" s="910"/>
      <c r="ORE30" s="910"/>
      <c r="ORF30" s="910"/>
      <c r="ORG30" s="911"/>
      <c r="ORH30" s="911"/>
      <c r="ORI30" s="910"/>
      <c r="ORJ30" s="910"/>
      <c r="ORK30" s="910"/>
      <c r="ORL30" s="910"/>
      <c r="ORM30" s="910"/>
      <c r="ORN30" s="910"/>
      <c r="ORO30" s="910"/>
      <c r="ORP30" s="910"/>
      <c r="ORQ30" s="910"/>
      <c r="ORR30" s="911"/>
      <c r="ORS30" s="911"/>
      <c r="ORT30" s="910"/>
      <c r="ORU30" s="910"/>
      <c r="ORV30" s="910"/>
      <c r="ORW30" s="910"/>
      <c r="ORX30" s="910"/>
      <c r="ORY30" s="910"/>
      <c r="ORZ30" s="910"/>
      <c r="OSA30" s="910"/>
      <c r="OSB30" s="910"/>
      <c r="OSC30" s="911"/>
      <c r="OSD30" s="911"/>
      <c r="OSE30" s="910"/>
      <c r="OSF30" s="910"/>
      <c r="OSG30" s="910"/>
      <c r="OSH30" s="910"/>
      <c r="OSI30" s="910"/>
      <c r="OSJ30" s="910"/>
      <c r="OSK30" s="910"/>
      <c r="OSL30" s="910"/>
      <c r="OSM30" s="910"/>
      <c r="OSN30" s="911"/>
      <c r="OSO30" s="911"/>
      <c r="OSP30" s="910"/>
      <c r="OSQ30" s="910"/>
      <c r="OSR30" s="910"/>
      <c r="OSS30" s="910"/>
      <c r="OST30" s="910"/>
      <c r="OSU30" s="910"/>
      <c r="OSV30" s="910"/>
      <c r="OSW30" s="910"/>
      <c r="OSX30" s="910"/>
      <c r="OSY30" s="911"/>
      <c r="OSZ30" s="911"/>
      <c r="OTA30" s="910"/>
      <c r="OTB30" s="910"/>
      <c r="OTC30" s="910"/>
      <c r="OTD30" s="910"/>
      <c r="OTE30" s="910"/>
      <c r="OTF30" s="910"/>
      <c r="OTG30" s="910"/>
      <c r="OTH30" s="910"/>
      <c r="OTI30" s="910"/>
      <c r="OTJ30" s="911"/>
      <c r="OTK30" s="911"/>
      <c r="OTL30" s="910"/>
      <c r="OTM30" s="910"/>
      <c r="OTN30" s="910"/>
      <c r="OTO30" s="910"/>
      <c r="OTP30" s="910"/>
      <c r="OTQ30" s="910"/>
      <c r="OTR30" s="910"/>
      <c r="OTS30" s="910"/>
      <c r="OTT30" s="910"/>
      <c r="OTU30" s="911"/>
      <c r="OTV30" s="911"/>
      <c r="OTW30" s="910"/>
      <c r="OTX30" s="910"/>
      <c r="OTY30" s="910"/>
      <c r="OTZ30" s="910"/>
      <c r="OUA30" s="910"/>
      <c r="OUB30" s="910"/>
      <c r="OUC30" s="910"/>
      <c r="OUD30" s="910"/>
      <c r="OUE30" s="910"/>
      <c r="OUF30" s="911"/>
      <c r="OUG30" s="911"/>
      <c r="OUH30" s="910"/>
      <c r="OUI30" s="910"/>
      <c r="OUJ30" s="910"/>
      <c r="OUK30" s="910"/>
      <c r="OUL30" s="910"/>
      <c r="OUM30" s="910"/>
      <c r="OUN30" s="910"/>
      <c r="OUO30" s="910"/>
      <c r="OUP30" s="910"/>
      <c r="OUQ30" s="911"/>
      <c r="OUR30" s="911"/>
      <c r="OUS30" s="910"/>
      <c r="OUT30" s="910"/>
      <c r="OUU30" s="910"/>
      <c r="OUV30" s="910"/>
      <c r="OUW30" s="910"/>
      <c r="OUX30" s="910"/>
      <c r="OUY30" s="910"/>
      <c r="OUZ30" s="910"/>
      <c r="OVA30" s="910"/>
      <c r="OVB30" s="911"/>
      <c r="OVC30" s="911"/>
      <c r="OVD30" s="910"/>
      <c r="OVE30" s="910"/>
      <c r="OVF30" s="910"/>
      <c r="OVG30" s="910"/>
      <c r="OVH30" s="910"/>
      <c r="OVI30" s="910"/>
      <c r="OVJ30" s="910"/>
      <c r="OVK30" s="910"/>
      <c r="OVL30" s="910"/>
      <c r="OVM30" s="911"/>
      <c r="OVN30" s="911"/>
      <c r="OVO30" s="910"/>
      <c r="OVP30" s="910"/>
      <c r="OVQ30" s="910"/>
      <c r="OVR30" s="910"/>
      <c r="OVS30" s="910"/>
      <c r="OVT30" s="910"/>
      <c r="OVU30" s="910"/>
      <c r="OVV30" s="910"/>
      <c r="OVW30" s="910"/>
      <c r="OVX30" s="911"/>
      <c r="OVY30" s="911"/>
      <c r="OVZ30" s="910"/>
      <c r="OWA30" s="910"/>
      <c r="OWB30" s="910"/>
      <c r="OWC30" s="910"/>
      <c r="OWD30" s="910"/>
      <c r="OWE30" s="910"/>
      <c r="OWF30" s="910"/>
      <c r="OWG30" s="910"/>
      <c r="OWH30" s="910"/>
      <c r="OWI30" s="911"/>
      <c r="OWJ30" s="911"/>
      <c r="OWK30" s="910"/>
      <c r="OWL30" s="910"/>
      <c r="OWM30" s="910"/>
      <c r="OWN30" s="910"/>
      <c r="OWO30" s="910"/>
      <c r="OWP30" s="910"/>
      <c r="OWQ30" s="910"/>
      <c r="OWR30" s="910"/>
      <c r="OWS30" s="910"/>
      <c r="OWT30" s="911"/>
      <c r="OWU30" s="911"/>
      <c r="OWV30" s="910"/>
      <c r="OWW30" s="910"/>
      <c r="OWX30" s="910"/>
      <c r="OWY30" s="910"/>
      <c r="OWZ30" s="910"/>
      <c r="OXA30" s="910"/>
      <c r="OXB30" s="910"/>
      <c r="OXC30" s="910"/>
      <c r="OXD30" s="910"/>
      <c r="OXE30" s="911"/>
      <c r="OXF30" s="911"/>
      <c r="OXG30" s="910"/>
      <c r="OXH30" s="910"/>
      <c r="OXI30" s="910"/>
      <c r="OXJ30" s="910"/>
      <c r="OXK30" s="910"/>
      <c r="OXL30" s="910"/>
      <c r="OXM30" s="910"/>
      <c r="OXN30" s="910"/>
      <c r="OXO30" s="910"/>
      <c r="OXP30" s="911"/>
      <c r="OXQ30" s="911"/>
      <c r="OXR30" s="910"/>
      <c r="OXS30" s="910"/>
      <c r="OXT30" s="910"/>
      <c r="OXU30" s="910"/>
      <c r="OXV30" s="910"/>
      <c r="OXW30" s="910"/>
      <c r="OXX30" s="910"/>
      <c r="OXY30" s="910"/>
      <c r="OXZ30" s="910"/>
      <c r="OYA30" s="911"/>
      <c r="OYB30" s="911"/>
      <c r="OYC30" s="910"/>
      <c r="OYD30" s="910"/>
      <c r="OYE30" s="910"/>
      <c r="OYF30" s="910"/>
      <c r="OYG30" s="910"/>
      <c r="OYH30" s="910"/>
      <c r="OYI30" s="910"/>
      <c r="OYJ30" s="910"/>
      <c r="OYK30" s="910"/>
      <c r="OYL30" s="911"/>
      <c r="OYM30" s="911"/>
      <c r="OYN30" s="910"/>
      <c r="OYO30" s="910"/>
      <c r="OYP30" s="910"/>
      <c r="OYQ30" s="910"/>
      <c r="OYR30" s="910"/>
      <c r="OYS30" s="910"/>
      <c r="OYT30" s="910"/>
      <c r="OYU30" s="910"/>
      <c r="OYV30" s="910"/>
      <c r="OYW30" s="911"/>
      <c r="OYX30" s="911"/>
      <c r="OYY30" s="910"/>
      <c r="OYZ30" s="910"/>
      <c r="OZA30" s="910"/>
      <c r="OZB30" s="910"/>
      <c r="OZC30" s="910"/>
      <c r="OZD30" s="910"/>
      <c r="OZE30" s="910"/>
      <c r="OZF30" s="910"/>
      <c r="OZG30" s="910"/>
      <c r="OZH30" s="911"/>
      <c r="OZI30" s="911"/>
      <c r="OZJ30" s="910"/>
      <c r="OZK30" s="910"/>
      <c r="OZL30" s="910"/>
      <c r="OZM30" s="910"/>
      <c r="OZN30" s="910"/>
      <c r="OZO30" s="910"/>
      <c r="OZP30" s="910"/>
      <c r="OZQ30" s="910"/>
      <c r="OZR30" s="910"/>
      <c r="OZS30" s="911"/>
      <c r="OZT30" s="911"/>
      <c r="OZU30" s="910"/>
      <c r="OZV30" s="910"/>
      <c r="OZW30" s="910"/>
      <c r="OZX30" s="910"/>
      <c r="OZY30" s="910"/>
      <c r="OZZ30" s="910"/>
      <c r="PAA30" s="910"/>
      <c r="PAB30" s="910"/>
      <c r="PAC30" s="910"/>
      <c r="PAD30" s="911"/>
      <c r="PAE30" s="911"/>
      <c r="PAF30" s="910"/>
      <c r="PAG30" s="910"/>
      <c r="PAH30" s="910"/>
      <c r="PAI30" s="910"/>
      <c r="PAJ30" s="910"/>
      <c r="PAK30" s="910"/>
      <c r="PAL30" s="910"/>
      <c r="PAM30" s="910"/>
      <c r="PAN30" s="910"/>
      <c r="PAO30" s="911"/>
      <c r="PAP30" s="911"/>
      <c r="PAQ30" s="910"/>
      <c r="PAR30" s="910"/>
      <c r="PAS30" s="910"/>
      <c r="PAT30" s="910"/>
      <c r="PAU30" s="910"/>
      <c r="PAV30" s="910"/>
      <c r="PAW30" s="910"/>
      <c r="PAX30" s="910"/>
      <c r="PAY30" s="910"/>
      <c r="PAZ30" s="911"/>
      <c r="PBA30" s="911"/>
      <c r="PBB30" s="910"/>
      <c r="PBC30" s="910"/>
      <c r="PBD30" s="910"/>
      <c r="PBE30" s="910"/>
      <c r="PBF30" s="910"/>
      <c r="PBG30" s="910"/>
      <c r="PBH30" s="910"/>
      <c r="PBI30" s="910"/>
      <c r="PBJ30" s="910"/>
      <c r="PBK30" s="911"/>
      <c r="PBL30" s="911"/>
      <c r="PBM30" s="910"/>
      <c r="PBN30" s="910"/>
      <c r="PBO30" s="910"/>
      <c r="PBP30" s="910"/>
      <c r="PBQ30" s="910"/>
      <c r="PBR30" s="910"/>
      <c r="PBS30" s="910"/>
      <c r="PBT30" s="910"/>
      <c r="PBU30" s="910"/>
      <c r="PBV30" s="911"/>
      <c r="PBW30" s="911"/>
      <c r="PBX30" s="910"/>
      <c r="PBY30" s="910"/>
      <c r="PBZ30" s="910"/>
      <c r="PCA30" s="910"/>
      <c r="PCB30" s="910"/>
      <c r="PCC30" s="910"/>
      <c r="PCD30" s="910"/>
      <c r="PCE30" s="910"/>
      <c r="PCF30" s="910"/>
      <c r="PCG30" s="911"/>
      <c r="PCH30" s="911"/>
      <c r="PCI30" s="910"/>
      <c r="PCJ30" s="910"/>
      <c r="PCK30" s="910"/>
      <c r="PCL30" s="910"/>
      <c r="PCM30" s="910"/>
      <c r="PCN30" s="910"/>
      <c r="PCO30" s="910"/>
      <c r="PCP30" s="910"/>
      <c r="PCQ30" s="910"/>
      <c r="PCR30" s="911"/>
      <c r="PCS30" s="911"/>
      <c r="PCT30" s="910"/>
      <c r="PCU30" s="910"/>
      <c r="PCV30" s="910"/>
      <c r="PCW30" s="910"/>
      <c r="PCX30" s="910"/>
      <c r="PCY30" s="910"/>
      <c r="PCZ30" s="910"/>
      <c r="PDA30" s="910"/>
      <c r="PDB30" s="910"/>
      <c r="PDC30" s="911"/>
      <c r="PDD30" s="911"/>
      <c r="PDE30" s="910"/>
      <c r="PDF30" s="910"/>
      <c r="PDG30" s="910"/>
      <c r="PDH30" s="910"/>
      <c r="PDI30" s="910"/>
      <c r="PDJ30" s="910"/>
      <c r="PDK30" s="910"/>
      <c r="PDL30" s="910"/>
      <c r="PDM30" s="910"/>
      <c r="PDN30" s="911"/>
      <c r="PDO30" s="911"/>
      <c r="PDP30" s="910"/>
      <c r="PDQ30" s="910"/>
      <c r="PDR30" s="910"/>
      <c r="PDS30" s="910"/>
      <c r="PDT30" s="910"/>
      <c r="PDU30" s="910"/>
      <c r="PDV30" s="910"/>
      <c r="PDW30" s="910"/>
      <c r="PDX30" s="910"/>
      <c r="PDY30" s="911"/>
      <c r="PDZ30" s="911"/>
      <c r="PEA30" s="910"/>
      <c r="PEB30" s="910"/>
      <c r="PEC30" s="910"/>
      <c r="PED30" s="910"/>
      <c r="PEE30" s="910"/>
      <c r="PEF30" s="910"/>
      <c r="PEG30" s="910"/>
      <c r="PEH30" s="910"/>
      <c r="PEI30" s="910"/>
      <c r="PEJ30" s="911"/>
      <c r="PEK30" s="911"/>
      <c r="PEL30" s="910"/>
      <c r="PEM30" s="910"/>
      <c r="PEN30" s="910"/>
      <c r="PEO30" s="910"/>
      <c r="PEP30" s="910"/>
      <c r="PEQ30" s="910"/>
      <c r="PER30" s="910"/>
      <c r="PES30" s="910"/>
      <c r="PET30" s="910"/>
      <c r="PEU30" s="911"/>
      <c r="PEV30" s="911"/>
      <c r="PEW30" s="910"/>
      <c r="PEX30" s="910"/>
      <c r="PEY30" s="910"/>
      <c r="PEZ30" s="910"/>
      <c r="PFA30" s="910"/>
      <c r="PFB30" s="910"/>
      <c r="PFC30" s="910"/>
      <c r="PFD30" s="910"/>
      <c r="PFE30" s="910"/>
      <c r="PFF30" s="911"/>
      <c r="PFG30" s="911"/>
      <c r="PFH30" s="910"/>
      <c r="PFI30" s="910"/>
      <c r="PFJ30" s="910"/>
      <c r="PFK30" s="910"/>
      <c r="PFL30" s="910"/>
      <c r="PFM30" s="910"/>
      <c r="PFN30" s="910"/>
      <c r="PFO30" s="910"/>
      <c r="PFP30" s="910"/>
      <c r="PFQ30" s="911"/>
      <c r="PFR30" s="911"/>
      <c r="PFS30" s="910"/>
      <c r="PFT30" s="910"/>
      <c r="PFU30" s="910"/>
      <c r="PFV30" s="910"/>
      <c r="PFW30" s="910"/>
      <c r="PFX30" s="910"/>
      <c r="PFY30" s="910"/>
      <c r="PFZ30" s="910"/>
      <c r="PGA30" s="910"/>
      <c r="PGB30" s="911"/>
      <c r="PGC30" s="911"/>
      <c r="PGD30" s="910"/>
      <c r="PGE30" s="910"/>
      <c r="PGF30" s="910"/>
      <c r="PGG30" s="910"/>
      <c r="PGH30" s="910"/>
      <c r="PGI30" s="910"/>
      <c r="PGJ30" s="910"/>
      <c r="PGK30" s="910"/>
      <c r="PGL30" s="910"/>
      <c r="PGM30" s="911"/>
      <c r="PGN30" s="911"/>
      <c r="PGO30" s="910"/>
      <c r="PGP30" s="910"/>
      <c r="PGQ30" s="910"/>
      <c r="PGR30" s="910"/>
      <c r="PGS30" s="910"/>
      <c r="PGT30" s="910"/>
      <c r="PGU30" s="910"/>
      <c r="PGV30" s="910"/>
      <c r="PGW30" s="910"/>
      <c r="PGX30" s="911"/>
      <c r="PGY30" s="911"/>
      <c r="PGZ30" s="910"/>
      <c r="PHA30" s="910"/>
      <c r="PHB30" s="910"/>
      <c r="PHC30" s="910"/>
      <c r="PHD30" s="910"/>
      <c r="PHE30" s="910"/>
      <c r="PHF30" s="910"/>
      <c r="PHG30" s="910"/>
      <c r="PHH30" s="910"/>
      <c r="PHI30" s="911"/>
      <c r="PHJ30" s="911"/>
      <c r="PHK30" s="910"/>
      <c r="PHL30" s="910"/>
      <c r="PHM30" s="910"/>
      <c r="PHN30" s="910"/>
      <c r="PHO30" s="910"/>
      <c r="PHP30" s="910"/>
      <c r="PHQ30" s="910"/>
      <c r="PHR30" s="910"/>
      <c r="PHS30" s="910"/>
      <c r="PHT30" s="911"/>
      <c r="PHU30" s="911"/>
      <c r="PHV30" s="910"/>
      <c r="PHW30" s="910"/>
      <c r="PHX30" s="910"/>
      <c r="PHY30" s="910"/>
      <c r="PHZ30" s="910"/>
      <c r="PIA30" s="910"/>
      <c r="PIB30" s="910"/>
      <c r="PIC30" s="910"/>
      <c r="PID30" s="910"/>
      <c r="PIE30" s="911"/>
      <c r="PIF30" s="911"/>
      <c r="PIG30" s="910"/>
      <c r="PIH30" s="910"/>
      <c r="PII30" s="910"/>
      <c r="PIJ30" s="910"/>
      <c r="PIK30" s="910"/>
      <c r="PIL30" s="910"/>
      <c r="PIM30" s="910"/>
      <c r="PIN30" s="910"/>
      <c r="PIO30" s="910"/>
      <c r="PIP30" s="911"/>
      <c r="PIQ30" s="911"/>
      <c r="PIR30" s="910"/>
      <c r="PIS30" s="910"/>
      <c r="PIT30" s="910"/>
      <c r="PIU30" s="910"/>
      <c r="PIV30" s="910"/>
      <c r="PIW30" s="910"/>
      <c r="PIX30" s="910"/>
      <c r="PIY30" s="910"/>
      <c r="PIZ30" s="910"/>
      <c r="PJA30" s="911"/>
      <c r="PJB30" s="911"/>
      <c r="PJC30" s="910"/>
      <c r="PJD30" s="910"/>
      <c r="PJE30" s="910"/>
      <c r="PJF30" s="910"/>
      <c r="PJG30" s="910"/>
      <c r="PJH30" s="910"/>
      <c r="PJI30" s="910"/>
      <c r="PJJ30" s="910"/>
      <c r="PJK30" s="910"/>
      <c r="PJL30" s="911"/>
      <c r="PJM30" s="911"/>
      <c r="PJN30" s="910"/>
      <c r="PJO30" s="910"/>
      <c r="PJP30" s="910"/>
      <c r="PJQ30" s="910"/>
      <c r="PJR30" s="910"/>
      <c r="PJS30" s="910"/>
      <c r="PJT30" s="910"/>
      <c r="PJU30" s="910"/>
      <c r="PJV30" s="910"/>
      <c r="PJW30" s="911"/>
      <c r="PJX30" s="911"/>
      <c r="PJY30" s="910"/>
      <c r="PJZ30" s="910"/>
      <c r="PKA30" s="910"/>
      <c r="PKB30" s="910"/>
      <c r="PKC30" s="910"/>
      <c r="PKD30" s="910"/>
      <c r="PKE30" s="910"/>
      <c r="PKF30" s="910"/>
      <c r="PKG30" s="910"/>
      <c r="PKH30" s="911"/>
      <c r="PKI30" s="911"/>
      <c r="PKJ30" s="910"/>
      <c r="PKK30" s="910"/>
      <c r="PKL30" s="910"/>
      <c r="PKM30" s="910"/>
      <c r="PKN30" s="910"/>
      <c r="PKO30" s="910"/>
      <c r="PKP30" s="910"/>
      <c r="PKQ30" s="910"/>
      <c r="PKR30" s="910"/>
      <c r="PKS30" s="911"/>
      <c r="PKT30" s="911"/>
      <c r="PKU30" s="910"/>
      <c r="PKV30" s="910"/>
      <c r="PKW30" s="910"/>
      <c r="PKX30" s="910"/>
      <c r="PKY30" s="910"/>
      <c r="PKZ30" s="910"/>
      <c r="PLA30" s="910"/>
      <c r="PLB30" s="910"/>
      <c r="PLC30" s="910"/>
      <c r="PLD30" s="911"/>
      <c r="PLE30" s="911"/>
      <c r="PLF30" s="910"/>
      <c r="PLG30" s="910"/>
      <c r="PLH30" s="910"/>
      <c r="PLI30" s="910"/>
      <c r="PLJ30" s="910"/>
      <c r="PLK30" s="910"/>
      <c r="PLL30" s="910"/>
      <c r="PLM30" s="910"/>
      <c r="PLN30" s="910"/>
      <c r="PLO30" s="911"/>
      <c r="PLP30" s="911"/>
      <c r="PLQ30" s="910"/>
      <c r="PLR30" s="910"/>
      <c r="PLS30" s="910"/>
      <c r="PLT30" s="910"/>
      <c r="PLU30" s="910"/>
      <c r="PLV30" s="910"/>
      <c r="PLW30" s="910"/>
      <c r="PLX30" s="910"/>
      <c r="PLY30" s="910"/>
      <c r="PLZ30" s="911"/>
      <c r="PMA30" s="911"/>
      <c r="PMB30" s="910"/>
      <c r="PMC30" s="910"/>
      <c r="PMD30" s="910"/>
      <c r="PME30" s="910"/>
      <c r="PMF30" s="910"/>
      <c r="PMG30" s="910"/>
      <c r="PMH30" s="910"/>
      <c r="PMI30" s="910"/>
      <c r="PMJ30" s="910"/>
      <c r="PMK30" s="911"/>
      <c r="PML30" s="911"/>
      <c r="PMM30" s="910"/>
      <c r="PMN30" s="910"/>
      <c r="PMO30" s="910"/>
      <c r="PMP30" s="910"/>
      <c r="PMQ30" s="910"/>
      <c r="PMR30" s="910"/>
      <c r="PMS30" s="910"/>
      <c r="PMT30" s="910"/>
      <c r="PMU30" s="910"/>
      <c r="PMV30" s="911"/>
      <c r="PMW30" s="911"/>
      <c r="PMX30" s="910"/>
      <c r="PMY30" s="910"/>
      <c r="PMZ30" s="910"/>
      <c r="PNA30" s="910"/>
      <c r="PNB30" s="910"/>
      <c r="PNC30" s="910"/>
      <c r="PND30" s="910"/>
      <c r="PNE30" s="910"/>
      <c r="PNF30" s="910"/>
      <c r="PNG30" s="911"/>
      <c r="PNH30" s="911"/>
      <c r="PNI30" s="910"/>
      <c r="PNJ30" s="910"/>
      <c r="PNK30" s="910"/>
      <c r="PNL30" s="910"/>
      <c r="PNM30" s="910"/>
      <c r="PNN30" s="910"/>
      <c r="PNO30" s="910"/>
      <c r="PNP30" s="910"/>
      <c r="PNQ30" s="910"/>
      <c r="PNR30" s="911"/>
      <c r="PNS30" s="911"/>
      <c r="PNT30" s="910"/>
      <c r="PNU30" s="910"/>
      <c r="PNV30" s="910"/>
      <c r="PNW30" s="910"/>
      <c r="PNX30" s="910"/>
      <c r="PNY30" s="910"/>
      <c r="PNZ30" s="910"/>
      <c r="POA30" s="910"/>
      <c r="POB30" s="910"/>
      <c r="POC30" s="911"/>
      <c r="POD30" s="911"/>
      <c r="POE30" s="910"/>
      <c r="POF30" s="910"/>
      <c r="POG30" s="910"/>
      <c r="POH30" s="910"/>
      <c r="POI30" s="910"/>
      <c r="POJ30" s="910"/>
      <c r="POK30" s="910"/>
      <c r="POL30" s="910"/>
      <c r="POM30" s="910"/>
      <c r="PON30" s="911"/>
      <c r="POO30" s="911"/>
      <c r="POP30" s="910"/>
      <c r="POQ30" s="910"/>
      <c r="POR30" s="910"/>
      <c r="POS30" s="910"/>
      <c r="POT30" s="910"/>
      <c r="POU30" s="910"/>
      <c r="POV30" s="910"/>
      <c r="POW30" s="910"/>
      <c r="POX30" s="910"/>
      <c r="POY30" s="911"/>
      <c r="POZ30" s="911"/>
      <c r="PPA30" s="910"/>
      <c r="PPB30" s="910"/>
      <c r="PPC30" s="910"/>
      <c r="PPD30" s="910"/>
      <c r="PPE30" s="910"/>
      <c r="PPF30" s="910"/>
      <c r="PPG30" s="910"/>
      <c r="PPH30" s="910"/>
      <c r="PPI30" s="910"/>
      <c r="PPJ30" s="911"/>
      <c r="PPK30" s="911"/>
      <c r="PPL30" s="910"/>
      <c r="PPM30" s="910"/>
      <c r="PPN30" s="910"/>
      <c r="PPO30" s="910"/>
      <c r="PPP30" s="910"/>
      <c r="PPQ30" s="910"/>
      <c r="PPR30" s="910"/>
      <c r="PPS30" s="910"/>
      <c r="PPT30" s="910"/>
      <c r="PPU30" s="911"/>
      <c r="PPV30" s="911"/>
      <c r="PPW30" s="910"/>
      <c r="PPX30" s="910"/>
      <c r="PPY30" s="910"/>
      <c r="PPZ30" s="910"/>
      <c r="PQA30" s="910"/>
      <c r="PQB30" s="910"/>
      <c r="PQC30" s="910"/>
      <c r="PQD30" s="910"/>
      <c r="PQE30" s="910"/>
      <c r="PQF30" s="911"/>
      <c r="PQG30" s="911"/>
      <c r="PQH30" s="910"/>
      <c r="PQI30" s="910"/>
      <c r="PQJ30" s="910"/>
      <c r="PQK30" s="910"/>
      <c r="PQL30" s="910"/>
      <c r="PQM30" s="910"/>
      <c r="PQN30" s="910"/>
      <c r="PQO30" s="910"/>
      <c r="PQP30" s="910"/>
      <c r="PQQ30" s="911"/>
      <c r="PQR30" s="911"/>
      <c r="PQS30" s="910"/>
      <c r="PQT30" s="910"/>
      <c r="PQU30" s="910"/>
      <c r="PQV30" s="910"/>
      <c r="PQW30" s="910"/>
      <c r="PQX30" s="910"/>
      <c r="PQY30" s="910"/>
      <c r="PQZ30" s="910"/>
      <c r="PRA30" s="910"/>
      <c r="PRB30" s="911"/>
      <c r="PRC30" s="911"/>
      <c r="PRD30" s="910"/>
      <c r="PRE30" s="910"/>
      <c r="PRF30" s="910"/>
      <c r="PRG30" s="910"/>
      <c r="PRH30" s="910"/>
      <c r="PRI30" s="910"/>
      <c r="PRJ30" s="910"/>
      <c r="PRK30" s="910"/>
      <c r="PRL30" s="910"/>
      <c r="PRM30" s="911"/>
      <c r="PRN30" s="911"/>
      <c r="PRO30" s="910"/>
      <c r="PRP30" s="910"/>
      <c r="PRQ30" s="910"/>
      <c r="PRR30" s="910"/>
      <c r="PRS30" s="910"/>
      <c r="PRT30" s="910"/>
      <c r="PRU30" s="910"/>
      <c r="PRV30" s="910"/>
      <c r="PRW30" s="910"/>
      <c r="PRX30" s="911"/>
      <c r="PRY30" s="911"/>
      <c r="PRZ30" s="910"/>
      <c r="PSA30" s="910"/>
      <c r="PSB30" s="910"/>
      <c r="PSC30" s="910"/>
      <c r="PSD30" s="910"/>
      <c r="PSE30" s="910"/>
      <c r="PSF30" s="910"/>
      <c r="PSG30" s="910"/>
      <c r="PSH30" s="910"/>
      <c r="PSI30" s="911"/>
      <c r="PSJ30" s="911"/>
      <c r="PSK30" s="910"/>
      <c r="PSL30" s="910"/>
      <c r="PSM30" s="910"/>
      <c r="PSN30" s="910"/>
      <c r="PSO30" s="910"/>
      <c r="PSP30" s="910"/>
      <c r="PSQ30" s="910"/>
      <c r="PSR30" s="910"/>
      <c r="PSS30" s="910"/>
      <c r="PST30" s="911"/>
      <c r="PSU30" s="911"/>
      <c r="PSV30" s="910"/>
      <c r="PSW30" s="910"/>
      <c r="PSX30" s="910"/>
      <c r="PSY30" s="910"/>
      <c r="PSZ30" s="910"/>
      <c r="PTA30" s="910"/>
      <c r="PTB30" s="910"/>
      <c r="PTC30" s="910"/>
      <c r="PTD30" s="910"/>
      <c r="PTE30" s="911"/>
      <c r="PTF30" s="911"/>
      <c r="PTG30" s="910"/>
      <c r="PTH30" s="910"/>
      <c r="PTI30" s="910"/>
      <c r="PTJ30" s="910"/>
      <c r="PTK30" s="910"/>
      <c r="PTL30" s="910"/>
      <c r="PTM30" s="910"/>
      <c r="PTN30" s="910"/>
      <c r="PTO30" s="910"/>
      <c r="PTP30" s="911"/>
      <c r="PTQ30" s="911"/>
      <c r="PTR30" s="910"/>
      <c r="PTS30" s="910"/>
      <c r="PTT30" s="910"/>
      <c r="PTU30" s="910"/>
      <c r="PTV30" s="910"/>
      <c r="PTW30" s="910"/>
      <c r="PTX30" s="910"/>
      <c r="PTY30" s="910"/>
      <c r="PTZ30" s="910"/>
      <c r="PUA30" s="911"/>
      <c r="PUB30" s="911"/>
      <c r="PUC30" s="910"/>
      <c r="PUD30" s="910"/>
      <c r="PUE30" s="910"/>
      <c r="PUF30" s="910"/>
      <c r="PUG30" s="910"/>
      <c r="PUH30" s="910"/>
      <c r="PUI30" s="910"/>
      <c r="PUJ30" s="910"/>
      <c r="PUK30" s="910"/>
      <c r="PUL30" s="911"/>
      <c r="PUM30" s="911"/>
      <c r="PUN30" s="910"/>
      <c r="PUO30" s="910"/>
      <c r="PUP30" s="910"/>
      <c r="PUQ30" s="910"/>
      <c r="PUR30" s="910"/>
      <c r="PUS30" s="910"/>
      <c r="PUT30" s="910"/>
      <c r="PUU30" s="910"/>
      <c r="PUV30" s="910"/>
      <c r="PUW30" s="911"/>
      <c r="PUX30" s="911"/>
      <c r="PUY30" s="910"/>
      <c r="PUZ30" s="910"/>
      <c r="PVA30" s="910"/>
      <c r="PVB30" s="910"/>
      <c r="PVC30" s="910"/>
      <c r="PVD30" s="910"/>
      <c r="PVE30" s="910"/>
      <c r="PVF30" s="910"/>
      <c r="PVG30" s="910"/>
      <c r="PVH30" s="911"/>
      <c r="PVI30" s="911"/>
      <c r="PVJ30" s="910"/>
      <c r="PVK30" s="910"/>
      <c r="PVL30" s="910"/>
      <c r="PVM30" s="910"/>
      <c r="PVN30" s="910"/>
      <c r="PVO30" s="910"/>
      <c r="PVP30" s="910"/>
      <c r="PVQ30" s="910"/>
      <c r="PVR30" s="910"/>
      <c r="PVS30" s="911"/>
      <c r="PVT30" s="911"/>
      <c r="PVU30" s="910"/>
      <c r="PVV30" s="910"/>
      <c r="PVW30" s="910"/>
      <c r="PVX30" s="910"/>
      <c r="PVY30" s="910"/>
      <c r="PVZ30" s="910"/>
      <c r="PWA30" s="910"/>
      <c r="PWB30" s="910"/>
      <c r="PWC30" s="910"/>
      <c r="PWD30" s="911"/>
      <c r="PWE30" s="911"/>
      <c r="PWF30" s="910"/>
      <c r="PWG30" s="910"/>
      <c r="PWH30" s="910"/>
      <c r="PWI30" s="910"/>
      <c r="PWJ30" s="910"/>
      <c r="PWK30" s="910"/>
      <c r="PWL30" s="910"/>
      <c r="PWM30" s="910"/>
      <c r="PWN30" s="910"/>
      <c r="PWO30" s="911"/>
      <c r="PWP30" s="911"/>
      <c r="PWQ30" s="910"/>
      <c r="PWR30" s="910"/>
      <c r="PWS30" s="910"/>
      <c r="PWT30" s="910"/>
      <c r="PWU30" s="910"/>
      <c r="PWV30" s="910"/>
      <c r="PWW30" s="910"/>
      <c r="PWX30" s="910"/>
      <c r="PWY30" s="910"/>
      <c r="PWZ30" s="911"/>
      <c r="PXA30" s="911"/>
      <c r="PXB30" s="910"/>
      <c r="PXC30" s="910"/>
      <c r="PXD30" s="910"/>
      <c r="PXE30" s="910"/>
      <c r="PXF30" s="910"/>
      <c r="PXG30" s="910"/>
      <c r="PXH30" s="910"/>
      <c r="PXI30" s="910"/>
      <c r="PXJ30" s="910"/>
      <c r="PXK30" s="911"/>
      <c r="PXL30" s="911"/>
      <c r="PXM30" s="910"/>
      <c r="PXN30" s="910"/>
      <c r="PXO30" s="910"/>
      <c r="PXP30" s="910"/>
      <c r="PXQ30" s="910"/>
      <c r="PXR30" s="910"/>
      <c r="PXS30" s="910"/>
      <c r="PXT30" s="910"/>
      <c r="PXU30" s="910"/>
      <c r="PXV30" s="911"/>
      <c r="PXW30" s="911"/>
      <c r="PXX30" s="910"/>
      <c r="PXY30" s="910"/>
      <c r="PXZ30" s="910"/>
      <c r="PYA30" s="910"/>
      <c r="PYB30" s="910"/>
      <c r="PYC30" s="910"/>
      <c r="PYD30" s="910"/>
      <c r="PYE30" s="910"/>
      <c r="PYF30" s="910"/>
      <c r="PYG30" s="911"/>
      <c r="PYH30" s="911"/>
      <c r="PYI30" s="910"/>
      <c r="PYJ30" s="910"/>
      <c r="PYK30" s="910"/>
      <c r="PYL30" s="910"/>
      <c r="PYM30" s="910"/>
      <c r="PYN30" s="910"/>
      <c r="PYO30" s="910"/>
      <c r="PYP30" s="910"/>
      <c r="PYQ30" s="910"/>
      <c r="PYR30" s="911"/>
      <c r="PYS30" s="911"/>
      <c r="PYT30" s="910"/>
      <c r="PYU30" s="910"/>
      <c r="PYV30" s="910"/>
      <c r="PYW30" s="910"/>
      <c r="PYX30" s="910"/>
      <c r="PYY30" s="910"/>
      <c r="PYZ30" s="910"/>
      <c r="PZA30" s="910"/>
      <c r="PZB30" s="910"/>
      <c r="PZC30" s="911"/>
      <c r="PZD30" s="911"/>
      <c r="PZE30" s="910"/>
      <c r="PZF30" s="910"/>
      <c r="PZG30" s="910"/>
      <c r="PZH30" s="910"/>
      <c r="PZI30" s="910"/>
      <c r="PZJ30" s="910"/>
      <c r="PZK30" s="910"/>
      <c r="PZL30" s="910"/>
      <c r="PZM30" s="910"/>
      <c r="PZN30" s="911"/>
      <c r="PZO30" s="911"/>
      <c r="PZP30" s="910"/>
      <c r="PZQ30" s="910"/>
      <c r="PZR30" s="910"/>
      <c r="PZS30" s="910"/>
      <c r="PZT30" s="910"/>
      <c r="PZU30" s="910"/>
      <c r="PZV30" s="910"/>
      <c r="PZW30" s="910"/>
      <c r="PZX30" s="910"/>
      <c r="PZY30" s="911"/>
      <c r="PZZ30" s="911"/>
      <c r="QAA30" s="910"/>
      <c r="QAB30" s="910"/>
      <c r="QAC30" s="910"/>
      <c r="QAD30" s="910"/>
      <c r="QAE30" s="910"/>
      <c r="QAF30" s="910"/>
      <c r="QAG30" s="910"/>
      <c r="QAH30" s="910"/>
      <c r="QAI30" s="910"/>
      <c r="QAJ30" s="911"/>
      <c r="QAK30" s="911"/>
      <c r="QAL30" s="910"/>
      <c r="QAM30" s="910"/>
      <c r="QAN30" s="910"/>
      <c r="QAO30" s="910"/>
      <c r="QAP30" s="910"/>
      <c r="QAQ30" s="910"/>
      <c r="QAR30" s="910"/>
      <c r="QAS30" s="910"/>
      <c r="QAT30" s="910"/>
      <c r="QAU30" s="911"/>
      <c r="QAV30" s="911"/>
      <c r="QAW30" s="910"/>
      <c r="QAX30" s="910"/>
      <c r="QAY30" s="910"/>
      <c r="QAZ30" s="910"/>
      <c r="QBA30" s="910"/>
      <c r="QBB30" s="910"/>
      <c r="QBC30" s="910"/>
      <c r="QBD30" s="910"/>
      <c r="QBE30" s="910"/>
      <c r="QBF30" s="911"/>
      <c r="QBG30" s="911"/>
      <c r="QBH30" s="910"/>
      <c r="QBI30" s="910"/>
      <c r="QBJ30" s="910"/>
      <c r="QBK30" s="910"/>
      <c r="QBL30" s="910"/>
      <c r="QBM30" s="910"/>
      <c r="QBN30" s="910"/>
      <c r="QBO30" s="910"/>
      <c r="QBP30" s="910"/>
      <c r="QBQ30" s="911"/>
      <c r="QBR30" s="911"/>
      <c r="QBS30" s="910"/>
      <c r="QBT30" s="910"/>
      <c r="QBU30" s="910"/>
      <c r="QBV30" s="910"/>
      <c r="QBW30" s="910"/>
      <c r="QBX30" s="910"/>
      <c r="QBY30" s="910"/>
      <c r="QBZ30" s="910"/>
      <c r="QCA30" s="910"/>
      <c r="QCB30" s="911"/>
      <c r="QCC30" s="911"/>
      <c r="QCD30" s="910"/>
      <c r="QCE30" s="910"/>
      <c r="QCF30" s="910"/>
      <c r="QCG30" s="910"/>
      <c r="QCH30" s="910"/>
      <c r="QCI30" s="910"/>
      <c r="QCJ30" s="910"/>
      <c r="QCK30" s="910"/>
      <c r="QCL30" s="910"/>
      <c r="QCM30" s="911"/>
      <c r="QCN30" s="911"/>
      <c r="QCO30" s="910"/>
      <c r="QCP30" s="910"/>
      <c r="QCQ30" s="910"/>
      <c r="QCR30" s="910"/>
      <c r="QCS30" s="910"/>
      <c r="QCT30" s="910"/>
      <c r="QCU30" s="910"/>
      <c r="QCV30" s="910"/>
      <c r="QCW30" s="910"/>
      <c r="QCX30" s="911"/>
      <c r="QCY30" s="911"/>
      <c r="QCZ30" s="910"/>
      <c r="QDA30" s="910"/>
      <c r="QDB30" s="910"/>
      <c r="QDC30" s="910"/>
      <c r="QDD30" s="910"/>
      <c r="QDE30" s="910"/>
      <c r="QDF30" s="910"/>
      <c r="QDG30" s="910"/>
      <c r="QDH30" s="910"/>
      <c r="QDI30" s="911"/>
      <c r="QDJ30" s="911"/>
      <c r="QDK30" s="910"/>
      <c r="QDL30" s="910"/>
      <c r="QDM30" s="910"/>
      <c r="QDN30" s="910"/>
      <c r="QDO30" s="910"/>
      <c r="QDP30" s="910"/>
      <c r="QDQ30" s="910"/>
      <c r="QDR30" s="910"/>
      <c r="QDS30" s="910"/>
      <c r="QDT30" s="911"/>
      <c r="QDU30" s="911"/>
      <c r="QDV30" s="910"/>
      <c r="QDW30" s="910"/>
      <c r="QDX30" s="910"/>
      <c r="QDY30" s="910"/>
      <c r="QDZ30" s="910"/>
      <c r="QEA30" s="910"/>
      <c r="QEB30" s="910"/>
      <c r="QEC30" s="910"/>
      <c r="QED30" s="910"/>
      <c r="QEE30" s="911"/>
      <c r="QEF30" s="911"/>
      <c r="QEG30" s="910"/>
      <c r="QEH30" s="910"/>
      <c r="QEI30" s="910"/>
      <c r="QEJ30" s="910"/>
      <c r="QEK30" s="910"/>
      <c r="QEL30" s="910"/>
      <c r="QEM30" s="910"/>
      <c r="QEN30" s="910"/>
      <c r="QEO30" s="910"/>
      <c r="QEP30" s="911"/>
      <c r="QEQ30" s="911"/>
      <c r="QER30" s="910"/>
      <c r="QES30" s="910"/>
      <c r="QET30" s="910"/>
      <c r="QEU30" s="910"/>
      <c r="QEV30" s="910"/>
      <c r="QEW30" s="910"/>
      <c r="QEX30" s="910"/>
      <c r="QEY30" s="910"/>
      <c r="QEZ30" s="910"/>
      <c r="QFA30" s="911"/>
      <c r="QFB30" s="911"/>
      <c r="QFC30" s="910"/>
      <c r="QFD30" s="910"/>
      <c r="QFE30" s="910"/>
      <c r="QFF30" s="910"/>
      <c r="QFG30" s="910"/>
      <c r="QFH30" s="910"/>
      <c r="QFI30" s="910"/>
      <c r="QFJ30" s="910"/>
      <c r="QFK30" s="910"/>
      <c r="QFL30" s="911"/>
      <c r="QFM30" s="911"/>
      <c r="QFN30" s="910"/>
      <c r="QFO30" s="910"/>
      <c r="QFP30" s="910"/>
      <c r="QFQ30" s="910"/>
      <c r="QFR30" s="910"/>
      <c r="QFS30" s="910"/>
      <c r="QFT30" s="910"/>
      <c r="QFU30" s="910"/>
      <c r="QFV30" s="910"/>
      <c r="QFW30" s="911"/>
      <c r="QFX30" s="911"/>
      <c r="QFY30" s="910"/>
      <c r="QFZ30" s="910"/>
      <c r="QGA30" s="910"/>
      <c r="QGB30" s="910"/>
      <c r="QGC30" s="910"/>
      <c r="QGD30" s="910"/>
      <c r="QGE30" s="910"/>
      <c r="QGF30" s="910"/>
      <c r="QGG30" s="910"/>
      <c r="QGH30" s="911"/>
      <c r="QGI30" s="911"/>
      <c r="QGJ30" s="910"/>
      <c r="QGK30" s="910"/>
      <c r="QGL30" s="910"/>
      <c r="QGM30" s="910"/>
      <c r="QGN30" s="910"/>
      <c r="QGO30" s="910"/>
      <c r="QGP30" s="910"/>
      <c r="QGQ30" s="910"/>
      <c r="QGR30" s="910"/>
      <c r="QGS30" s="911"/>
      <c r="QGT30" s="911"/>
      <c r="QGU30" s="910"/>
      <c r="QGV30" s="910"/>
      <c r="QGW30" s="910"/>
      <c r="QGX30" s="910"/>
      <c r="QGY30" s="910"/>
      <c r="QGZ30" s="910"/>
      <c r="QHA30" s="910"/>
      <c r="QHB30" s="910"/>
      <c r="QHC30" s="910"/>
      <c r="QHD30" s="911"/>
      <c r="QHE30" s="911"/>
      <c r="QHF30" s="910"/>
      <c r="QHG30" s="910"/>
      <c r="QHH30" s="910"/>
      <c r="QHI30" s="910"/>
      <c r="QHJ30" s="910"/>
      <c r="QHK30" s="910"/>
      <c r="QHL30" s="910"/>
      <c r="QHM30" s="910"/>
      <c r="QHN30" s="910"/>
      <c r="QHO30" s="911"/>
      <c r="QHP30" s="911"/>
      <c r="QHQ30" s="910"/>
      <c r="QHR30" s="910"/>
      <c r="QHS30" s="910"/>
      <c r="QHT30" s="910"/>
      <c r="QHU30" s="910"/>
      <c r="QHV30" s="910"/>
      <c r="QHW30" s="910"/>
      <c r="QHX30" s="910"/>
      <c r="QHY30" s="910"/>
      <c r="QHZ30" s="911"/>
      <c r="QIA30" s="911"/>
      <c r="QIB30" s="910"/>
      <c r="QIC30" s="910"/>
      <c r="QID30" s="910"/>
      <c r="QIE30" s="910"/>
      <c r="QIF30" s="910"/>
      <c r="QIG30" s="910"/>
      <c r="QIH30" s="910"/>
      <c r="QII30" s="910"/>
      <c r="QIJ30" s="910"/>
      <c r="QIK30" s="911"/>
      <c r="QIL30" s="911"/>
      <c r="QIM30" s="910"/>
      <c r="QIN30" s="910"/>
      <c r="QIO30" s="910"/>
      <c r="QIP30" s="910"/>
      <c r="QIQ30" s="910"/>
      <c r="QIR30" s="910"/>
      <c r="QIS30" s="910"/>
      <c r="QIT30" s="910"/>
      <c r="QIU30" s="910"/>
      <c r="QIV30" s="911"/>
      <c r="QIW30" s="911"/>
      <c r="QIX30" s="910"/>
      <c r="QIY30" s="910"/>
      <c r="QIZ30" s="910"/>
      <c r="QJA30" s="910"/>
      <c r="QJB30" s="910"/>
      <c r="QJC30" s="910"/>
      <c r="QJD30" s="910"/>
      <c r="QJE30" s="910"/>
      <c r="QJF30" s="910"/>
      <c r="QJG30" s="911"/>
      <c r="QJH30" s="911"/>
      <c r="QJI30" s="910"/>
      <c r="QJJ30" s="910"/>
      <c r="QJK30" s="910"/>
      <c r="QJL30" s="910"/>
      <c r="QJM30" s="910"/>
      <c r="QJN30" s="910"/>
      <c r="QJO30" s="910"/>
      <c r="QJP30" s="910"/>
      <c r="QJQ30" s="910"/>
      <c r="QJR30" s="911"/>
      <c r="QJS30" s="911"/>
      <c r="QJT30" s="910"/>
      <c r="QJU30" s="910"/>
      <c r="QJV30" s="910"/>
      <c r="QJW30" s="910"/>
      <c r="QJX30" s="910"/>
      <c r="QJY30" s="910"/>
      <c r="QJZ30" s="910"/>
      <c r="QKA30" s="910"/>
      <c r="QKB30" s="910"/>
      <c r="QKC30" s="911"/>
      <c r="QKD30" s="911"/>
      <c r="QKE30" s="910"/>
      <c r="QKF30" s="910"/>
      <c r="QKG30" s="910"/>
      <c r="QKH30" s="910"/>
      <c r="QKI30" s="910"/>
      <c r="QKJ30" s="910"/>
      <c r="QKK30" s="910"/>
      <c r="QKL30" s="910"/>
      <c r="QKM30" s="910"/>
      <c r="QKN30" s="911"/>
      <c r="QKO30" s="911"/>
      <c r="QKP30" s="910"/>
      <c r="QKQ30" s="910"/>
      <c r="QKR30" s="910"/>
      <c r="QKS30" s="910"/>
      <c r="QKT30" s="910"/>
      <c r="QKU30" s="910"/>
      <c r="QKV30" s="910"/>
      <c r="QKW30" s="910"/>
      <c r="QKX30" s="910"/>
      <c r="QKY30" s="911"/>
      <c r="QKZ30" s="911"/>
      <c r="QLA30" s="910"/>
      <c r="QLB30" s="910"/>
      <c r="QLC30" s="910"/>
      <c r="QLD30" s="910"/>
      <c r="QLE30" s="910"/>
      <c r="QLF30" s="910"/>
      <c r="QLG30" s="910"/>
      <c r="QLH30" s="910"/>
      <c r="QLI30" s="910"/>
      <c r="QLJ30" s="911"/>
      <c r="QLK30" s="911"/>
      <c r="QLL30" s="910"/>
      <c r="QLM30" s="910"/>
      <c r="QLN30" s="910"/>
      <c r="QLO30" s="910"/>
      <c r="QLP30" s="910"/>
      <c r="QLQ30" s="910"/>
      <c r="QLR30" s="910"/>
      <c r="QLS30" s="910"/>
      <c r="QLT30" s="910"/>
      <c r="QLU30" s="911"/>
      <c r="QLV30" s="911"/>
      <c r="QLW30" s="910"/>
      <c r="QLX30" s="910"/>
      <c r="QLY30" s="910"/>
      <c r="QLZ30" s="910"/>
      <c r="QMA30" s="910"/>
      <c r="QMB30" s="910"/>
      <c r="QMC30" s="910"/>
      <c r="QMD30" s="910"/>
      <c r="QME30" s="910"/>
      <c r="QMF30" s="911"/>
      <c r="QMG30" s="911"/>
      <c r="QMH30" s="910"/>
      <c r="QMI30" s="910"/>
      <c r="QMJ30" s="910"/>
      <c r="QMK30" s="910"/>
      <c r="QML30" s="910"/>
      <c r="QMM30" s="910"/>
      <c r="QMN30" s="910"/>
      <c r="QMO30" s="910"/>
      <c r="QMP30" s="910"/>
      <c r="QMQ30" s="911"/>
      <c r="QMR30" s="911"/>
      <c r="QMS30" s="910"/>
      <c r="QMT30" s="910"/>
      <c r="QMU30" s="910"/>
      <c r="QMV30" s="910"/>
      <c r="QMW30" s="910"/>
      <c r="QMX30" s="910"/>
      <c r="QMY30" s="910"/>
      <c r="QMZ30" s="910"/>
      <c r="QNA30" s="910"/>
      <c r="QNB30" s="911"/>
      <c r="QNC30" s="911"/>
      <c r="QND30" s="910"/>
      <c r="QNE30" s="910"/>
      <c r="QNF30" s="910"/>
      <c r="QNG30" s="910"/>
      <c r="QNH30" s="910"/>
      <c r="QNI30" s="910"/>
      <c r="QNJ30" s="910"/>
      <c r="QNK30" s="910"/>
      <c r="QNL30" s="910"/>
      <c r="QNM30" s="911"/>
      <c r="QNN30" s="911"/>
      <c r="QNO30" s="910"/>
      <c r="QNP30" s="910"/>
      <c r="QNQ30" s="910"/>
      <c r="QNR30" s="910"/>
      <c r="QNS30" s="910"/>
      <c r="QNT30" s="910"/>
      <c r="QNU30" s="910"/>
      <c r="QNV30" s="910"/>
      <c r="QNW30" s="910"/>
      <c r="QNX30" s="911"/>
      <c r="QNY30" s="911"/>
      <c r="QNZ30" s="910"/>
      <c r="QOA30" s="910"/>
      <c r="QOB30" s="910"/>
      <c r="QOC30" s="910"/>
      <c r="QOD30" s="910"/>
      <c r="QOE30" s="910"/>
      <c r="QOF30" s="910"/>
      <c r="QOG30" s="910"/>
      <c r="QOH30" s="910"/>
      <c r="QOI30" s="911"/>
      <c r="QOJ30" s="911"/>
      <c r="QOK30" s="910"/>
      <c r="QOL30" s="910"/>
      <c r="QOM30" s="910"/>
      <c r="QON30" s="910"/>
      <c r="QOO30" s="910"/>
      <c r="QOP30" s="910"/>
      <c r="QOQ30" s="910"/>
      <c r="QOR30" s="910"/>
      <c r="QOS30" s="910"/>
      <c r="QOT30" s="911"/>
      <c r="QOU30" s="911"/>
      <c r="QOV30" s="910"/>
      <c r="QOW30" s="910"/>
      <c r="QOX30" s="910"/>
      <c r="QOY30" s="910"/>
      <c r="QOZ30" s="910"/>
      <c r="QPA30" s="910"/>
      <c r="QPB30" s="910"/>
      <c r="QPC30" s="910"/>
      <c r="QPD30" s="910"/>
      <c r="QPE30" s="911"/>
      <c r="QPF30" s="911"/>
      <c r="QPG30" s="910"/>
      <c r="QPH30" s="910"/>
      <c r="QPI30" s="910"/>
      <c r="QPJ30" s="910"/>
      <c r="QPK30" s="910"/>
      <c r="QPL30" s="910"/>
      <c r="QPM30" s="910"/>
      <c r="QPN30" s="910"/>
      <c r="QPO30" s="910"/>
      <c r="QPP30" s="911"/>
      <c r="QPQ30" s="911"/>
      <c r="QPR30" s="910"/>
      <c r="QPS30" s="910"/>
      <c r="QPT30" s="910"/>
      <c r="QPU30" s="910"/>
      <c r="QPV30" s="910"/>
      <c r="QPW30" s="910"/>
      <c r="QPX30" s="910"/>
      <c r="QPY30" s="910"/>
      <c r="QPZ30" s="910"/>
      <c r="QQA30" s="911"/>
      <c r="QQB30" s="911"/>
      <c r="QQC30" s="910"/>
      <c r="QQD30" s="910"/>
      <c r="QQE30" s="910"/>
      <c r="QQF30" s="910"/>
      <c r="QQG30" s="910"/>
      <c r="QQH30" s="910"/>
      <c r="QQI30" s="910"/>
      <c r="QQJ30" s="910"/>
      <c r="QQK30" s="910"/>
      <c r="QQL30" s="911"/>
      <c r="QQM30" s="911"/>
      <c r="QQN30" s="910"/>
      <c r="QQO30" s="910"/>
      <c r="QQP30" s="910"/>
      <c r="QQQ30" s="910"/>
      <c r="QQR30" s="910"/>
      <c r="QQS30" s="910"/>
      <c r="QQT30" s="910"/>
      <c r="QQU30" s="910"/>
      <c r="QQV30" s="910"/>
      <c r="QQW30" s="911"/>
      <c r="QQX30" s="911"/>
      <c r="QQY30" s="910"/>
      <c r="QQZ30" s="910"/>
      <c r="QRA30" s="910"/>
      <c r="QRB30" s="910"/>
      <c r="QRC30" s="910"/>
      <c r="QRD30" s="910"/>
      <c r="QRE30" s="910"/>
      <c r="QRF30" s="910"/>
      <c r="QRG30" s="910"/>
      <c r="QRH30" s="911"/>
      <c r="QRI30" s="911"/>
      <c r="QRJ30" s="910"/>
      <c r="QRK30" s="910"/>
      <c r="QRL30" s="910"/>
      <c r="QRM30" s="910"/>
      <c r="QRN30" s="910"/>
      <c r="QRO30" s="910"/>
      <c r="QRP30" s="910"/>
      <c r="QRQ30" s="910"/>
      <c r="QRR30" s="910"/>
      <c r="QRS30" s="911"/>
      <c r="QRT30" s="911"/>
      <c r="QRU30" s="910"/>
      <c r="QRV30" s="910"/>
      <c r="QRW30" s="910"/>
      <c r="QRX30" s="910"/>
      <c r="QRY30" s="910"/>
      <c r="QRZ30" s="910"/>
      <c r="QSA30" s="910"/>
      <c r="QSB30" s="910"/>
      <c r="QSC30" s="910"/>
      <c r="QSD30" s="911"/>
      <c r="QSE30" s="911"/>
      <c r="QSF30" s="910"/>
      <c r="QSG30" s="910"/>
      <c r="QSH30" s="910"/>
      <c r="QSI30" s="910"/>
      <c r="QSJ30" s="910"/>
      <c r="QSK30" s="910"/>
      <c r="QSL30" s="910"/>
      <c r="QSM30" s="910"/>
      <c r="QSN30" s="910"/>
      <c r="QSO30" s="911"/>
      <c r="QSP30" s="911"/>
      <c r="QSQ30" s="910"/>
      <c r="QSR30" s="910"/>
      <c r="QSS30" s="910"/>
      <c r="QST30" s="910"/>
      <c r="QSU30" s="910"/>
      <c r="QSV30" s="910"/>
      <c r="QSW30" s="910"/>
      <c r="QSX30" s="910"/>
      <c r="QSY30" s="910"/>
      <c r="QSZ30" s="911"/>
      <c r="QTA30" s="911"/>
      <c r="QTB30" s="910"/>
      <c r="QTC30" s="910"/>
      <c r="QTD30" s="910"/>
      <c r="QTE30" s="910"/>
      <c r="QTF30" s="910"/>
      <c r="QTG30" s="910"/>
      <c r="QTH30" s="910"/>
      <c r="QTI30" s="910"/>
      <c r="QTJ30" s="910"/>
      <c r="QTK30" s="911"/>
      <c r="QTL30" s="911"/>
      <c r="QTM30" s="910"/>
      <c r="QTN30" s="910"/>
      <c r="QTO30" s="910"/>
      <c r="QTP30" s="910"/>
      <c r="QTQ30" s="910"/>
      <c r="QTR30" s="910"/>
      <c r="QTS30" s="910"/>
      <c r="QTT30" s="910"/>
      <c r="QTU30" s="910"/>
      <c r="QTV30" s="911"/>
      <c r="QTW30" s="911"/>
      <c r="QTX30" s="910"/>
      <c r="QTY30" s="910"/>
      <c r="QTZ30" s="910"/>
      <c r="QUA30" s="910"/>
      <c r="QUB30" s="910"/>
      <c r="QUC30" s="910"/>
      <c r="QUD30" s="910"/>
      <c r="QUE30" s="910"/>
      <c r="QUF30" s="910"/>
      <c r="QUG30" s="911"/>
      <c r="QUH30" s="911"/>
      <c r="QUI30" s="910"/>
      <c r="QUJ30" s="910"/>
      <c r="QUK30" s="910"/>
      <c r="QUL30" s="910"/>
      <c r="QUM30" s="910"/>
      <c r="QUN30" s="910"/>
      <c r="QUO30" s="910"/>
      <c r="QUP30" s="910"/>
      <c r="QUQ30" s="910"/>
      <c r="QUR30" s="911"/>
      <c r="QUS30" s="911"/>
      <c r="QUT30" s="910"/>
      <c r="QUU30" s="910"/>
      <c r="QUV30" s="910"/>
      <c r="QUW30" s="910"/>
      <c r="QUX30" s="910"/>
      <c r="QUY30" s="910"/>
      <c r="QUZ30" s="910"/>
      <c r="QVA30" s="910"/>
      <c r="QVB30" s="910"/>
      <c r="QVC30" s="911"/>
      <c r="QVD30" s="911"/>
      <c r="QVE30" s="910"/>
      <c r="QVF30" s="910"/>
      <c r="QVG30" s="910"/>
      <c r="QVH30" s="910"/>
      <c r="QVI30" s="910"/>
      <c r="QVJ30" s="910"/>
      <c r="QVK30" s="910"/>
      <c r="QVL30" s="910"/>
      <c r="QVM30" s="910"/>
      <c r="QVN30" s="911"/>
      <c r="QVO30" s="911"/>
      <c r="QVP30" s="910"/>
      <c r="QVQ30" s="910"/>
      <c r="QVR30" s="910"/>
      <c r="QVS30" s="910"/>
      <c r="QVT30" s="910"/>
      <c r="QVU30" s="910"/>
      <c r="QVV30" s="910"/>
      <c r="QVW30" s="910"/>
      <c r="QVX30" s="910"/>
      <c r="QVY30" s="911"/>
      <c r="QVZ30" s="911"/>
      <c r="QWA30" s="910"/>
      <c r="QWB30" s="910"/>
      <c r="QWC30" s="910"/>
      <c r="QWD30" s="910"/>
      <c r="QWE30" s="910"/>
      <c r="QWF30" s="910"/>
      <c r="QWG30" s="910"/>
      <c r="QWH30" s="910"/>
      <c r="QWI30" s="910"/>
      <c r="QWJ30" s="911"/>
      <c r="QWK30" s="911"/>
      <c r="QWL30" s="910"/>
      <c r="QWM30" s="910"/>
      <c r="QWN30" s="910"/>
      <c r="QWO30" s="910"/>
      <c r="QWP30" s="910"/>
      <c r="QWQ30" s="910"/>
      <c r="QWR30" s="910"/>
      <c r="QWS30" s="910"/>
      <c r="QWT30" s="910"/>
      <c r="QWU30" s="911"/>
      <c r="QWV30" s="911"/>
      <c r="QWW30" s="910"/>
      <c r="QWX30" s="910"/>
      <c r="QWY30" s="910"/>
      <c r="QWZ30" s="910"/>
      <c r="QXA30" s="910"/>
      <c r="QXB30" s="910"/>
      <c r="QXC30" s="910"/>
      <c r="QXD30" s="910"/>
      <c r="QXE30" s="910"/>
      <c r="QXF30" s="911"/>
      <c r="QXG30" s="911"/>
      <c r="QXH30" s="910"/>
      <c r="QXI30" s="910"/>
      <c r="QXJ30" s="910"/>
      <c r="QXK30" s="910"/>
      <c r="QXL30" s="910"/>
      <c r="QXM30" s="910"/>
      <c r="QXN30" s="910"/>
      <c r="QXO30" s="910"/>
      <c r="QXP30" s="910"/>
      <c r="QXQ30" s="911"/>
      <c r="QXR30" s="911"/>
      <c r="QXS30" s="910"/>
      <c r="QXT30" s="910"/>
      <c r="QXU30" s="910"/>
      <c r="QXV30" s="910"/>
      <c r="QXW30" s="910"/>
      <c r="QXX30" s="910"/>
      <c r="QXY30" s="910"/>
      <c r="QXZ30" s="910"/>
      <c r="QYA30" s="910"/>
      <c r="QYB30" s="911"/>
      <c r="QYC30" s="911"/>
      <c r="QYD30" s="910"/>
      <c r="QYE30" s="910"/>
      <c r="QYF30" s="910"/>
      <c r="QYG30" s="910"/>
      <c r="QYH30" s="910"/>
      <c r="QYI30" s="910"/>
      <c r="QYJ30" s="910"/>
      <c r="QYK30" s="910"/>
      <c r="QYL30" s="910"/>
      <c r="QYM30" s="911"/>
      <c r="QYN30" s="911"/>
      <c r="QYO30" s="910"/>
      <c r="QYP30" s="910"/>
      <c r="QYQ30" s="910"/>
      <c r="QYR30" s="910"/>
      <c r="QYS30" s="910"/>
      <c r="QYT30" s="910"/>
      <c r="QYU30" s="910"/>
      <c r="QYV30" s="910"/>
      <c r="QYW30" s="910"/>
      <c r="QYX30" s="911"/>
      <c r="QYY30" s="911"/>
      <c r="QYZ30" s="910"/>
      <c r="QZA30" s="910"/>
      <c r="QZB30" s="910"/>
      <c r="QZC30" s="910"/>
      <c r="QZD30" s="910"/>
      <c r="QZE30" s="910"/>
      <c r="QZF30" s="910"/>
      <c r="QZG30" s="910"/>
      <c r="QZH30" s="910"/>
      <c r="QZI30" s="911"/>
      <c r="QZJ30" s="911"/>
      <c r="QZK30" s="910"/>
      <c r="QZL30" s="910"/>
      <c r="QZM30" s="910"/>
      <c r="QZN30" s="910"/>
      <c r="QZO30" s="910"/>
      <c r="QZP30" s="910"/>
      <c r="QZQ30" s="910"/>
      <c r="QZR30" s="910"/>
      <c r="QZS30" s="910"/>
      <c r="QZT30" s="911"/>
      <c r="QZU30" s="911"/>
      <c r="QZV30" s="910"/>
      <c r="QZW30" s="910"/>
      <c r="QZX30" s="910"/>
      <c r="QZY30" s="910"/>
      <c r="QZZ30" s="910"/>
      <c r="RAA30" s="910"/>
      <c r="RAB30" s="910"/>
      <c r="RAC30" s="910"/>
      <c r="RAD30" s="910"/>
      <c r="RAE30" s="911"/>
      <c r="RAF30" s="911"/>
      <c r="RAG30" s="910"/>
      <c r="RAH30" s="910"/>
      <c r="RAI30" s="910"/>
      <c r="RAJ30" s="910"/>
      <c r="RAK30" s="910"/>
      <c r="RAL30" s="910"/>
      <c r="RAM30" s="910"/>
      <c r="RAN30" s="910"/>
      <c r="RAO30" s="910"/>
      <c r="RAP30" s="911"/>
      <c r="RAQ30" s="911"/>
      <c r="RAR30" s="910"/>
      <c r="RAS30" s="910"/>
      <c r="RAT30" s="910"/>
      <c r="RAU30" s="910"/>
      <c r="RAV30" s="910"/>
      <c r="RAW30" s="910"/>
      <c r="RAX30" s="910"/>
      <c r="RAY30" s="910"/>
      <c r="RAZ30" s="910"/>
      <c r="RBA30" s="911"/>
      <c r="RBB30" s="911"/>
      <c r="RBC30" s="910"/>
      <c r="RBD30" s="910"/>
      <c r="RBE30" s="910"/>
      <c r="RBF30" s="910"/>
      <c r="RBG30" s="910"/>
      <c r="RBH30" s="910"/>
      <c r="RBI30" s="910"/>
      <c r="RBJ30" s="910"/>
      <c r="RBK30" s="910"/>
      <c r="RBL30" s="911"/>
      <c r="RBM30" s="911"/>
      <c r="RBN30" s="910"/>
      <c r="RBO30" s="910"/>
      <c r="RBP30" s="910"/>
      <c r="RBQ30" s="910"/>
      <c r="RBR30" s="910"/>
      <c r="RBS30" s="910"/>
      <c r="RBT30" s="910"/>
      <c r="RBU30" s="910"/>
      <c r="RBV30" s="910"/>
      <c r="RBW30" s="911"/>
      <c r="RBX30" s="911"/>
      <c r="RBY30" s="910"/>
      <c r="RBZ30" s="910"/>
      <c r="RCA30" s="910"/>
      <c r="RCB30" s="910"/>
      <c r="RCC30" s="910"/>
      <c r="RCD30" s="910"/>
      <c r="RCE30" s="910"/>
      <c r="RCF30" s="910"/>
      <c r="RCG30" s="910"/>
      <c r="RCH30" s="911"/>
      <c r="RCI30" s="911"/>
      <c r="RCJ30" s="910"/>
      <c r="RCK30" s="910"/>
      <c r="RCL30" s="910"/>
      <c r="RCM30" s="910"/>
      <c r="RCN30" s="910"/>
      <c r="RCO30" s="910"/>
      <c r="RCP30" s="910"/>
      <c r="RCQ30" s="910"/>
      <c r="RCR30" s="910"/>
      <c r="RCS30" s="911"/>
      <c r="RCT30" s="911"/>
      <c r="RCU30" s="910"/>
      <c r="RCV30" s="910"/>
      <c r="RCW30" s="910"/>
      <c r="RCX30" s="910"/>
      <c r="RCY30" s="910"/>
      <c r="RCZ30" s="910"/>
      <c r="RDA30" s="910"/>
      <c r="RDB30" s="910"/>
      <c r="RDC30" s="910"/>
      <c r="RDD30" s="911"/>
      <c r="RDE30" s="911"/>
      <c r="RDF30" s="910"/>
      <c r="RDG30" s="910"/>
      <c r="RDH30" s="910"/>
      <c r="RDI30" s="910"/>
      <c r="RDJ30" s="910"/>
      <c r="RDK30" s="910"/>
      <c r="RDL30" s="910"/>
      <c r="RDM30" s="910"/>
      <c r="RDN30" s="910"/>
      <c r="RDO30" s="911"/>
      <c r="RDP30" s="911"/>
      <c r="RDQ30" s="910"/>
      <c r="RDR30" s="910"/>
      <c r="RDS30" s="910"/>
      <c r="RDT30" s="910"/>
      <c r="RDU30" s="910"/>
      <c r="RDV30" s="910"/>
      <c r="RDW30" s="910"/>
      <c r="RDX30" s="910"/>
      <c r="RDY30" s="910"/>
      <c r="RDZ30" s="911"/>
      <c r="REA30" s="911"/>
      <c r="REB30" s="910"/>
      <c r="REC30" s="910"/>
      <c r="RED30" s="910"/>
      <c r="REE30" s="910"/>
      <c r="REF30" s="910"/>
      <c r="REG30" s="910"/>
      <c r="REH30" s="910"/>
      <c r="REI30" s="910"/>
      <c r="REJ30" s="910"/>
      <c r="REK30" s="911"/>
      <c r="REL30" s="911"/>
      <c r="REM30" s="910"/>
      <c r="REN30" s="910"/>
      <c r="REO30" s="910"/>
      <c r="REP30" s="910"/>
      <c r="REQ30" s="910"/>
      <c r="RER30" s="910"/>
      <c r="RES30" s="910"/>
      <c r="RET30" s="910"/>
      <c r="REU30" s="910"/>
      <c r="REV30" s="911"/>
      <c r="REW30" s="911"/>
      <c r="REX30" s="910"/>
      <c r="REY30" s="910"/>
      <c r="REZ30" s="910"/>
      <c r="RFA30" s="910"/>
      <c r="RFB30" s="910"/>
      <c r="RFC30" s="910"/>
      <c r="RFD30" s="910"/>
      <c r="RFE30" s="910"/>
      <c r="RFF30" s="910"/>
      <c r="RFG30" s="911"/>
      <c r="RFH30" s="911"/>
      <c r="RFI30" s="910"/>
      <c r="RFJ30" s="910"/>
      <c r="RFK30" s="910"/>
      <c r="RFL30" s="910"/>
      <c r="RFM30" s="910"/>
      <c r="RFN30" s="910"/>
      <c r="RFO30" s="910"/>
      <c r="RFP30" s="910"/>
      <c r="RFQ30" s="910"/>
      <c r="RFR30" s="911"/>
      <c r="RFS30" s="911"/>
      <c r="RFT30" s="910"/>
      <c r="RFU30" s="910"/>
      <c r="RFV30" s="910"/>
      <c r="RFW30" s="910"/>
      <c r="RFX30" s="910"/>
      <c r="RFY30" s="910"/>
      <c r="RFZ30" s="910"/>
      <c r="RGA30" s="910"/>
      <c r="RGB30" s="910"/>
      <c r="RGC30" s="911"/>
      <c r="RGD30" s="911"/>
      <c r="RGE30" s="910"/>
      <c r="RGF30" s="910"/>
      <c r="RGG30" s="910"/>
      <c r="RGH30" s="910"/>
      <c r="RGI30" s="910"/>
      <c r="RGJ30" s="910"/>
      <c r="RGK30" s="910"/>
      <c r="RGL30" s="910"/>
      <c r="RGM30" s="910"/>
      <c r="RGN30" s="911"/>
      <c r="RGO30" s="911"/>
      <c r="RGP30" s="910"/>
      <c r="RGQ30" s="910"/>
      <c r="RGR30" s="910"/>
      <c r="RGS30" s="910"/>
      <c r="RGT30" s="910"/>
      <c r="RGU30" s="910"/>
      <c r="RGV30" s="910"/>
      <c r="RGW30" s="910"/>
      <c r="RGX30" s="910"/>
      <c r="RGY30" s="911"/>
      <c r="RGZ30" s="911"/>
      <c r="RHA30" s="910"/>
      <c r="RHB30" s="910"/>
      <c r="RHC30" s="910"/>
      <c r="RHD30" s="910"/>
      <c r="RHE30" s="910"/>
      <c r="RHF30" s="910"/>
      <c r="RHG30" s="910"/>
      <c r="RHH30" s="910"/>
      <c r="RHI30" s="910"/>
      <c r="RHJ30" s="911"/>
      <c r="RHK30" s="911"/>
      <c r="RHL30" s="910"/>
      <c r="RHM30" s="910"/>
      <c r="RHN30" s="910"/>
      <c r="RHO30" s="910"/>
      <c r="RHP30" s="910"/>
      <c r="RHQ30" s="910"/>
      <c r="RHR30" s="910"/>
      <c r="RHS30" s="910"/>
      <c r="RHT30" s="910"/>
      <c r="RHU30" s="911"/>
      <c r="RHV30" s="911"/>
      <c r="RHW30" s="910"/>
      <c r="RHX30" s="910"/>
      <c r="RHY30" s="910"/>
      <c r="RHZ30" s="910"/>
      <c r="RIA30" s="910"/>
      <c r="RIB30" s="910"/>
      <c r="RIC30" s="910"/>
      <c r="RID30" s="910"/>
      <c r="RIE30" s="910"/>
      <c r="RIF30" s="911"/>
      <c r="RIG30" s="911"/>
      <c r="RIH30" s="910"/>
      <c r="RII30" s="910"/>
      <c r="RIJ30" s="910"/>
      <c r="RIK30" s="910"/>
      <c r="RIL30" s="910"/>
      <c r="RIM30" s="910"/>
      <c r="RIN30" s="910"/>
      <c r="RIO30" s="910"/>
      <c r="RIP30" s="910"/>
      <c r="RIQ30" s="911"/>
      <c r="RIR30" s="911"/>
      <c r="RIS30" s="910"/>
      <c r="RIT30" s="910"/>
      <c r="RIU30" s="910"/>
      <c r="RIV30" s="910"/>
      <c r="RIW30" s="910"/>
      <c r="RIX30" s="910"/>
      <c r="RIY30" s="910"/>
      <c r="RIZ30" s="910"/>
      <c r="RJA30" s="910"/>
      <c r="RJB30" s="911"/>
      <c r="RJC30" s="911"/>
      <c r="RJD30" s="910"/>
      <c r="RJE30" s="910"/>
      <c r="RJF30" s="910"/>
      <c r="RJG30" s="910"/>
      <c r="RJH30" s="910"/>
      <c r="RJI30" s="910"/>
      <c r="RJJ30" s="910"/>
      <c r="RJK30" s="910"/>
      <c r="RJL30" s="910"/>
      <c r="RJM30" s="911"/>
      <c r="RJN30" s="911"/>
      <c r="RJO30" s="910"/>
      <c r="RJP30" s="910"/>
      <c r="RJQ30" s="910"/>
      <c r="RJR30" s="910"/>
      <c r="RJS30" s="910"/>
      <c r="RJT30" s="910"/>
      <c r="RJU30" s="910"/>
      <c r="RJV30" s="910"/>
      <c r="RJW30" s="910"/>
      <c r="RJX30" s="911"/>
      <c r="RJY30" s="911"/>
      <c r="RJZ30" s="910"/>
      <c r="RKA30" s="910"/>
      <c r="RKB30" s="910"/>
      <c r="RKC30" s="910"/>
      <c r="RKD30" s="910"/>
      <c r="RKE30" s="910"/>
      <c r="RKF30" s="910"/>
      <c r="RKG30" s="910"/>
      <c r="RKH30" s="910"/>
      <c r="RKI30" s="911"/>
      <c r="RKJ30" s="911"/>
      <c r="RKK30" s="910"/>
      <c r="RKL30" s="910"/>
      <c r="RKM30" s="910"/>
      <c r="RKN30" s="910"/>
      <c r="RKO30" s="910"/>
      <c r="RKP30" s="910"/>
      <c r="RKQ30" s="910"/>
      <c r="RKR30" s="910"/>
      <c r="RKS30" s="910"/>
      <c r="RKT30" s="911"/>
      <c r="RKU30" s="911"/>
      <c r="RKV30" s="910"/>
      <c r="RKW30" s="910"/>
      <c r="RKX30" s="910"/>
      <c r="RKY30" s="910"/>
      <c r="RKZ30" s="910"/>
      <c r="RLA30" s="910"/>
      <c r="RLB30" s="910"/>
      <c r="RLC30" s="910"/>
      <c r="RLD30" s="910"/>
      <c r="RLE30" s="911"/>
      <c r="RLF30" s="911"/>
      <c r="RLG30" s="910"/>
      <c r="RLH30" s="910"/>
      <c r="RLI30" s="910"/>
      <c r="RLJ30" s="910"/>
      <c r="RLK30" s="910"/>
      <c r="RLL30" s="910"/>
      <c r="RLM30" s="910"/>
      <c r="RLN30" s="910"/>
      <c r="RLO30" s="910"/>
      <c r="RLP30" s="911"/>
      <c r="RLQ30" s="911"/>
      <c r="RLR30" s="910"/>
      <c r="RLS30" s="910"/>
      <c r="RLT30" s="910"/>
      <c r="RLU30" s="910"/>
      <c r="RLV30" s="910"/>
      <c r="RLW30" s="910"/>
      <c r="RLX30" s="910"/>
      <c r="RLY30" s="910"/>
      <c r="RLZ30" s="910"/>
      <c r="RMA30" s="911"/>
      <c r="RMB30" s="911"/>
      <c r="RMC30" s="910"/>
      <c r="RMD30" s="910"/>
      <c r="RME30" s="910"/>
      <c r="RMF30" s="910"/>
      <c r="RMG30" s="910"/>
      <c r="RMH30" s="910"/>
      <c r="RMI30" s="910"/>
      <c r="RMJ30" s="910"/>
      <c r="RMK30" s="910"/>
      <c r="RML30" s="911"/>
      <c r="RMM30" s="911"/>
      <c r="RMN30" s="910"/>
      <c r="RMO30" s="910"/>
      <c r="RMP30" s="910"/>
      <c r="RMQ30" s="910"/>
      <c r="RMR30" s="910"/>
      <c r="RMS30" s="910"/>
      <c r="RMT30" s="910"/>
      <c r="RMU30" s="910"/>
      <c r="RMV30" s="910"/>
      <c r="RMW30" s="911"/>
      <c r="RMX30" s="911"/>
      <c r="RMY30" s="910"/>
      <c r="RMZ30" s="910"/>
      <c r="RNA30" s="910"/>
      <c r="RNB30" s="910"/>
      <c r="RNC30" s="910"/>
      <c r="RND30" s="910"/>
      <c r="RNE30" s="910"/>
      <c r="RNF30" s="910"/>
      <c r="RNG30" s="910"/>
      <c r="RNH30" s="911"/>
      <c r="RNI30" s="911"/>
      <c r="RNJ30" s="910"/>
      <c r="RNK30" s="910"/>
      <c r="RNL30" s="910"/>
      <c r="RNM30" s="910"/>
      <c r="RNN30" s="910"/>
      <c r="RNO30" s="910"/>
      <c r="RNP30" s="910"/>
      <c r="RNQ30" s="910"/>
      <c r="RNR30" s="910"/>
      <c r="RNS30" s="911"/>
      <c r="RNT30" s="911"/>
      <c r="RNU30" s="910"/>
      <c r="RNV30" s="910"/>
      <c r="RNW30" s="910"/>
      <c r="RNX30" s="910"/>
      <c r="RNY30" s="910"/>
      <c r="RNZ30" s="910"/>
      <c r="ROA30" s="910"/>
      <c r="ROB30" s="910"/>
      <c r="ROC30" s="910"/>
      <c r="ROD30" s="911"/>
      <c r="ROE30" s="911"/>
      <c r="ROF30" s="910"/>
      <c r="ROG30" s="910"/>
      <c r="ROH30" s="910"/>
      <c r="ROI30" s="910"/>
      <c r="ROJ30" s="910"/>
      <c r="ROK30" s="910"/>
      <c r="ROL30" s="910"/>
      <c r="ROM30" s="910"/>
      <c r="RON30" s="910"/>
      <c r="ROO30" s="911"/>
      <c r="ROP30" s="911"/>
      <c r="ROQ30" s="910"/>
      <c r="ROR30" s="910"/>
      <c r="ROS30" s="910"/>
      <c r="ROT30" s="910"/>
      <c r="ROU30" s="910"/>
      <c r="ROV30" s="910"/>
      <c r="ROW30" s="910"/>
      <c r="ROX30" s="910"/>
      <c r="ROY30" s="910"/>
      <c r="ROZ30" s="911"/>
      <c r="RPA30" s="911"/>
      <c r="RPB30" s="910"/>
      <c r="RPC30" s="910"/>
      <c r="RPD30" s="910"/>
      <c r="RPE30" s="910"/>
      <c r="RPF30" s="910"/>
      <c r="RPG30" s="910"/>
      <c r="RPH30" s="910"/>
      <c r="RPI30" s="910"/>
      <c r="RPJ30" s="910"/>
      <c r="RPK30" s="911"/>
      <c r="RPL30" s="911"/>
      <c r="RPM30" s="910"/>
      <c r="RPN30" s="910"/>
      <c r="RPO30" s="910"/>
      <c r="RPP30" s="910"/>
      <c r="RPQ30" s="910"/>
      <c r="RPR30" s="910"/>
      <c r="RPS30" s="910"/>
      <c r="RPT30" s="910"/>
      <c r="RPU30" s="910"/>
      <c r="RPV30" s="911"/>
      <c r="RPW30" s="911"/>
      <c r="RPX30" s="910"/>
      <c r="RPY30" s="910"/>
      <c r="RPZ30" s="910"/>
      <c r="RQA30" s="910"/>
      <c r="RQB30" s="910"/>
      <c r="RQC30" s="910"/>
      <c r="RQD30" s="910"/>
      <c r="RQE30" s="910"/>
      <c r="RQF30" s="910"/>
      <c r="RQG30" s="911"/>
      <c r="RQH30" s="911"/>
      <c r="RQI30" s="910"/>
      <c r="RQJ30" s="910"/>
      <c r="RQK30" s="910"/>
      <c r="RQL30" s="910"/>
      <c r="RQM30" s="910"/>
      <c r="RQN30" s="910"/>
      <c r="RQO30" s="910"/>
      <c r="RQP30" s="910"/>
      <c r="RQQ30" s="910"/>
      <c r="RQR30" s="911"/>
      <c r="RQS30" s="911"/>
      <c r="RQT30" s="910"/>
      <c r="RQU30" s="910"/>
      <c r="RQV30" s="910"/>
      <c r="RQW30" s="910"/>
      <c r="RQX30" s="910"/>
      <c r="RQY30" s="910"/>
      <c r="RQZ30" s="910"/>
      <c r="RRA30" s="910"/>
      <c r="RRB30" s="910"/>
      <c r="RRC30" s="911"/>
      <c r="RRD30" s="911"/>
      <c r="RRE30" s="910"/>
      <c r="RRF30" s="910"/>
      <c r="RRG30" s="910"/>
      <c r="RRH30" s="910"/>
      <c r="RRI30" s="910"/>
      <c r="RRJ30" s="910"/>
      <c r="RRK30" s="910"/>
      <c r="RRL30" s="910"/>
      <c r="RRM30" s="910"/>
      <c r="RRN30" s="911"/>
      <c r="RRO30" s="911"/>
      <c r="RRP30" s="910"/>
      <c r="RRQ30" s="910"/>
      <c r="RRR30" s="910"/>
      <c r="RRS30" s="910"/>
      <c r="RRT30" s="910"/>
      <c r="RRU30" s="910"/>
      <c r="RRV30" s="910"/>
      <c r="RRW30" s="910"/>
      <c r="RRX30" s="910"/>
      <c r="RRY30" s="911"/>
      <c r="RRZ30" s="911"/>
      <c r="RSA30" s="910"/>
      <c r="RSB30" s="910"/>
      <c r="RSC30" s="910"/>
      <c r="RSD30" s="910"/>
      <c r="RSE30" s="910"/>
      <c r="RSF30" s="910"/>
      <c r="RSG30" s="910"/>
      <c r="RSH30" s="910"/>
      <c r="RSI30" s="910"/>
      <c r="RSJ30" s="911"/>
      <c r="RSK30" s="911"/>
      <c r="RSL30" s="910"/>
      <c r="RSM30" s="910"/>
      <c r="RSN30" s="910"/>
      <c r="RSO30" s="910"/>
      <c r="RSP30" s="910"/>
      <c r="RSQ30" s="910"/>
      <c r="RSR30" s="910"/>
      <c r="RSS30" s="910"/>
      <c r="RST30" s="910"/>
      <c r="RSU30" s="911"/>
      <c r="RSV30" s="911"/>
      <c r="RSW30" s="910"/>
      <c r="RSX30" s="910"/>
      <c r="RSY30" s="910"/>
      <c r="RSZ30" s="910"/>
      <c r="RTA30" s="910"/>
      <c r="RTB30" s="910"/>
      <c r="RTC30" s="910"/>
      <c r="RTD30" s="910"/>
      <c r="RTE30" s="910"/>
      <c r="RTF30" s="911"/>
      <c r="RTG30" s="911"/>
      <c r="RTH30" s="910"/>
      <c r="RTI30" s="910"/>
      <c r="RTJ30" s="910"/>
      <c r="RTK30" s="910"/>
      <c r="RTL30" s="910"/>
      <c r="RTM30" s="910"/>
      <c r="RTN30" s="910"/>
      <c r="RTO30" s="910"/>
      <c r="RTP30" s="910"/>
      <c r="RTQ30" s="911"/>
      <c r="RTR30" s="911"/>
      <c r="RTS30" s="910"/>
      <c r="RTT30" s="910"/>
      <c r="RTU30" s="910"/>
      <c r="RTV30" s="910"/>
      <c r="RTW30" s="910"/>
      <c r="RTX30" s="910"/>
      <c r="RTY30" s="910"/>
      <c r="RTZ30" s="910"/>
      <c r="RUA30" s="910"/>
      <c r="RUB30" s="911"/>
      <c r="RUC30" s="911"/>
      <c r="RUD30" s="910"/>
      <c r="RUE30" s="910"/>
      <c r="RUF30" s="910"/>
      <c r="RUG30" s="910"/>
      <c r="RUH30" s="910"/>
      <c r="RUI30" s="910"/>
      <c r="RUJ30" s="910"/>
      <c r="RUK30" s="910"/>
      <c r="RUL30" s="910"/>
      <c r="RUM30" s="911"/>
      <c r="RUN30" s="911"/>
      <c r="RUO30" s="910"/>
      <c r="RUP30" s="910"/>
      <c r="RUQ30" s="910"/>
      <c r="RUR30" s="910"/>
      <c r="RUS30" s="910"/>
      <c r="RUT30" s="910"/>
      <c r="RUU30" s="910"/>
      <c r="RUV30" s="910"/>
      <c r="RUW30" s="910"/>
      <c r="RUX30" s="911"/>
      <c r="RUY30" s="911"/>
      <c r="RUZ30" s="910"/>
      <c r="RVA30" s="910"/>
      <c r="RVB30" s="910"/>
      <c r="RVC30" s="910"/>
      <c r="RVD30" s="910"/>
      <c r="RVE30" s="910"/>
      <c r="RVF30" s="910"/>
      <c r="RVG30" s="910"/>
      <c r="RVH30" s="910"/>
      <c r="RVI30" s="911"/>
      <c r="RVJ30" s="911"/>
      <c r="RVK30" s="910"/>
      <c r="RVL30" s="910"/>
      <c r="RVM30" s="910"/>
      <c r="RVN30" s="910"/>
      <c r="RVO30" s="910"/>
      <c r="RVP30" s="910"/>
      <c r="RVQ30" s="910"/>
      <c r="RVR30" s="910"/>
      <c r="RVS30" s="910"/>
      <c r="RVT30" s="911"/>
      <c r="RVU30" s="911"/>
      <c r="RVV30" s="910"/>
      <c r="RVW30" s="910"/>
      <c r="RVX30" s="910"/>
      <c r="RVY30" s="910"/>
      <c r="RVZ30" s="910"/>
      <c r="RWA30" s="910"/>
      <c r="RWB30" s="910"/>
      <c r="RWC30" s="910"/>
      <c r="RWD30" s="910"/>
      <c r="RWE30" s="911"/>
      <c r="RWF30" s="911"/>
      <c r="RWG30" s="910"/>
      <c r="RWH30" s="910"/>
      <c r="RWI30" s="910"/>
      <c r="RWJ30" s="910"/>
      <c r="RWK30" s="910"/>
      <c r="RWL30" s="910"/>
      <c r="RWM30" s="910"/>
      <c r="RWN30" s="910"/>
      <c r="RWO30" s="910"/>
      <c r="RWP30" s="911"/>
      <c r="RWQ30" s="911"/>
      <c r="RWR30" s="910"/>
      <c r="RWS30" s="910"/>
      <c r="RWT30" s="910"/>
      <c r="RWU30" s="910"/>
      <c r="RWV30" s="910"/>
      <c r="RWW30" s="910"/>
      <c r="RWX30" s="910"/>
      <c r="RWY30" s="910"/>
      <c r="RWZ30" s="910"/>
      <c r="RXA30" s="911"/>
      <c r="RXB30" s="911"/>
      <c r="RXC30" s="910"/>
      <c r="RXD30" s="910"/>
      <c r="RXE30" s="910"/>
      <c r="RXF30" s="910"/>
      <c r="RXG30" s="910"/>
      <c r="RXH30" s="910"/>
      <c r="RXI30" s="910"/>
      <c r="RXJ30" s="910"/>
      <c r="RXK30" s="910"/>
      <c r="RXL30" s="911"/>
      <c r="RXM30" s="911"/>
      <c r="RXN30" s="910"/>
      <c r="RXO30" s="910"/>
      <c r="RXP30" s="910"/>
      <c r="RXQ30" s="910"/>
      <c r="RXR30" s="910"/>
      <c r="RXS30" s="910"/>
      <c r="RXT30" s="910"/>
      <c r="RXU30" s="910"/>
      <c r="RXV30" s="910"/>
      <c r="RXW30" s="911"/>
      <c r="RXX30" s="911"/>
      <c r="RXY30" s="910"/>
      <c r="RXZ30" s="910"/>
      <c r="RYA30" s="910"/>
      <c r="RYB30" s="910"/>
      <c r="RYC30" s="910"/>
      <c r="RYD30" s="910"/>
      <c r="RYE30" s="910"/>
      <c r="RYF30" s="910"/>
      <c r="RYG30" s="910"/>
      <c r="RYH30" s="911"/>
      <c r="RYI30" s="911"/>
      <c r="RYJ30" s="910"/>
      <c r="RYK30" s="910"/>
      <c r="RYL30" s="910"/>
      <c r="RYM30" s="910"/>
      <c r="RYN30" s="910"/>
      <c r="RYO30" s="910"/>
      <c r="RYP30" s="910"/>
      <c r="RYQ30" s="910"/>
      <c r="RYR30" s="910"/>
      <c r="RYS30" s="911"/>
      <c r="RYT30" s="911"/>
      <c r="RYU30" s="910"/>
      <c r="RYV30" s="910"/>
      <c r="RYW30" s="910"/>
      <c r="RYX30" s="910"/>
      <c r="RYY30" s="910"/>
      <c r="RYZ30" s="910"/>
      <c r="RZA30" s="910"/>
      <c r="RZB30" s="910"/>
      <c r="RZC30" s="910"/>
      <c r="RZD30" s="911"/>
      <c r="RZE30" s="911"/>
      <c r="RZF30" s="910"/>
      <c r="RZG30" s="910"/>
      <c r="RZH30" s="910"/>
      <c r="RZI30" s="910"/>
      <c r="RZJ30" s="910"/>
      <c r="RZK30" s="910"/>
      <c r="RZL30" s="910"/>
      <c r="RZM30" s="910"/>
      <c r="RZN30" s="910"/>
      <c r="RZO30" s="911"/>
      <c r="RZP30" s="911"/>
      <c r="RZQ30" s="910"/>
      <c r="RZR30" s="910"/>
      <c r="RZS30" s="910"/>
      <c r="RZT30" s="910"/>
      <c r="RZU30" s="910"/>
      <c r="RZV30" s="910"/>
      <c r="RZW30" s="910"/>
      <c r="RZX30" s="910"/>
      <c r="RZY30" s="910"/>
      <c r="RZZ30" s="911"/>
      <c r="SAA30" s="911"/>
      <c r="SAB30" s="910"/>
      <c r="SAC30" s="910"/>
      <c r="SAD30" s="910"/>
      <c r="SAE30" s="910"/>
      <c r="SAF30" s="910"/>
      <c r="SAG30" s="910"/>
      <c r="SAH30" s="910"/>
      <c r="SAI30" s="910"/>
      <c r="SAJ30" s="910"/>
      <c r="SAK30" s="911"/>
      <c r="SAL30" s="911"/>
      <c r="SAM30" s="910"/>
      <c r="SAN30" s="910"/>
      <c r="SAO30" s="910"/>
      <c r="SAP30" s="910"/>
      <c r="SAQ30" s="910"/>
      <c r="SAR30" s="910"/>
      <c r="SAS30" s="910"/>
      <c r="SAT30" s="910"/>
      <c r="SAU30" s="910"/>
      <c r="SAV30" s="911"/>
      <c r="SAW30" s="911"/>
      <c r="SAX30" s="910"/>
      <c r="SAY30" s="910"/>
      <c r="SAZ30" s="910"/>
      <c r="SBA30" s="910"/>
      <c r="SBB30" s="910"/>
      <c r="SBC30" s="910"/>
      <c r="SBD30" s="910"/>
      <c r="SBE30" s="910"/>
      <c r="SBF30" s="910"/>
      <c r="SBG30" s="911"/>
      <c r="SBH30" s="911"/>
      <c r="SBI30" s="910"/>
      <c r="SBJ30" s="910"/>
      <c r="SBK30" s="910"/>
      <c r="SBL30" s="910"/>
      <c r="SBM30" s="910"/>
      <c r="SBN30" s="910"/>
      <c r="SBO30" s="910"/>
      <c r="SBP30" s="910"/>
      <c r="SBQ30" s="910"/>
      <c r="SBR30" s="911"/>
      <c r="SBS30" s="911"/>
      <c r="SBT30" s="910"/>
      <c r="SBU30" s="910"/>
      <c r="SBV30" s="910"/>
      <c r="SBW30" s="910"/>
      <c r="SBX30" s="910"/>
      <c r="SBY30" s="910"/>
      <c r="SBZ30" s="910"/>
      <c r="SCA30" s="910"/>
      <c r="SCB30" s="910"/>
      <c r="SCC30" s="911"/>
      <c r="SCD30" s="911"/>
      <c r="SCE30" s="910"/>
      <c r="SCF30" s="910"/>
      <c r="SCG30" s="910"/>
      <c r="SCH30" s="910"/>
      <c r="SCI30" s="910"/>
      <c r="SCJ30" s="910"/>
      <c r="SCK30" s="910"/>
      <c r="SCL30" s="910"/>
      <c r="SCM30" s="910"/>
      <c r="SCN30" s="911"/>
      <c r="SCO30" s="911"/>
      <c r="SCP30" s="910"/>
      <c r="SCQ30" s="910"/>
      <c r="SCR30" s="910"/>
      <c r="SCS30" s="910"/>
      <c r="SCT30" s="910"/>
      <c r="SCU30" s="910"/>
      <c r="SCV30" s="910"/>
      <c r="SCW30" s="910"/>
      <c r="SCX30" s="910"/>
      <c r="SCY30" s="911"/>
      <c r="SCZ30" s="911"/>
      <c r="SDA30" s="910"/>
      <c r="SDB30" s="910"/>
      <c r="SDC30" s="910"/>
      <c r="SDD30" s="910"/>
      <c r="SDE30" s="910"/>
      <c r="SDF30" s="910"/>
      <c r="SDG30" s="910"/>
      <c r="SDH30" s="910"/>
      <c r="SDI30" s="910"/>
      <c r="SDJ30" s="911"/>
      <c r="SDK30" s="911"/>
      <c r="SDL30" s="910"/>
      <c r="SDM30" s="910"/>
      <c r="SDN30" s="910"/>
      <c r="SDO30" s="910"/>
      <c r="SDP30" s="910"/>
      <c r="SDQ30" s="910"/>
      <c r="SDR30" s="910"/>
      <c r="SDS30" s="910"/>
      <c r="SDT30" s="910"/>
      <c r="SDU30" s="911"/>
      <c r="SDV30" s="911"/>
      <c r="SDW30" s="910"/>
      <c r="SDX30" s="910"/>
      <c r="SDY30" s="910"/>
      <c r="SDZ30" s="910"/>
      <c r="SEA30" s="910"/>
      <c r="SEB30" s="910"/>
      <c r="SEC30" s="910"/>
      <c r="SED30" s="910"/>
      <c r="SEE30" s="910"/>
      <c r="SEF30" s="911"/>
      <c r="SEG30" s="911"/>
      <c r="SEH30" s="910"/>
      <c r="SEI30" s="910"/>
      <c r="SEJ30" s="910"/>
      <c r="SEK30" s="910"/>
      <c r="SEL30" s="910"/>
      <c r="SEM30" s="910"/>
      <c r="SEN30" s="910"/>
      <c r="SEO30" s="910"/>
      <c r="SEP30" s="910"/>
      <c r="SEQ30" s="911"/>
      <c r="SER30" s="911"/>
      <c r="SES30" s="910"/>
      <c r="SET30" s="910"/>
      <c r="SEU30" s="910"/>
      <c r="SEV30" s="910"/>
      <c r="SEW30" s="910"/>
      <c r="SEX30" s="910"/>
      <c r="SEY30" s="910"/>
      <c r="SEZ30" s="910"/>
      <c r="SFA30" s="910"/>
      <c r="SFB30" s="911"/>
      <c r="SFC30" s="911"/>
      <c r="SFD30" s="910"/>
      <c r="SFE30" s="910"/>
      <c r="SFF30" s="910"/>
      <c r="SFG30" s="910"/>
      <c r="SFH30" s="910"/>
      <c r="SFI30" s="910"/>
      <c r="SFJ30" s="910"/>
      <c r="SFK30" s="910"/>
      <c r="SFL30" s="910"/>
      <c r="SFM30" s="911"/>
      <c r="SFN30" s="911"/>
      <c r="SFO30" s="910"/>
      <c r="SFP30" s="910"/>
      <c r="SFQ30" s="910"/>
      <c r="SFR30" s="910"/>
      <c r="SFS30" s="910"/>
      <c r="SFT30" s="910"/>
      <c r="SFU30" s="910"/>
      <c r="SFV30" s="910"/>
      <c r="SFW30" s="910"/>
      <c r="SFX30" s="911"/>
      <c r="SFY30" s="911"/>
      <c r="SFZ30" s="910"/>
      <c r="SGA30" s="910"/>
      <c r="SGB30" s="910"/>
      <c r="SGC30" s="910"/>
      <c r="SGD30" s="910"/>
      <c r="SGE30" s="910"/>
      <c r="SGF30" s="910"/>
      <c r="SGG30" s="910"/>
      <c r="SGH30" s="910"/>
      <c r="SGI30" s="911"/>
      <c r="SGJ30" s="911"/>
      <c r="SGK30" s="910"/>
      <c r="SGL30" s="910"/>
      <c r="SGM30" s="910"/>
      <c r="SGN30" s="910"/>
      <c r="SGO30" s="910"/>
      <c r="SGP30" s="910"/>
      <c r="SGQ30" s="910"/>
      <c r="SGR30" s="910"/>
      <c r="SGS30" s="910"/>
      <c r="SGT30" s="911"/>
      <c r="SGU30" s="911"/>
      <c r="SGV30" s="910"/>
      <c r="SGW30" s="910"/>
      <c r="SGX30" s="910"/>
      <c r="SGY30" s="910"/>
      <c r="SGZ30" s="910"/>
      <c r="SHA30" s="910"/>
      <c r="SHB30" s="910"/>
      <c r="SHC30" s="910"/>
      <c r="SHD30" s="910"/>
      <c r="SHE30" s="911"/>
      <c r="SHF30" s="911"/>
      <c r="SHG30" s="910"/>
      <c r="SHH30" s="910"/>
      <c r="SHI30" s="910"/>
      <c r="SHJ30" s="910"/>
      <c r="SHK30" s="910"/>
      <c r="SHL30" s="910"/>
      <c r="SHM30" s="910"/>
      <c r="SHN30" s="910"/>
      <c r="SHO30" s="910"/>
      <c r="SHP30" s="911"/>
      <c r="SHQ30" s="911"/>
      <c r="SHR30" s="910"/>
      <c r="SHS30" s="910"/>
      <c r="SHT30" s="910"/>
      <c r="SHU30" s="910"/>
      <c r="SHV30" s="910"/>
      <c r="SHW30" s="910"/>
      <c r="SHX30" s="910"/>
      <c r="SHY30" s="910"/>
      <c r="SHZ30" s="910"/>
      <c r="SIA30" s="911"/>
      <c r="SIB30" s="911"/>
      <c r="SIC30" s="910"/>
      <c r="SID30" s="910"/>
      <c r="SIE30" s="910"/>
      <c r="SIF30" s="910"/>
      <c r="SIG30" s="910"/>
      <c r="SIH30" s="910"/>
      <c r="SII30" s="910"/>
      <c r="SIJ30" s="910"/>
      <c r="SIK30" s="910"/>
      <c r="SIL30" s="911"/>
      <c r="SIM30" s="911"/>
      <c r="SIN30" s="910"/>
      <c r="SIO30" s="910"/>
      <c r="SIP30" s="910"/>
      <c r="SIQ30" s="910"/>
      <c r="SIR30" s="910"/>
      <c r="SIS30" s="910"/>
      <c r="SIT30" s="910"/>
      <c r="SIU30" s="910"/>
      <c r="SIV30" s="910"/>
      <c r="SIW30" s="911"/>
      <c r="SIX30" s="911"/>
      <c r="SIY30" s="910"/>
      <c r="SIZ30" s="910"/>
      <c r="SJA30" s="910"/>
      <c r="SJB30" s="910"/>
      <c r="SJC30" s="910"/>
      <c r="SJD30" s="910"/>
      <c r="SJE30" s="910"/>
      <c r="SJF30" s="910"/>
      <c r="SJG30" s="910"/>
      <c r="SJH30" s="911"/>
      <c r="SJI30" s="911"/>
      <c r="SJJ30" s="910"/>
      <c r="SJK30" s="910"/>
      <c r="SJL30" s="910"/>
      <c r="SJM30" s="910"/>
      <c r="SJN30" s="910"/>
      <c r="SJO30" s="910"/>
      <c r="SJP30" s="910"/>
      <c r="SJQ30" s="910"/>
      <c r="SJR30" s="910"/>
      <c r="SJS30" s="911"/>
      <c r="SJT30" s="911"/>
      <c r="SJU30" s="910"/>
      <c r="SJV30" s="910"/>
      <c r="SJW30" s="910"/>
      <c r="SJX30" s="910"/>
      <c r="SJY30" s="910"/>
      <c r="SJZ30" s="910"/>
      <c r="SKA30" s="910"/>
      <c r="SKB30" s="910"/>
      <c r="SKC30" s="910"/>
      <c r="SKD30" s="911"/>
      <c r="SKE30" s="911"/>
      <c r="SKF30" s="910"/>
      <c r="SKG30" s="910"/>
      <c r="SKH30" s="910"/>
      <c r="SKI30" s="910"/>
      <c r="SKJ30" s="910"/>
      <c r="SKK30" s="910"/>
      <c r="SKL30" s="910"/>
      <c r="SKM30" s="910"/>
      <c r="SKN30" s="910"/>
      <c r="SKO30" s="911"/>
      <c r="SKP30" s="911"/>
      <c r="SKQ30" s="910"/>
      <c r="SKR30" s="910"/>
      <c r="SKS30" s="910"/>
      <c r="SKT30" s="910"/>
      <c r="SKU30" s="910"/>
      <c r="SKV30" s="910"/>
      <c r="SKW30" s="910"/>
      <c r="SKX30" s="910"/>
      <c r="SKY30" s="910"/>
      <c r="SKZ30" s="911"/>
      <c r="SLA30" s="911"/>
      <c r="SLB30" s="910"/>
      <c r="SLC30" s="910"/>
      <c r="SLD30" s="910"/>
      <c r="SLE30" s="910"/>
      <c r="SLF30" s="910"/>
      <c r="SLG30" s="910"/>
      <c r="SLH30" s="910"/>
      <c r="SLI30" s="910"/>
      <c r="SLJ30" s="910"/>
      <c r="SLK30" s="911"/>
      <c r="SLL30" s="911"/>
      <c r="SLM30" s="910"/>
      <c r="SLN30" s="910"/>
      <c r="SLO30" s="910"/>
      <c r="SLP30" s="910"/>
      <c r="SLQ30" s="910"/>
      <c r="SLR30" s="910"/>
      <c r="SLS30" s="910"/>
      <c r="SLT30" s="910"/>
      <c r="SLU30" s="910"/>
      <c r="SLV30" s="911"/>
      <c r="SLW30" s="911"/>
      <c r="SLX30" s="910"/>
      <c r="SLY30" s="910"/>
      <c r="SLZ30" s="910"/>
      <c r="SMA30" s="910"/>
      <c r="SMB30" s="910"/>
      <c r="SMC30" s="910"/>
      <c r="SMD30" s="910"/>
      <c r="SME30" s="910"/>
      <c r="SMF30" s="910"/>
      <c r="SMG30" s="911"/>
      <c r="SMH30" s="911"/>
      <c r="SMI30" s="910"/>
      <c r="SMJ30" s="910"/>
      <c r="SMK30" s="910"/>
      <c r="SML30" s="910"/>
      <c r="SMM30" s="910"/>
      <c r="SMN30" s="910"/>
      <c r="SMO30" s="910"/>
      <c r="SMP30" s="910"/>
      <c r="SMQ30" s="910"/>
      <c r="SMR30" s="911"/>
      <c r="SMS30" s="911"/>
      <c r="SMT30" s="910"/>
      <c r="SMU30" s="910"/>
      <c r="SMV30" s="910"/>
      <c r="SMW30" s="910"/>
      <c r="SMX30" s="910"/>
      <c r="SMY30" s="910"/>
      <c r="SMZ30" s="910"/>
      <c r="SNA30" s="910"/>
      <c r="SNB30" s="910"/>
      <c r="SNC30" s="911"/>
      <c r="SND30" s="911"/>
      <c r="SNE30" s="910"/>
      <c r="SNF30" s="910"/>
      <c r="SNG30" s="910"/>
      <c r="SNH30" s="910"/>
      <c r="SNI30" s="910"/>
      <c r="SNJ30" s="910"/>
      <c r="SNK30" s="910"/>
      <c r="SNL30" s="910"/>
      <c r="SNM30" s="910"/>
      <c r="SNN30" s="911"/>
      <c r="SNO30" s="911"/>
      <c r="SNP30" s="910"/>
      <c r="SNQ30" s="910"/>
      <c r="SNR30" s="910"/>
      <c r="SNS30" s="910"/>
      <c r="SNT30" s="910"/>
      <c r="SNU30" s="910"/>
      <c r="SNV30" s="910"/>
      <c r="SNW30" s="910"/>
      <c r="SNX30" s="910"/>
      <c r="SNY30" s="911"/>
      <c r="SNZ30" s="911"/>
      <c r="SOA30" s="910"/>
      <c r="SOB30" s="910"/>
      <c r="SOC30" s="910"/>
      <c r="SOD30" s="910"/>
      <c r="SOE30" s="910"/>
      <c r="SOF30" s="910"/>
      <c r="SOG30" s="910"/>
      <c r="SOH30" s="910"/>
      <c r="SOI30" s="910"/>
      <c r="SOJ30" s="911"/>
      <c r="SOK30" s="911"/>
      <c r="SOL30" s="910"/>
      <c r="SOM30" s="910"/>
      <c r="SON30" s="910"/>
      <c r="SOO30" s="910"/>
      <c r="SOP30" s="910"/>
      <c r="SOQ30" s="910"/>
      <c r="SOR30" s="910"/>
      <c r="SOS30" s="910"/>
      <c r="SOT30" s="910"/>
      <c r="SOU30" s="911"/>
      <c r="SOV30" s="911"/>
      <c r="SOW30" s="910"/>
      <c r="SOX30" s="910"/>
      <c r="SOY30" s="910"/>
      <c r="SOZ30" s="910"/>
      <c r="SPA30" s="910"/>
      <c r="SPB30" s="910"/>
      <c r="SPC30" s="910"/>
      <c r="SPD30" s="910"/>
      <c r="SPE30" s="910"/>
      <c r="SPF30" s="911"/>
      <c r="SPG30" s="911"/>
      <c r="SPH30" s="910"/>
      <c r="SPI30" s="910"/>
      <c r="SPJ30" s="910"/>
      <c r="SPK30" s="910"/>
      <c r="SPL30" s="910"/>
      <c r="SPM30" s="910"/>
      <c r="SPN30" s="910"/>
      <c r="SPO30" s="910"/>
      <c r="SPP30" s="910"/>
      <c r="SPQ30" s="911"/>
      <c r="SPR30" s="911"/>
      <c r="SPS30" s="910"/>
      <c r="SPT30" s="910"/>
      <c r="SPU30" s="910"/>
      <c r="SPV30" s="910"/>
      <c r="SPW30" s="910"/>
      <c r="SPX30" s="910"/>
      <c r="SPY30" s="910"/>
      <c r="SPZ30" s="910"/>
      <c r="SQA30" s="910"/>
      <c r="SQB30" s="911"/>
      <c r="SQC30" s="911"/>
      <c r="SQD30" s="910"/>
      <c r="SQE30" s="910"/>
      <c r="SQF30" s="910"/>
      <c r="SQG30" s="910"/>
      <c r="SQH30" s="910"/>
      <c r="SQI30" s="910"/>
      <c r="SQJ30" s="910"/>
      <c r="SQK30" s="910"/>
      <c r="SQL30" s="910"/>
      <c r="SQM30" s="911"/>
      <c r="SQN30" s="911"/>
      <c r="SQO30" s="910"/>
      <c r="SQP30" s="910"/>
      <c r="SQQ30" s="910"/>
      <c r="SQR30" s="910"/>
      <c r="SQS30" s="910"/>
      <c r="SQT30" s="910"/>
      <c r="SQU30" s="910"/>
      <c r="SQV30" s="910"/>
      <c r="SQW30" s="910"/>
      <c r="SQX30" s="911"/>
      <c r="SQY30" s="911"/>
      <c r="SQZ30" s="910"/>
      <c r="SRA30" s="910"/>
      <c r="SRB30" s="910"/>
      <c r="SRC30" s="910"/>
      <c r="SRD30" s="910"/>
      <c r="SRE30" s="910"/>
      <c r="SRF30" s="910"/>
      <c r="SRG30" s="910"/>
      <c r="SRH30" s="910"/>
      <c r="SRI30" s="911"/>
      <c r="SRJ30" s="911"/>
      <c r="SRK30" s="910"/>
      <c r="SRL30" s="910"/>
      <c r="SRM30" s="910"/>
      <c r="SRN30" s="910"/>
      <c r="SRO30" s="910"/>
      <c r="SRP30" s="910"/>
      <c r="SRQ30" s="910"/>
      <c r="SRR30" s="910"/>
      <c r="SRS30" s="910"/>
      <c r="SRT30" s="911"/>
      <c r="SRU30" s="911"/>
      <c r="SRV30" s="910"/>
      <c r="SRW30" s="910"/>
      <c r="SRX30" s="910"/>
      <c r="SRY30" s="910"/>
      <c r="SRZ30" s="910"/>
      <c r="SSA30" s="910"/>
      <c r="SSB30" s="910"/>
      <c r="SSC30" s="910"/>
      <c r="SSD30" s="910"/>
      <c r="SSE30" s="911"/>
      <c r="SSF30" s="911"/>
      <c r="SSG30" s="910"/>
      <c r="SSH30" s="910"/>
      <c r="SSI30" s="910"/>
      <c r="SSJ30" s="910"/>
      <c r="SSK30" s="910"/>
      <c r="SSL30" s="910"/>
      <c r="SSM30" s="910"/>
      <c r="SSN30" s="910"/>
      <c r="SSO30" s="910"/>
      <c r="SSP30" s="911"/>
      <c r="SSQ30" s="911"/>
      <c r="SSR30" s="910"/>
      <c r="SSS30" s="910"/>
      <c r="SST30" s="910"/>
      <c r="SSU30" s="910"/>
      <c r="SSV30" s="910"/>
      <c r="SSW30" s="910"/>
      <c r="SSX30" s="910"/>
      <c r="SSY30" s="910"/>
      <c r="SSZ30" s="910"/>
      <c r="STA30" s="911"/>
      <c r="STB30" s="911"/>
      <c r="STC30" s="910"/>
      <c r="STD30" s="910"/>
      <c r="STE30" s="910"/>
      <c r="STF30" s="910"/>
      <c r="STG30" s="910"/>
      <c r="STH30" s="910"/>
      <c r="STI30" s="910"/>
      <c r="STJ30" s="910"/>
      <c r="STK30" s="910"/>
      <c r="STL30" s="911"/>
      <c r="STM30" s="911"/>
      <c r="STN30" s="910"/>
      <c r="STO30" s="910"/>
      <c r="STP30" s="910"/>
      <c r="STQ30" s="910"/>
      <c r="STR30" s="910"/>
      <c r="STS30" s="910"/>
      <c r="STT30" s="910"/>
      <c r="STU30" s="910"/>
      <c r="STV30" s="910"/>
      <c r="STW30" s="911"/>
      <c r="STX30" s="911"/>
      <c r="STY30" s="910"/>
      <c r="STZ30" s="910"/>
      <c r="SUA30" s="910"/>
      <c r="SUB30" s="910"/>
      <c r="SUC30" s="910"/>
      <c r="SUD30" s="910"/>
      <c r="SUE30" s="910"/>
      <c r="SUF30" s="910"/>
      <c r="SUG30" s="910"/>
      <c r="SUH30" s="911"/>
      <c r="SUI30" s="911"/>
      <c r="SUJ30" s="910"/>
      <c r="SUK30" s="910"/>
      <c r="SUL30" s="910"/>
      <c r="SUM30" s="910"/>
      <c r="SUN30" s="910"/>
      <c r="SUO30" s="910"/>
      <c r="SUP30" s="910"/>
      <c r="SUQ30" s="910"/>
      <c r="SUR30" s="910"/>
      <c r="SUS30" s="911"/>
      <c r="SUT30" s="911"/>
      <c r="SUU30" s="910"/>
      <c r="SUV30" s="910"/>
      <c r="SUW30" s="910"/>
      <c r="SUX30" s="910"/>
      <c r="SUY30" s="910"/>
      <c r="SUZ30" s="910"/>
      <c r="SVA30" s="910"/>
      <c r="SVB30" s="910"/>
      <c r="SVC30" s="910"/>
      <c r="SVD30" s="911"/>
      <c r="SVE30" s="911"/>
      <c r="SVF30" s="910"/>
      <c r="SVG30" s="910"/>
      <c r="SVH30" s="910"/>
      <c r="SVI30" s="910"/>
      <c r="SVJ30" s="910"/>
      <c r="SVK30" s="910"/>
      <c r="SVL30" s="910"/>
      <c r="SVM30" s="910"/>
      <c r="SVN30" s="910"/>
      <c r="SVO30" s="911"/>
      <c r="SVP30" s="911"/>
      <c r="SVQ30" s="910"/>
      <c r="SVR30" s="910"/>
      <c r="SVS30" s="910"/>
      <c r="SVT30" s="910"/>
      <c r="SVU30" s="910"/>
      <c r="SVV30" s="910"/>
      <c r="SVW30" s="910"/>
      <c r="SVX30" s="910"/>
      <c r="SVY30" s="910"/>
      <c r="SVZ30" s="911"/>
      <c r="SWA30" s="911"/>
      <c r="SWB30" s="910"/>
      <c r="SWC30" s="910"/>
      <c r="SWD30" s="910"/>
      <c r="SWE30" s="910"/>
      <c r="SWF30" s="910"/>
      <c r="SWG30" s="910"/>
      <c r="SWH30" s="910"/>
      <c r="SWI30" s="910"/>
      <c r="SWJ30" s="910"/>
      <c r="SWK30" s="911"/>
      <c r="SWL30" s="911"/>
      <c r="SWM30" s="910"/>
      <c r="SWN30" s="910"/>
      <c r="SWO30" s="910"/>
      <c r="SWP30" s="910"/>
      <c r="SWQ30" s="910"/>
      <c r="SWR30" s="910"/>
      <c r="SWS30" s="910"/>
      <c r="SWT30" s="910"/>
      <c r="SWU30" s="910"/>
      <c r="SWV30" s="911"/>
      <c r="SWW30" s="911"/>
      <c r="SWX30" s="910"/>
      <c r="SWY30" s="910"/>
      <c r="SWZ30" s="910"/>
      <c r="SXA30" s="910"/>
      <c r="SXB30" s="910"/>
      <c r="SXC30" s="910"/>
      <c r="SXD30" s="910"/>
      <c r="SXE30" s="910"/>
      <c r="SXF30" s="910"/>
      <c r="SXG30" s="911"/>
      <c r="SXH30" s="911"/>
      <c r="SXI30" s="910"/>
      <c r="SXJ30" s="910"/>
      <c r="SXK30" s="910"/>
      <c r="SXL30" s="910"/>
      <c r="SXM30" s="910"/>
      <c r="SXN30" s="910"/>
      <c r="SXO30" s="910"/>
      <c r="SXP30" s="910"/>
      <c r="SXQ30" s="910"/>
      <c r="SXR30" s="911"/>
      <c r="SXS30" s="911"/>
      <c r="SXT30" s="910"/>
      <c r="SXU30" s="910"/>
      <c r="SXV30" s="910"/>
      <c r="SXW30" s="910"/>
      <c r="SXX30" s="910"/>
      <c r="SXY30" s="910"/>
      <c r="SXZ30" s="910"/>
      <c r="SYA30" s="910"/>
      <c r="SYB30" s="910"/>
      <c r="SYC30" s="911"/>
      <c r="SYD30" s="911"/>
      <c r="SYE30" s="910"/>
      <c r="SYF30" s="910"/>
      <c r="SYG30" s="910"/>
      <c r="SYH30" s="910"/>
      <c r="SYI30" s="910"/>
      <c r="SYJ30" s="910"/>
      <c r="SYK30" s="910"/>
      <c r="SYL30" s="910"/>
      <c r="SYM30" s="910"/>
      <c r="SYN30" s="911"/>
      <c r="SYO30" s="911"/>
      <c r="SYP30" s="910"/>
      <c r="SYQ30" s="910"/>
      <c r="SYR30" s="910"/>
      <c r="SYS30" s="910"/>
      <c r="SYT30" s="910"/>
      <c r="SYU30" s="910"/>
      <c r="SYV30" s="910"/>
      <c r="SYW30" s="910"/>
      <c r="SYX30" s="910"/>
      <c r="SYY30" s="911"/>
      <c r="SYZ30" s="911"/>
      <c r="SZA30" s="910"/>
      <c r="SZB30" s="910"/>
      <c r="SZC30" s="910"/>
      <c r="SZD30" s="910"/>
      <c r="SZE30" s="910"/>
      <c r="SZF30" s="910"/>
      <c r="SZG30" s="910"/>
      <c r="SZH30" s="910"/>
      <c r="SZI30" s="910"/>
      <c r="SZJ30" s="911"/>
      <c r="SZK30" s="911"/>
      <c r="SZL30" s="910"/>
      <c r="SZM30" s="910"/>
      <c r="SZN30" s="910"/>
      <c r="SZO30" s="910"/>
      <c r="SZP30" s="910"/>
      <c r="SZQ30" s="910"/>
      <c r="SZR30" s="910"/>
      <c r="SZS30" s="910"/>
      <c r="SZT30" s="910"/>
      <c r="SZU30" s="911"/>
      <c r="SZV30" s="911"/>
      <c r="SZW30" s="910"/>
      <c r="SZX30" s="910"/>
      <c r="SZY30" s="910"/>
      <c r="SZZ30" s="910"/>
      <c r="TAA30" s="910"/>
      <c r="TAB30" s="910"/>
      <c r="TAC30" s="910"/>
      <c r="TAD30" s="910"/>
      <c r="TAE30" s="910"/>
      <c r="TAF30" s="911"/>
      <c r="TAG30" s="911"/>
      <c r="TAH30" s="910"/>
      <c r="TAI30" s="910"/>
      <c r="TAJ30" s="910"/>
      <c r="TAK30" s="910"/>
      <c r="TAL30" s="910"/>
      <c r="TAM30" s="910"/>
      <c r="TAN30" s="910"/>
      <c r="TAO30" s="910"/>
      <c r="TAP30" s="910"/>
      <c r="TAQ30" s="911"/>
      <c r="TAR30" s="911"/>
      <c r="TAS30" s="910"/>
      <c r="TAT30" s="910"/>
      <c r="TAU30" s="910"/>
      <c r="TAV30" s="910"/>
      <c r="TAW30" s="910"/>
      <c r="TAX30" s="910"/>
      <c r="TAY30" s="910"/>
      <c r="TAZ30" s="910"/>
      <c r="TBA30" s="910"/>
      <c r="TBB30" s="911"/>
      <c r="TBC30" s="911"/>
      <c r="TBD30" s="910"/>
      <c r="TBE30" s="910"/>
      <c r="TBF30" s="910"/>
      <c r="TBG30" s="910"/>
      <c r="TBH30" s="910"/>
      <c r="TBI30" s="910"/>
      <c r="TBJ30" s="910"/>
      <c r="TBK30" s="910"/>
      <c r="TBL30" s="910"/>
      <c r="TBM30" s="911"/>
      <c r="TBN30" s="911"/>
      <c r="TBO30" s="910"/>
      <c r="TBP30" s="910"/>
      <c r="TBQ30" s="910"/>
      <c r="TBR30" s="910"/>
      <c r="TBS30" s="910"/>
      <c r="TBT30" s="910"/>
      <c r="TBU30" s="910"/>
      <c r="TBV30" s="910"/>
      <c r="TBW30" s="910"/>
      <c r="TBX30" s="911"/>
      <c r="TBY30" s="911"/>
      <c r="TBZ30" s="910"/>
      <c r="TCA30" s="910"/>
      <c r="TCB30" s="910"/>
      <c r="TCC30" s="910"/>
      <c r="TCD30" s="910"/>
      <c r="TCE30" s="910"/>
      <c r="TCF30" s="910"/>
      <c r="TCG30" s="910"/>
      <c r="TCH30" s="910"/>
      <c r="TCI30" s="911"/>
      <c r="TCJ30" s="911"/>
      <c r="TCK30" s="910"/>
      <c r="TCL30" s="910"/>
      <c r="TCM30" s="910"/>
      <c r="TCN30" s="910"/>
      <c r="TCO30" s="910"/>
      <c r="TCP30" s="910"/>
      <c r="TCQ30" s="910"/>
      <c r="TCR30" s="910"/>
      <c r="TCS30" s="910"/>
      <c r="TCT30" s="911"/>
      <c r="TCU30" s="911"/>
      <c r="TCV30" s="910"/>
      <c r="TCW30" s="910"/>
      <c r="TCX30" s="910"/>
      <c r="TCY30" s="910"/>
      <c r="TCZ30" s="910"/>
      <c r="TDA30" s="910"/>
      <c r="TDB30" s="910"/>
      <c r="TDC30" s="910"/>
      <c r="TDD30" s="910"/>
      <c r="TDE30" s="911"/>
      <c r="TDF30" s="911"/>
      <c r="TDG30" s="910"/>
      <c r="TDH30" s="910"/>
      <c r="TDI30" s="910"/>
      <c r="TDJ30" s="910"/>
      <c r="TDK30" s="910"/>
      <c r="TDL30" s="910"/>
      <c r="TDM30" s="910"/>
      <c r="TDN30" s="910"/>
      <c r="TDO30" s="910"/>
      <c r="TDP30" s="911"/>
      <c r="TDQ30" s="911"/>
      <c r="TDR30" s="910"/>
      <c r="TDS30" s="910"/>
      <c r="TDT30" s="910"/>
      <c r="TDU30" s="910"/>
      <c r="TDV30" s="910"/>
      <c r="TDW30" s="910"/>
      <c r="TDX30" s="910"/>
      <c r="TDY30" s="910"/>
      <c r="TDZ30" s="910"/>
      <c r="TEA30" s="911"/>
      <c r="TEB30" s="911"/>
      <c r="TEC30" s="910"/>
      <c r="TED30" s="910"/>
      <c r="TEE30" s="910"/>
      <c r="TEF30" s="910"/>
      <c r="TEG30" s="910"/>
      <c r="TEH30" s="910"/>
      <c r="TEI30" s="910"/>
      <c r="TEJ30" s="910"/>
      <c r="TEK30" s="910"/>
      <c r="TEL30" s="911"/>
      <c r="TEM30" s="911"/>
      <c r="TEN30" s="910"/>
      <c r="TEO30" s="910"/>
      <c r="TEP30" s="910"/>
      <c r="TEQ30" s="910"/>
      <c r="TER30" s="910"/>
      <c r="TES30" s="910"/>
      <c r="TET30" s="910"/>
      <c r="TEU30" s="910"/>
      <c r="TEV30" s="910"/>
      <c r="TEW30" s="911"/>
      <c r="TEX30" s="911"/>
      <c r="TEY30" s="910"/>
      <c r="TEZ30" s="910"/>
      <c r="TFA30" s="910"/>
      <c r="TFB30" s="910"/>
      <c r="TFC30" s="910"/>
      <c r="TFD30" s="910"/>
      <c r="TFE30" s="910"/>
      <c r="TFF30" s="910"/>
      <c r="TFG30" s="910"/>
      <c r="TFH30" s="911"/>
      <c r="TFI30" s="911"/>
      <c r="TFJ30" s="910"/>
      <c r="TFK30" s="910"/>
      <c r="TFL30" s="910"/>
      <c r="TFM30" s="910"/>
      <c r="TFN30" s="910"/>
      <c r="TFO30" s="910"/>
      <c r="TFP30" s="910"/>
      <c r="TFQ30" s="910"/>
      <c r="TFR30" s="910"/>
      <c r="TFS30" s="911"/>
      <c r="TFT30" s="911"/>
      <c r="TFU30" s="910"/>
      <c r="TFV30" s="910"/>
      <c r="TFW30" s="910"/>
      <c r="TFX30" s="910"/>
      <c r="TFY30" s="910"/>
      <c r="TFZ30" s="910"/>
      <c r="TGA30" s="910"/>
      <c r="TGB30" s="910"/>
      <c r="TGC30" s="910"/>
      <c r="TGD30" s="911"/>
      <c r="TGE30" s="911"/>
      <c r="TGF30" s="910"/>
      <c r="TGG30" s="910"/>
      <c r="TGH30" s="910"/>
      <c r="TGI30" s="910"/>
      <c r="TGJ30" s="910"/>
      <c r="TGK30" s="910"/>
      <c r="TGL30" s="910"/>
      <c r="TGM30" s="910"/>
      <c r="TGN30" s="910"/>
      <c r="TGO30" s="911"/>
      <c r="TGP30" s="911"/>
      <c r="TGQ30" s="910"/>
      <c r="TGR30" s="910"/>
      <c r="TGS30" s="910"/>
      <c r="TGT30" s="910"/>
      <c r="TGU30" s="910"/>
      <c r="TGV30" s="910"/>
      <c r="TGW30" s="910"/>
      <c r="TGX30" s="910"/>
      <c r="TGY30" s="910"/>
      <c r="TGZ30" s="911"/>
      <c r="THA30" s="911"/>
      <c r="THB30" s="910"/>
      <c r="THC30" s="910"/>
      <c r="THD30" s="910"/>
      <c r="THE30" s="910"/>
      <c r="THF30" s="910"/>
      <c r="THG30" s="910"/>
      <c r="THH30" s="910"/>
      <c r="THI30" s="910"/>
      <c r="THJ30" s="910"/>
      <c r="THK30" s="911"/>
      <c r="THL30" s="911"/>
      <c r="THM30" s="910"/>
      <c r="THN30" s="910"/>
      <c r="THO30" s="910"/>
      <c r="THP30" s="910"/>
      <c r="THQ30" s="910"/>
      <c r="THR30" s="910"/>
      <c r="THS30" s="910"/>
      <c r="THT30" s="910"/>
      <c r="THU30" s="910"/>
      <c r="THV30" s="911"/>
      <c r="THW30" s="911"/>
      <c r="THX30" s="910"/>
      <c r="THY30" s="910"/>
      <c r="THZ30" s="910"/>
      <c r="TIA30" s="910"/>
      <c r="TIB30" s="910"/>
      <c r="TIC30" s="910"/>
      <c r="TID30" s="910"/>
      <c r="TIE30" s="910"/>
      <c r="TIF30" s="910"/>
      <c r="TIG30" s="911"/>
      <c r="TIH30" s="911"/>
      <c r="TII30" s="910"/>
      <c r="TIJ30" s="910"/>
      <c r="TIK30" s="910"/>
      <c r="TIL30" s="910"/>
      <c r="TIM30" s="910"/>
      <c r="TIN30" s="910"/>
      <c r="TIO30" s="910"/>
      <c r="TIP30" s="910"/>
      <c r="TIQ30" s="910"/>
      <c r="TIR30" s="911"/>
      <c r="TIS30" s="911"/>
      <c r="TIT30" s="910"/>
      <c r="TIU30" s="910"/>
      <c r="TIV30" s="910"/>
      <c r="TIW30" s="910"/>
      <c r="TIX30" s="910"/>
      <c r="TIY30" s="910"/>
      <c r="TIZ30" s="910"/>
      <c r="TJA30" s="910"/>
      <c r="TJB30" s="910"/>
      <c r="TJC30" s="911"/>
      <c r="TJD30" s="911"/>
      <c r="TJE30" s="910"/>
      <c r="TJF30" s="910"/>
      <c r="TJG30" s="910"/>
      <c r="TJH30" s="910"/>
      <c r="TJI30" s="910"/>
      <c r="TJJ30" s="910"/>
      <c r="TJK30" s="910"/>
      <c r="TJL30" s="910"/>
      <c r="TJM30" s="910"/>
      <c r="TJN30" s="911"/>
      <c r="TJO30" s="911"/>
      <c r="TJP30" s="910"/>
      <c r="TJQ30" s="910"/>
      <c r="TJR30" s="910"/>
      <c r="TJS30" s="910"/>
      <c r="TJT30" s="910"/>
      <c r="TJU30" s="910"/>
      <c r="TJV30" s="910"/>
      <c r="TJW30" s="910"/>
      <c r="TJX30" s="910"/>
      <c r="TJY30" s="911"/>
      <c r="TJZ30" s="911"/>
      <c r="TKA30" s="910"/>
      <c r="TKB30" s="910"/>
      <c r="TKC30" s="910"/>
      <c r="TKD30" s="910"/>
      <c r="TKE30" s="910"/>
      <c r="TKF30" s="910"/>
      <c r="TKG30" s="910"/>
      <c r="TKH30" s="910"/>
      <c r="TKI30" s="910"/>
      <c r="TKJ30" s="911"/>
      <c r="TKK30" s="911"/>
      <c r="TKL30" s="910"/>
      <c r="TKM30" s="910"/>
      <c r="TKN30" s="910"/>
      <c r="TKO30" s="910"/>
      <c r="TKP30" s="910"/>
      <c r="TKQ30" s="910"/>
      <c r="TKR30" s="910"/>
      <c r="TKS30" s="910"/>
      <c r="TKT30" s="910"/>
      <c r="TKU30" s="911"/>
      <c r="TKV30" s="911"/>
      <c r="TKW30" s="910"/>
      <c r="TKX30" s="910"/>
      <c r="TKY30" s="910"/>
      <c r="TKZ30" s="910"/>
      <c r="TLA30" s="910"/>
      <c r="TLB30" s="910"/>
      <c r="TLC30" s="910"/>
      <c r="TLD30" s="910"/>
      <c r="TLE30" s="910"/>
      <c r="TLF30" s="911"/>
      <c r="TLG30" s="911"/>
      <c r="TLH30" s="910"/>
      <c r="TLI30" s="910"/>
      <c r="TLJ30" s="910"/>
      <c r="TLK30" s="910"/>
      <c r="TLL30" s="910"/>
      <c r="TLM30" s="910"/>
      <c r="TLN30" s="910"/>
      <c r="TLO30" s="910"/>
      <c r="TLP30" s="910"/>
      <c r="TLQ30" s="911"/>
      <c r="TLR30" s="911"/>
      <c r="TLS30" s="910"/>
      <c r="TLT30" s="910"/>
      <c r="TLU30" s="910"/>
      <c r="TLV30" s="910"/>
      <c r="TLW30" s="910"/>
      <c r="TLX30" s="910"/>
      <c r="TLY30" s="910"/>
      <c r="TLZ30" s="910"/>
      <c r="TMA30" s="910"/>
      <c r="TMB30" s="911"/>
      <c r="TMC30" s="911"/>
      <c r="TMD30" s="910"/>
      <c r="TME30" s="910"/>
      <c r="TMF30" s="910"/>
      <c r="TMG30" s="910"/>
      <c r="TMH30" s="910"/>
      <c r="TMI30" s="910"/>
      <c r="TMJ30" s="910"/>
      <c r="TMK30" s="910"/>
      <c r="TML30" s="910"/>
      <c r="TMM30" s="911"/>
      <c r="TMN30" s="911"/>
      <c r="TMO30" s="910"/>
      <c r="TMP30" s="910"/>
      <c r="TMQ30" s="910"/>
      <c r="TMR30" s="910"/>
      <c r="TMS30" s="910"/>
      <c r="TMT30" s="910"/>
      <c r="TMU30" s="910"/>
      <c r="TMV30" s="910"/>
      <c r="TMW30" s="910"/>
      <c r="TMX30" s="911"/>
      <c r="TMY30" s="911"/>
      <c r="TMZ30" s="910"/>
      <c r="TNA30" s="910"/>
      <c r="TNB30" s="910"/>
      <c r="TNC30" s="910"/>
      <c r="TND30" s="910"/>
      <c r="TNE30" s="910"/>
      <c r="TNF30" s="910"/>
      <c r="TNG30" s="910"/>
      <c r="TNH30" s="910"/>
      <c r="TNI30" s="911"/>
      <c r="TNJ30" s="911"/>
      <c r="TNK30" s="910"/>
      <c r="TNL30" s="910"/>
      <c r="TNM30" s="910"/>
      <c r="TNN30" s="910"/>
      <c r="TNO30" s="910"/>
      <c r="TNP30" s="910"/>
      <c r="TNQ30" s="910"/>
      <c r="TNR30" s="910"/>
      <c r="TNS30" s="910"/>
      <c r="TNT30" s="911"/>
      <c r="TNU30" s="911"/>
      <c r="TNV30" s="910"/>
      <c r="TNW30" s="910"/>
      <c r="TNX30" s="910"/>
      <c r="TNY30" s="910"/>
      <c r="TNZ30" s="910"/>
      <c r="TOA30" s="910"/>
      <c r="TOB30" s="910"/>
      <c r="TOC30" s="910"/>
      <c r="TOD30" s="910"/>
      <c r="TOE30" s="911"/>
      <c r="TOF30" s="911"/>
      <c r="TOG30" s="910"/>
      <c r="TOH30" s="910"/>
      <c r="TOI30" s="910"/>
      <c r="TOJ30" s="910"/>
      <c r="TOK30" s="910"/>
      <c r="TOL30" s="910"/>
      <c r="TOM30" s="910"/>
      <c r="TON30" s="910"/>
      <c r="TOO30" s="910"/>
      <c r="TOP30" s="911"/>
      <c r="TOQ30" s="911"/>
      <c r="TOR30" s="910"/>
      <c r="TOS30" s="910"/>
      <c r="TOT30" s="910"/>
      <c r="TOU30" s="910"/>
      <c r="TOV30" s="910"/>
      <c r="TOW30" s="910"/>
      <c r="TOX30" s="910"/>
      <c r="TOY30" s="910"/>
      <c r="TOZ30" s="910"/>
      <c r="TPA30" s="911"/>
      <c r="TPB30" s="911"/>
      <c r="TPC30" s="910"/>
      <c r="TPD30" s="910"/>
      <c r="TPE30" s="910"/>
      <c r="TPF30" s="910"/>
      <c r="TPG30" s="910"/>
      <c r="TPH30" s="910"/>
      <c r="TPI30" s="910"/>
      <c r="TPJ30" s="910"/>
      <c r="TPK30" s="910"/>
      <c r="TPL30" s="911"/>
      <c r="TPM30" s="911"/>
      <c r="TPN30" s="910"/>
      <c r="TPO30" s="910"/>
      <c r="TPP30" s="910"/>
      <c r="TPQ30" s="910"/>
      <c r="TPR30" s="910"/>
      <c r="TPS30" s="910"/>
      <c r="TPT30" s="910"/>
      <c r="TPU30" s="910"/>
      <c r="TPV30" s="910"/>
      <c r="TPW30" s="911"/>
      <c r="TPX30" s="911"/>
      <c r="TPY30" s="910"/>
      <c r="TPZ30" s="910"/>
      <c r="TQA30" s="910"/>
      <c r="TQB30" s="910"/>
      <c r="TQC30" s="910"/>
      <c r="TQD30" s="910"/>
      <c r="TQE30" s="910"/>
      <c r="TQF30" s="910"/>
      <c r="TQG30" s="910"/>
      <c r="TQH30" s="911"/>
      <c r="TQI30" s="911"/>
      <c r="TQJ30" s="910"/>
      <c r="TQK30" s="910"/>
      <c r="TQL30" s="910"/>
      <c r="TQM30" s="910"/>
      <c r="TQN30" s="910"/>
      <c r="TQO30" s="910"/>
      <c r="TQP30" s="910"/>
      <c r="TQQ30" s="910"/>
      <c r="TQR30" s="910"/>
      <c r="TQS30" s="911"/>
      <c r="TQT30" s="911"/>
      <c r="TQU30" s="910"/>
      <c r="TQV30" s="910"/>
      <c r="TQW30" s="910"/>
      <c r="TQX30" s="910"/>
      <c r="TQY30" s="910"/>
      <c r="TQZ30" s="910"/>
      <c r="TRA30" s="910"/>
      <c r="TRB30" s="910"/>
      <c r="TRC30" s="910"/>
      <c r="TRD30" s="911"/>
      <c r="TRE30" s="911"/>
      <c r="TRF30" s="910"/>
      <c r="TRG30" s="910"/>
      <c r="TRH30" s="910"/>
      <c r="TRI30" s="910"/>
      <c r="TRJ30" s="910"/>
      <c r="TRK30" s="910"/>
      <c r="TRL30" s="910"/>
      <c r="TRM30" s="910"/>
      <c r="TRN30" s="910"/>
      <c r="TRO30" s="911"/>
      <c r="TRP30" s="911"/>
      <c r="TRQ30" s="910"/>
      <c r="TRR30" s="910"/>
      <c r="TRS30" s="910"/>
      <c r="TRT30" s="910"/>
      <c r="TRU30" s="910"/>
      <c r="TRV30" s="910"/>
      <c r="TRW30" s="910"/>
      <c r="TRX30" s="910"/>
      <c r="TRY30" s="910"/>
      <c r="TRZ30" s="911"/>
      <c r="TSA30" s="911"/>
      <c r="TSB30" s="910"/>
      <c r="TSC30" s="910"/>
      <c r="TSD30" s="910"/>
      <c r="TSE30" s="910"/>
      <c r="TSF30" s="910"/>
      <c r="TSG30" s="910"/>
      <c r="TSH30" s="910"/>
      <c r="TSI30" s="910"/>
      <c r="TSJ30" s="910"/>
      <c r="TSK30" s="911"/>
      <c r="TSL30" s="911"/>
      <c r="TSM30" s="910"/>
      <c r="TSN30" s="910"/>
      <c r="TSO30" s="910"/>
      <c r="TSP30" s="910"/>
      <c r="TSQ30" s="910"/>
      <c r="TSR30" s="910"/>
      <c r="TSS30" s="910"/>
      <c r="TST30" s="910"/>
      <c r="TSU30" s="910"/>
      <c r="TSV30" s="911"/>
      <c r="TSW30" s="911"/>
      <c r="TSX30" s="910"/>
      <c r="TSY30" s="910"/>
      <c r="TSZ30" s="910"/>
      <c r="TTA30" s="910"/>
      <c r="TTB30" s="910"/>
      <c r="TTC30" s="910"/>
      <c r="TTD30" s="910"/>
      <c r="TTE30" s="910"/>
      <c r="TTF30" s="910"/>
      <c r="TTG30" s="911"/>
      <c r="TTH30" s="911"/>
      <c r="TTI30" s="910"/>
      <c r="TTJ30" s="910"/>
      <c r="TTK30" s="910"/>
      <c r="TTL30" s="910"/>
      <c r="TTM30" s="910"/>
      <c r="TTN30" s="910"/>
      <c r="TTO30" s="910"/>
      <c r="TTP30" s="910"/>
      <c r="TTQ30" s="910"/>
      <c r="TTR30" s="911"/>
      <c r="TTS30" s="911"/>
      <c r="TTT30" s="910"/>
      <c r="TTU30" s="910"/>
      <c r="TTV30" s="910"/>
      <c r="TTW30" s="910"/>
      <c r="TTX30" s="910"/>
      <c r="TTY30" s="910"/>
      <c r="TTZ30" s="910"/>
      <c r="TUA30" s="910"/>
      <c r="TUB30" s="910"/>
      <c r="TUC30" s="911"/>
      <c r="TUD30" s="911"/>
      <c r="TUE30" s="910"/>
      <c r="TUF30" s="910"/>
      <c r="TUG30" s="910"/>
      <c r="TUH30" s="910"/>
      <c r="TUI30" s="910"/>
      <c r="TUJ30" s="910"/>
      <c r="TUK30" s="910"/>
      <c r="TUL30" s="910"/>
      <c r="TUM30" s="910"/>
      <c r="TUN30" s="911"/>
      <c r="TUO30" s="911"/>
      <c r="TUP30" s="910"/>
      <c r="TUQ30" s="910"/>
      <c r="TUR30" s="910"/>
      <c r="TUS30" s="910"/>
      <c r="TUT30" s="910"/>
      <c r="TUU30" s="910"/>
      <c r="TUV30" s="910"/>
      <c r="TUW30" s="910"/>
      <c r="TUX30" s="910"/>
      <c r="TUY30" s="911"/>
      <c r="TUZ30" s="911"/>
      <c r="TVA30" s="910"/>
      <c r="TVB30" s="910"/>
      <c r="TVC30" s="910"/>
      <c r="TVD30" s="910"/>
      <c r="TVE30" s="910"/>
      <c r="TVF30" s="910"/>
      <c r="TVG30" s="910"/>
      <c r="TVH30" s="910"/>
      <c r="TVI30" s="910"/>
      <c r="TVJ30" s="911"/>
      <c r="TVK30" s="911"/>
      <c r="TVL30" s="910"/>
      <c r="TVM30" s="910"/>
      <c r="TVN30" s="910"/>
      <c r="TVO30" s="910"/>
      <c r="TVP30" s="910"/>
      <c r="TVQ30" s="910"/>
      <c r="TVR30" s="910"/>
      <c r="TVS30" s="910"/>
      <c r="TVT30" s="910"/>
      <c r="TVU30" s="911"/>
      <c r="TVV30" s="911"/>
      <c r="TVW30" s="910"/>
      <c r="TVX30" s="910"/>
      <c r="TVY30" s="910"/>
      <c r="TVZ30" s="910"/>
      <c r="TWA30" s="910"/>
      <c r="TWB30" s="910"/>
      <c r="TWC30" s="910"/>
      <c r="TWD30" s="910"/>
      <c r="TWE30" s="910"/>
      <c r="TWF30" s="911"/>
      <c r="TWG30" s="911"/>
      <c r="TWH30" s="910"/>
      <c r="TWI30" s="910"/>
      <c r="TWJ30" s="910"/>
      <c r="TWK30" s="910"/>
      <c r="TWL30" s="910"/>
      <c r="TWM30" s="910"/>
      <c r="TWN30" s="910"/>
      <c r="TWO30" s="910"/>
      <c r="TWP30" s="910"/>
      <c r="TWQ30" s="911"/>
      <c r="TWR30" s="911"/>
      <c r="TWS30" s="910"/>
      <c r="TWT30" s="910"/>
      <c r="TWU30" s="910"/>
      <c r="TWV30" s="910"/>
      <c r="TWW30" s="910"/>
      <c r="TWX30" s="910"/>
      <c r="TWY30" s="910"/>
      <c r="TWZ30" s="910"/>
      <c r="TXA30" s="910"/>
      <c r="TXB30" s="911"/>
      <c r="TXC30" s="911"/>
      <c r="TXD30" s="910"/>
      <c r="TXE30" s="910"/>
      <c r="TXF30" s="910"/>
      <c r="TXG30" s="910"/>
      <c r="TXH30" s="910"/>
      <c r="TXI30" s="910"/>
      <c r="TXJ30" s="910"/>
      <c r="TXK30" s="910"/>
      <c r="TXL30" s="910"/>
      <c r="TXM30" s="911"/>
      <c r="TXN30" s="911"/>
      <c r="TXO30" s="910"/>
      <c r="TXP30" s="910"/>
      <c r="TXQ30" s="910"/>
      <c r="TXR30" s="910"/>
      <c r="TXS30" s="910"/>
      <c r="TXT30" s="910"/>
      <c r="TXU30" s="910"/>
      <c r="TXV30" s="910"/>
      <c r="TXW30" s="910"/>
      <c r="TXX30" s="911"/>
      <c r="TXY30" s="911"/>
      <c r="TXZ30" s="910"/>
      <c r="TYA30" s="910"/>
      <c r="TYB30" s="910"/>
      <c r="TYC30" s="910"/>
      <c r="TYD30" s="910"/>
      <c r="TYE30" s="910"/>
      <c r="TYF30" s="910"/>
      <c r="TYG30" s="910"/>
      <c r="TYH30" s="910"/>
      <c r="TYI30" s="911"/>
      <c r="TYJ30" s="911"/>
      <c r="TYK30" s="910"/>
      <c r="TYL30" s="910"/>
      <c r="TYM30" s="910"/>
      <c r="TYN30" s="910"/>
      <c r="TYO30" s="910"/>
      <c r="TYP30" s="910"/>
      <c r="TYQ30" s="910"/>
      <c r="TYR30" s="910"/>
      <c r="TYS30" s="910"/>
      <c r="TYT30" s="911"/>
      <c r="TYU30" s="911"/>
      <c r="TYV30" s="910"/>
      <c r="TYW30" s="910"/>
      <c r="TYX30" s="910"/>
      <c r="TYY30" s="910"/>
      <c r="TYZ30" s="910"/>
      <c r="TZA30" s="910"/>
      <c r="TZB30" s="910"/>
      <c r="TZC30" s="910"/>
      <c r="TZD30" s="910"/>
      <c r="TZE30" s="911"/>
      <c r="TZF30" s="911"/>
      <c r="TZG30" s="910"/>
      <c r="TZH30" s="910"/>
      <c r="TZI30" s="910"/>
      <c r="TZJ30" s="910"/>
      <c r="TZK30" s="910"/>
      <c r="TZL30" s="910"/>
      <c r="TZM30" s="910"/>
      <c r="TZN30" s="910"/>
      <c r="TZO30" s="910"/>
      <c r="TZP30" s="911"/>
      <c r="TZQ30" s="911"/>
      <c r="TZR30" s="910"/>
      <c r="TZS30" s="910"/>
      <c r="TZT30" s="910"/>
      <c r="TZU30" s="910"/>
      <c r="TZV30" s="910"/>
      <c r="TZW30" s="910"/>
      <c r="TZX30" s="910"/>
      <c r="TZY30" s="910"/>
      <c r="TZZ30" s="910"/>
      <c r="UAA30" s="911"/>
      <c r="UAB30" s="911"/>
      <c r="UAC30" s="910"/>
      <c r="UAD30" s="910"/>
      <c r="UAE30" s="910"/>
      <c r="UAF30" s="910"/>
      <c r="UAG30" s="910"/>
      <c r="UAH30" s="910"/>
      <c r="UAI30" s="910"/>
      <c r="UAJ30" s="910"/>
      <c r="UAK30" s="910"/>
      <c r="UAL30" s="911"/>
      <c r="UAM30" s="911"/>
      <c r="UAN30" s="910"/>
      <c r="UAO30" s="910"/>
      <c r="UAP30" s="910"/>
      <c r="UAQ30" s="910"/>
      <c r="UAR30" s="910"/>
      <c r="UAS30" s="910"/>
      <c r="UAT30" s="910"/>
      <c r="UAU30" s="910"/>
      <c r="UAV30" s="910"/>
      <c r="UAW30" s="911"/>
      <c r="UAX30" s="911"/>
      <c r="UAY30" s="910"/>
      <c r="UAZ30" s="910"/>
      <c r="UBA30" s="910"/>
      <c r="UBB30" s="910"/>
      <c r="UBC30" s="910"/>
      <c r="UBD30" s="910"/>
      <c r="UBE30" s="910"/>
      <c r="UBF30" s="910"/>
      <c r="UBG30" s="910"/>
      <c r="UBH30" s="911"/>
      <c r="UBI30" s="911"/>
      <c r="UBJ30" s="910"/>
      <c r="UBK30" s="910"/>
      <c r="UBL30" s="910"/>
      <c r="UBM30" s="910"/>
      <c r="UBN30" s="910"/>
      <c r="UBO30" s="910"/>
      <c r="UBP30" s="910"/>
      <c r="UBQ30" s="910"/>
      <c r="UBR30" s="910"/>
      <c r="UBS30" s="911"/>
      <c r="UBT30" s="911"/>
      <c r="UBU30" s="910"/>
      <c r="UBV30" s="910"/>
      <c r="UBW30" s="910"/>
      <c r="UBX30" s="910"/>
      <c r="UBY30" s="910"/>
      <c r="UBZ30" s="910"/>
      <c r="UCA30" s="910"/>
      <c r="UCB30" s="910"/>
      <c r="UCC30" s="910"/>
      <c r="UCD30" s="911"/>
      <c r="UCE30" s="911"/>
      <c r="UCF30" s="910"/>
      <c r="UCG30" s="910"/>
      <c r="UCH30" s="910"/>
      <c r="UCI30" s="910"/>
      <c r="UCJ30" s="910"/>
      <c r="UCK30" s="910"/>
      <c r="UCL30" s="910"/>
      <c r="UCM30" s="910"/>
      <c r="UCN30" s="910"/>
      <c r="UCO30" s="911"/>
      <c r="UCP30" s="911"/>
      <c r="UCQ30" s="910"/>
      <c r="UCR30" s="910"/>
      <c r="UCS30" s="910"/>
      <c r="UCT30" s="910"/>
      <c r="UCU30" s="910"/>
      <c r="UCV30" s="910"/>
      <c r="UCW30" s="910"/>
      <c r="UCX30" s="910"/>
      <c r="UCY30" s="910"/>
      <c r="UCZ30" s="911"/>
      <c r="UDA30" s="911"/>
      <c r="UDB30" s="910"/>
      <c r="UDC30" s="910"/>
      <c r="UDD30" s="910"/>
      <c r="UDE30" s="910"/>
      <c r="UDF30" s="910"/>
      <c r="UDG30" s="910"/>
      <c r="UDH30" s="910"/>
      <c r="UDI30" s="910"/>
      <c r="UDJ30" s="910"/>
      <c r="UDK30" s="911"/>
      <c r="UDL30" s="911"/>
      <c r="UDM30" s="910"/>
      <c r="UDN30" s="910"/>
      <c r="UDO30" s="910"/>
      <c r="UDP30" s="910"/>
      <c r="UDQ30" s="910"/>
      <c r="UDR30" s="910"/>
      <c r="UDS30" s="910"/>
      <c r="UDT30" s="910"/>
      <c r="UDU30" s="910"/>
      <c r="UDV30" s="911"/>
      <c r="UDW30" s="911"/>
      <c r="UDX30" s="910"/>
      <c r="UDY30" s="910"/>
      <c r="UDZ30" s="910"/>
      <c r="UEA30" s="910"/>
      <c r="UEB30" s="910"/>
      <c r="UEC30" s="910"/>
      <c r="UED30" s="910"/>
      <c r="UEE30" s="910"/>
      <c r="UEF30" s="910"/>
      <c r="UEG30" s="911"/>
      <c r="UEH30" s="911"/>
      <c r="UEI30" s="910"/>
      <c r="UEJ30" s="910"/>
      <c r="UEK30" s="910"/>
      <c r="UEL30" s="910"/>
      <c r="UEM30" s="910"/>
      <c r="UEN30" s="910"/>
      <c r="UEO30" s="910"/>
      <c r="UEP30" s="910"/>
      <c r="UEQ30" s="910"/>
      <c r="UER30" s="911"/>
      <c r="UES30" s="911"/>
      <c r="UET30" s="910"/>
      <c r="UEU30" s="910"/>
      <c r="UEV30" s="910"/>
      <c r="UEW30" s="910"/>
      <c r="UEX30" s="910"/>
      <c r="UEY30" s="910"/>
      <c r="UEZ30" s="910"/>
      <c r="UFA30" s="910"/>
      <c r="UFB30" s="910"/>
      <c r="UFC30" s="911"/>
      <c r="UFD30" s="911"/>
      <c r="UFE30" s="910"/>
      <c r="UFF30" s="910"/>
      <c r="UFG30" s="910"/>
      <c r="UFH30" s="910"/>
      <c r="UFI30" s="910"/>
      <c r="UFJ30" s="910"/>
      <c r="UFK30" s="910"/>
      <c r="UFL30" s="910"/>
      <c r="UFM30" s="910"/>
      <c r="UFN30" s="911"/>
      <c r="UFO30" s="911"/>
      <c r="UFP30" s="910"/>
      <c r="UFQ30" s="910"/>
      <c r="UFR30" s="910"/>
      <c r="UFS30" s="910"/>
      <c r="UFT30" s="910"/>
      <c r="UFU30" s="910"/>
      <c r="UFV30" s="910"/>
      <c r="UFW30" s="910"/>
      <c r="UFX30" s="910"/>
      <c r="UFY30" s="911"/>
      <c r="UFZ30" s="911"/>
      <c r="UGA30" s="910"/>
      <c r="UGB30" s="910"/>
      <c r="UGC30" s="910"/>
      <c r="UGD30" s="910"/>
      <c r="UGE30" s="910"/>
      <c r="UGF30" s="910"/>
      <c r="UGG30" s="910"/>
      <c r="UGH30" s="910"/>
      <c r="UGI30" s="910"/>
      <c r="UGJ30" s="911"/>
      <c r="UGK30" s="911"/>
      <c r="UGL30" s="910"/>
      <c r="UGM30" s="910"/>
      <c r="UGN30" s="910"/>
      <c r="UGO30" s="910"/>
      <c r="UGP30" s="910"/>
      <c r="UGQ30" s="910"/>
      <c r="UGR30" s="910"/>
      <c r="UGS30" s="910"/>
      <c r="UGT30" s="910"/>
      <c r="UGU30" s="911"/>
      <c r="UGV30" s="911"/>
      <c r="UGW30" s="910"/>
      <c r="UGX30" s="910"/>
      <c r="UGY30" s="910"/>
      <c r="UGZ30" s="910"/>
      <c r="UHA30" s="910"/>
      <c r="UHB30" s="910"/>
      <c r="UHC30" s="910"/>
      <c r="UHD30" s="910"/>
      <c r="UHE30" s="910"/>
      <c r="UHF30" s="911"/>
      <c r="UHG30" s="911"/>
      <c r="UHH30" s="910"/>
      <c r="UHI30" s="910"/>
      <c r="UHJ30" s="910"/>
      <c r="UHK30" s="910"/>
      <c r="UHL30" s="910"/>
      <c r="UHM30" s="910"/>
      <c r="UHN30" s="910"/>
      <c r="UHO30" s="910"/>
      <c r="UHP30" s="910"/>
      <c r="UHQ30" s="911"/>
      <c r="UHR30" s="911"/>
      <c r="UHS30" s="910"/>
      <c r="UHT30" s="910"/>
      <c r="UHU30" s="910"/>
      <c r="UHV30" s="910"/>
      <c r="UHW30" s="910"/>
      <c r="UHX30" s="910"/>
      <c r="UHY30" s="910"/>
      <c r="UHZ30" s="910"/>
      <c r="UIA30" s="910"/>
      <c r="UIB30" s="911"/>
      <c r="UIC30" s="911"/>
      <c r="UID30" s="910"/>
      <c r="UIE30" s="910"/>
      <c r="UIF30" s="910"/>
      <c r="UIG30" s="910"/>
      <c r="UIH30" s="910"/>
      <c r="UII30" s="910"/>
      <c r="UIJ30" s="910"/>
      <c r="UIK30" s="910"/>
      <c r="UIL30" s="910"/>
      <c r="UIM30" s="911"/>
      <c r="UIN30" s="911"/>
      <c r="UIO30" s="910"/>
      <c r="UIP30" s="910"/>
      <c r="UIQ30" s="910"/>
      <c r="UIR30" s="910"/>
      <c r="UIS30" s="910"/>
      <c r="UIT30" s="910"/>
      <c r="UIU30" s="910"/>
      <c r="UIV30" s="910"/>
      <c r="UIW30" s="910"/>
      <c r="UIX30" s="911"/>
      <c r="UIY30" s="911"/>
      <c r="UIZ30" s="910"/>
      <c r="UJA30" s="910"/>
      <c r="UJB30" s="910"/>
      <c r="UJC30" s="910"/>
      <c r="UJD30" s="910"/>
      <c r="UJE30" s="910"/>
      <c r="UJF30" s="910"/>
      <c r="UJG30" s="910"/>
      <c r="UJH30" s="910"/>
      <c r="UJI30" s="911"/>
      <c r="UJJ30" s="911"/>
      <c r="UJK30" s="910"/>
      <c r="UJL30" s="910"/>
      <c r="UJM30" s="910"/>
      <c r="UJN30" s="910"/>
      <c r="UJO30" s="910"/>
      <c r="UJP30" s="910"/>
      <c r="UJQ30" s="910"/>
      <c r="UJR30" s="910"/>
      <c r="UJS30" s="910"/>
      <c r="UJT30" s="911"/>
      <c r="UJU30" s="911"/>
      <c r="UJV30" s="910"/>
      <c r="UJW30" s="910"/>
      <c r="UJX30" s="910"/>
      <c r="UJY30" s="910"/>
      <c r="UJZ30" s="910"/>
      <c r="UKA30" s="910"/>
      <c r="UKB30" s="910"/>
      <c r="UKC30" s="910"/>
      <c r="UKD30" s="910"/>
      <c r="UKE30" s="911"/>
      <c r="UKF30" s="911"/>
      <c r="UKG30" s="910"/>
      <c r="UKH30" s="910"/>
      <c r="UKI30" s="910"/>
      <c r="UKJ30" s="910"/>
      <c r="UKK30" s="910"/>
      <c r="UKL30" s="910"/>
      <c r="UKM30" s="910"/>
      <c r="UKN30" s="910"/>
      <c r="UKO30" s="910"/>
      <c r="UKP30" s="911"/>
      <c r="UKQ30" s="911"/>
      <c r="UKR30" s="910"/>
      <c r="UKS30" s="910"/>
      <c r="UKT30" s="910"/>
      <c r="UKU30" s="910"/>
      <c r="UKV30" s="910"/>
      <c r="UKW30" s="910"/>
      <c r="UKX30" s="910"/>
      <c r="UKY30" s="910"/>
      <c r="UKZ30" s="910"/>
      <c r="ULA30" s="911"/>
      <c r="ULB30" s="911"/>
      <c r="ULC30" s="910"/>
      <c r="ULD30" s="910"/>
      <c r="ULE30" s="910"/>
      <c r="ULF30" s="910"/>
      <c r="ULG30" s="910"/>
      <c r="ULH30" s="910"/>
      <c r="ULI30" s="910"/>
      <c r="ULJ30" s="910"/>
      <c r="ULK30" s="910"/>
      <c r="ULL30" s="911"/>
      <c r="ULM30" s="911"/>
      <c r="ULN30" s="910"/>
      <c r="ULO30" s="910"/>
      <c r="ULP30" s="910"/>
      <c r="ULQ30" s="910"/>
      <c r="ULR30" s="910"/>
      <c r="ULS30" s="910"/>
      <c r="ULT30" s="910"/>
      <c r="ULU30" s="910"/>
      <c r="ULV30" s="910"/>
      <c r="ULW30" s="911"/>
      <c r="ULX30" s="911"/>
      <c r="ULY30" s="910"/>
      <c r="ULZ30" s="910"/>
      <c r="UMA30" s="910"/>
      <c r="UMB30" s="910"/>
      <c r="UMC30" s="910"/>
      <c r="UMD30" s="910"/>
      <c r="UME30" s="910"/>
      <c r="UMF30" s="910"/>
      <c r="UMG30" s="910"/>
      <c r="UMH30" s="911"/>
      <c r="UMI30" s="911"/>
      <c r="UMJ30" s="910"/>
      <c r="UMK30" s="910"/>
      <c r="UML30" s="910"/>
      <c r="UMM30" s="910"/>
      <c r="UMN30" s="910"/>
      <c r="UMO30" s="910"/>
      <c r="UMP30" s="910"/>
      <c r="UMQ30" s="910"/>
      <c r="UMR30" s="910"/>
      <c r="UMS30" s="911"/>
      <c r="UMT30" s="911"/>
      <c r="UMU30" s="910"/>
      <c r="UMV30" s="910"/>
      <c r="UMW30" s="910"/>
      <c r="UMX30" s="910"/>
      <c r="UMY30" s="910"/>
      <c r="UMZ30" s="910"/>
      <c r="UNA30" s="910"/>
      <c r="UNB30" s="910"/>
      <c r="UNC30" s="910"/>
      <c r="UND30" s="911"/>
      <c r="UNE30" s="911"/>
      <c r="UNF30" s="910"/>
      <c r="UNG30" s="910"/>
      <c r="UNH30" s="910"/>
      <c r="UNI30" s="910"/>
      <c r="UNJ30" s="910"/>
      <c r="UNK30" s="910"/>
      <c r="UNL30" s="910"/>
      <c r="UNM30" s="910"/>
      <c r="UNN30" s="910"/>
      <c r="UNO30" s="911"/>
      <c r="UNP30" s="911"/>
      <c r="UNQ30" s="910"/>
      <c r="UNR30" s="910"/>
      <c r="UNS30" s="910"/>
      <c r="UNT30" s="910"/>
      <c r="UNU30" s="910"/>
      <c r="UNV30" s="910"/>
      <c r="UNW30" s="910"/>
      <c r="UNX30" s="910"/>
      <c r="UNY30" s="910"/>
      <c r="UNZ30" s="911"/>
      <c r="UOA30" s="911"/>
      <c r="UOB30" s="910"/>
      <c r="UOC30" s="910"/>
      <c r="UOD30" s="910"/>
      <c r="UOE30" s="910"/>
      <c r="UOF30" s="910"/>
      <c r="UOG30" s="910"/>
      <c r="UOH30" s="910"/>
      <c r="UOI30" s="910"/>
      <c r="UOJ30" s="910"/>
      <c r="UOK30" s="911"/>
      <c r="UOL30" s="911"/>
      <c r="UOM30" s="910"/>
      <c r="UON30" s="910"/>
      <c r="UOO30" s="910"/>
      <c r="UOP30" s="910"/>
      <c r="UOQ30" s="910"/>
      <c r="UOR30" s="910"/>
      <c r="UOS30" s="910"/>
      <c r="UOT30" s="910"/>
      <c r="UOU30" s="910"/>
      <c r="UOV30" s="911"/>
      <c r="UOW30" s="911"/>
      <c r="UOX30" s="910"/>
      <c r="UOY30" s="910"/>
      <c r="UOZ30" s="910"/>
      <c r="UPA30" s="910"/>
      <c r="UPB30" s="910"/>
      <c r="UPC30" s="910"/>
      <c r="UPD30" s="910"/>
      <c r="UPE30" s="910"/>
      <c r="UPF30" s="910"/>
      <c r="UPG30" s="911"/>
      <c r="UPH30" s="911"/>
      <c r="UPI30" s="910"/>
      <c r="UPJ30" s="910"/>
      <c r="UPK30" s="910"/>
      <c r="UPL30" s="910"/>
      <c r="UPM30" s="910"/>
      <c r="UPN30" s="910"/>
      <c r="UPO30" s="910"/>
      <c r="UPP30" s="910"/>
      <c r="UPQ30" s="910"/>
      <c r="UPR30" s="911"/>
      <c r="UPS30" s="911"/>
      <c r="UPT30" s="910"/>
      <c r="UPU30" s="910"/>
      <c r="UPV30" s="910"/>
      <c r="UPW30" s="910"/>
      <c r="UPX30" s="910"/>
      <c r="UPY30" s="910"/>
      <c r="UPZ30" s="910"/>
      <c r="UQA30" s="910"/>
      <c r="UQB30" s="910"/>
      <c r="UQC30" s="911"/>
      <c r="UQD30" s="911"/>
      <c r="UQE30" s="910"/>
      <c r="UQF30" s="910"/>
      <c r="UQG30" s="910"/>
      <c r="UQH30" s="910"/>
      <c r="UQI30" s="910"/>
      <c r="UQJ30" s="910"/>
      <c r="UQK30" s="910"/>
      <c r="UQL30" s="910"/>
      <c r="UQM30" s="910"/>
      <c r="UQN30" s="911"/>
      <c r="UQO30" s="911"/>
      <c r="UQP30" s="910"/>
      <c r="UQQ30" s="910"/>
      <c r="UQR30" s="910"/>
      <c r="UQS30" s="910"/>
      <c r="UQT30" s="910"/>
      <c r="UQU30" s="910"/>
      <c r="UQV30" s="910"/>
      <c r="UQW30" s="910"/>
      <c r="UQX30" s="910"/>
      <c r="UQY30" s="911"/>
      <c r="UQZ30" s="911"/>
      <c r="URA30" s="910"/>
      <c r="URB30" s="910"/>
      <c r="URC30" s="910"/>
      <c r="URD30" s="910"/>
      <c r="URE30" s="910"/>
      <c r="URF30" s="910"/>
      <c r="URG30" s="910"/>
      <c r="URH30" s="910"/>
      <c r="URI30" s="910"/>
      <c r="URJ30" s="911"/>
      <c r="URK30" s="911"/>
      <c r="URL30" s="910"/>
      <c r="URM30" s="910"/>
      <c r="URN30" s="910"/>
      <c r="URO30" s="910"/>
      <c r="URP30" s="910"/>
      <c r="URQ30" s="910"/>
      <c r="URR30" s="910"/>
      <c r="URS30" s="910"/>
      <c r="URT30" s="910"/>
      <c r="URU30" s="911"/>
      <c r="URV30" s="911"/>
      <c r="URW30" s="910"/>
      <c r="URX30" s="910"/>
      <c r="URY30" s="910"/>
      <c r="URZ30" s="910"/>
      <c r="USA30" s="910"/>
      <c r="USB30" s="910"/>
      <c r="USC30" s="910"/>
      <c r="USD30" s="910"/>
      <c r="USE30" s="910"/>
      <c r="USF30" s="911"/>
      <c r="USG30" s="911"/>
      <c r="USH30" s="910"/>
      <c r="USI30" s="910"/>
      <c r="USJ30" s="910"/>
      <c r="USK30" s="910"/>
      <c r="USL30" s="910"/>
      <c r="USM30" s="910"/>
      <c r="USN30" s="910"/>
      <c r="USO30" s="910"/>
      <c r="USP30" s="910"/>
      <c r="USQ30" s="911"/>
      <c r="USR30" s="911"/>
      <c r="USS30" s="910"/>
      <c r="UST30" s="910"/>
      <c r="USU30" s="910"/>
      <c r="USV30" s="910"/>
      <c r="USW30" s="910"/>
      <c r="USX30" s="910"/>
      <c r="USY30" s="910"/>
      <c r="USZ30" s="910"/>
      <c r="UTA30" s="910"/>
      <c r="UTB30" s="911"/>
      <c r="UTC30" s="911"/>
      <c r="UTD30" s="910"/>
      <c r="UTE30" s="910"/>
      <c r="UTF30" s="910"/>
      <c r="UTG30" s="910"/>
      <c r="UTH30" s="910"/>
      <c r="UTI30" s="910"/>
      <c r="UTJ30" s="910"/>
      <c r="UTK30" s="910"/>
      <c r="UTL30" s="910"/>
      <c r="UTM30" s="911"/>
      <c r="UTN30" s="911"/>
      <c r="UTO30" s="910"/>
      <c r="UTP30" s="910"/>
      <c r="UTQ30" s="910"/>
      <c r="UTR30" s="910"/>
      <c r="UTS30" s="910"/>
      <c r="UTT30" s="910"/>
      <c r="UTU30" s="910"/>
      <c r="UTV30" s="910"/>
      <c r="UTW30" s="910"/>
      <c r="UTX30" s="911"/>
      <c r="UTY30" s="911"/>
      <c r="UTZ30" s="910"/>
      <c r="UUA30" s="910"/>
      <c r="UUB30" s="910"/>
      <c r="UUC30" s="910"/>
      <c r="UUD30" s="910"/>
      <c r="UUE30" s="910"/>
      <c r="UUF30" s="910"/>
      <c r="UUG30" s="910"/>
      <c r="UUH30" s="910"/>
      <c r="UUI30" s="911"/>
      <c r="UUJ30" s="911"/>
      <c r="UUK30" s="910"/>
      <c r="UUL30" s="910"/>
      <c r="UUM30" s="910"/>
      <c r="UUN30" s="910"/>
      <c r="UUO30" s="910"/>
      <c r="UUP30" s="910"/>
      <c r="UUQ30" s="910"/>
      <c r="UUR30" s="910"/>
      <c r="UUS30" s="910"/>
      <c r="UUT30" s="911"/>
      <c r="UUU30" s="911"/>
      <c r="UUV30" s="910"/>
      <c r="UUW30" s="910"/>
      <c r="UUX30" s="910"/>
      <c r="UUY30" s="910"/>
      <c r="UUZ30" s="910"/>
      <c r="UVA30" s="910"/>
      <c r="UVB30" s="910"/>
      <c r="UVC30" s="910"/>
      <c r="UVD30" s="910"/>
      <c r="UVE30" s="911"/>
      <c r="UVF30" s="911"/>
      <c r="UVG30" s="910"/>
      <c r="UVH30" s="910"/>
      <c r="UVI30" s="910"/>
      <c r="UVJ30" s="910"/>
      <c r="UVK30" s="910"/>
      <c r="UVL30" s="910"/>
      <c r="UVM30" s="910"/>
      <c r="UVN30" s="910"/>
      <c r="UVO30" s="910"/>
      <c r="UVP30" s="911"/>
      <c r="UVQ30" s="911"/>
      <c r="UVR30" s="910"/>
      <c r="UVS30" s="910"/>
      <c r="UVT30" s="910"/>
      <c r="UVU30" s="910"/>
      <c r="UVV30" s="910"/>
      <c r="UVW30" s="910"/>
      <c r="UVX30" s="910"/>
      <c r="UVY30" s="910"/>
      <c r="UVZ30" s="910"/>
      <c r="UWA30" s="911"/>
      <c r="UWB30" s="911"/>
      <c r="UWC30" s="910"/>
      <c r="UWD30" s="910"/>
      <c r="UWE30" s="910"/>
      <c r="UWF30" s="910"/>
      <c r="UWG30" s="910"/>
      <c r="UWH30" s="910"/>
      <c r="UWI30" s="910"/>
      <c r="UWJ30" s="910"/>
      <c r="UWK30" s="910"/>
      <c r="UWL30" s="911"/>
      <c r="UWM30" s="911"/>
      <c r="UWN30" s="910"/>
      <c r="UWO30" s="910"/>
      <c r="UWP30" s="910"/>
      <c r="UWQ30" s="910"/>
      <c r="UWR30" s="910"/>
      <c r="UWS30" s="910"/>
      <c r="UWT30" s="910"/>
      <c r="UWU30" s="910"/>
      <c r="UWV30" s="910"/>
      <c r="UWW30" s="911"/>
      <c r="UWX30" s="911"/>
      <c r="UWY30" s="910"/>
      <c r="UWZ30" s="910"/>
      <c r="UXA30" s="910"/>
      <c r="UXB30" s="910"/>
      <c r="UXC30" s="910"/>
      <c r="UXD30" s="910"/>
      <c r="UXE30" s="910"/>
      <c r="UXF30" s="910"/>
      <c r="UXG30" s="910"/>
      <c r="UXH30" s="911"/>
      <c r="UXI30" s="911"/>
      <c r="UXJ30" s="910"/>
      <c r="UXK30" s="910"/>
      <c r="UXL30" s="910"/>
      <c r="UXM30" s="910"/>
      <c r="UXN30" s="910"/>
      <c r="UXO30" s="910"/>
      <c r="UXP30" s="910"/>
      <c r="UXQ30" s="910"/>
      <c r="UXR30" s="910"/>
      <c r="UXS30" s="911"/>
      <c r="UXT30" s="911"/>
      <c r="UXU30" s="910"/>
      <c r="UXV30" s="910"/>
      <c r="UXW30" s="910"/>
      <c r="UXX30" s="910"/>
      <c r="UXY30" s="910"/>
      <c r="UXZ30" s="910"/>
      <c r="UYA30" s="910"/>
      <c r="UYB30" s="910"/>
      <c r="UYC30" s="910"/>
      <c r="UYD30" s="911"/>
      <c r="UYE30" s="911"/>
      <c r="UYF30" s="910"/>
      <c r="UYG30" s="910"/>
      <c r="UYH30" s="910"/>
      <c r="UYI30" s="910"/>
      <c r="UYJ30" s="910"/>
      <c r="UYK30" s="910"/>
      <c r="UYL30" s="910"/>
      <c r="UYM30" s="910"/>
      <c r="UYN30" s="910"/>
      <c r="UYO30" s="911"/>
      <c r="UYP30" s="911"/>
      <c r="UYQ30" s="910"/>
      <c r="UYR30" s="910"/>
      <c r="UYS30" s="910"/>
      <c r="UYT30" s="910"/>
      <c r="UYU30" s="910"/>
      <c r="UYV30" s="910"/>
      <c r="UYW30" s="910"/>
      <c r="UYX30" s="910"/>
      <c r="UYY30" s="910"/>
      <c r="UYZ30" s="911"/>
      <c r="UZA30" s="911"/>
      <c r="UZB30" s="910"/>
      <c r="UZC30" s="910"/>
      <c r="UZD30" s="910"/>
      <c r="UZE30" s="910"/>
      <c r="UZF30" s="910"/>
      <c r="UZG30" s="910"/>
      <c r="UZH30" s="910"/>
      <c r="UZI30" s="910"/>
      <c r="UZJ30" s="910"/>
      <c r="UZK30" s="911"/>
      <c r="UZL30" s="911"/>
      <c r="UZM30" s="910"/>
      <c r="UZN30" s="910"/>
      <c r="UZO30" s="910"/>
      <c r="UZP30" s="910"/>
      <c r="UZQ30" s="910"/>
      <c r="UZR30" s="910"/>
      <c r="UZS30" s="910"/>
      <c r="UZT30" s="910"/>
      <c r="UZU30" s="910"/>
      <c r="UZV30" s="911"/>
      <c r="UZW30" s="911"/>
      <c r="UZX30" s="910"/>
      <c r="UZY30" s="910"/>
      <c r="UZZ30" s="910"/>
      <c r="VAA30" s="910"/>
      <c r="VAB30" s="910"/>
      <c r="VAC30" s="910"/>
      <c r="VAD30" s="910"/>
      <c r="VAE30" s="910"/>
      <c r="VAF30" s="910"/>
      <c r="VAG30" s="911"/>
      <c r="VAH30" s="911"/>
      <c r="VAI30" s="910"/>
      <c r="VAJ30" s="910"/>
      <c r="VAK30" s="910"/>
      <c r="VAL30" s="910"/>
      <c r="VAM30" s="910"/>
      <c r="VAN30" s="910"/>
      <c r="VAO30" s="910"/>
      <c r="VAP30" s="910"/>
      <c r="VAQ30" s="910"/>
      <c r="VAR30" s="911"/>
      <c r="VAS30" s="911"/>
      <c r="VAT30" s="910"/>
      <c r="VAU30" s="910"/>
      <c r="VAV30" s="910"/>
      <c r="VAW30" s="910"/>
      <c r="VAX30" s="910"/>
      <c r="VAY30" s="910"/>
      <c r="VAZ30" s="910"/>
      <c r="VBA30" s="910"/>
      <c r="VBB30" s="910"/>
      <c r="VBC30" s="911"/>
      <c r="VBD30" s="911"/>
      <c r="VBE30" s="910"/>
      <c r="VBF30" s="910"/>
      <c r="VBG30" s="910"/>
      <c r="VBH30" s="910"/>
      <c r="VBI30" s="910"/>
      <c r="VBJ30" s="910"/>
      <c r="VBK30" s="910"/>
      <c r="VBL30" s="910"/>
      <c r="VBM30" s="910"/>
      <c r="VBN30" s="911"/>
      <c r="VBO30" s="911"/>
      <c r="VBP30" s="910"/>
      <c r="VBQ30" s="910"/>
      <c r="VBR30" s="910"/>
      <c r="VBS30" s="910"/>
      <c r="VBT30" s="910"/>
      <c r="VBU30" s="910"/>
      <c r="VBV30" s="910"/>
      <c r="VBW30" s="910"/>
      <c r="VBX30" s="910"/>
      <c r="VBY30" s="911"/>
      <c r="VBZ30" s="911"/>
      <c r="VCA30" s="910"/>
      <c r="VCB30" s="910"/>
      <c r="VCC30" s="910"/>
      <c r="VCD30" s="910"/>
      <c r="VCE30" s="910"/>
      <c r="VCF30" s="910"/>
      <c r="VCG30" s="910"/>
      <c r="VCH30" s="910"/>
      <c r="VCI30" s="910"/>
      <c r="VCJ30" s="911"/>
      <c r="VCK30" s="911"/>
      <c r="VCL30" s="910"/>
      <c r="VCM30" s="910"/>
      <c r="VCN30" s="910"/>
      <c r="VCO30" s="910"/>
      <c r="VCP30" s="910"/>
      <c r="VCQ30" s="910"/>
      <c r="VCR30" s="910"/>
      <c r="VCS30" s="910"/>
      <c r="VCT30" s="910"/>
      <c r="VCU30" s="911"/>
      <c r="VCV30" s="911"/>
      <c r="VCW30" s="910"/>
      <c r="VCX30" s="910"/>
      <c r="VCY30" s="910"/>
      <c r="VCZ30" s="910"/>
      <c r="VDA30" s="910"/>
      <c r="VDB30" s="910"/>
      <c r="VDC30" s="910"/>
      <c r="VDD30" s="910"/>
      <c r="VDE30" s="910"/>
      <c r="VDF30" s="911"/>
      <c r="VDG30" s="911"/>
      <c r="VDH30" s="910"/>
      <c r="VDI30" s="910"/>
      <c r="VDJ30" s="910"/>
      <c r="VDK30" s="910"/>
      <c r="VDL30" s="910"/>
      <c r="VDM30" s="910"/>
      <c r="VDN30" s="910"/>
      <c r="VDO30" s="910"/>
      <c r="VDP30" s="910"/>
      <c r="VDQ30" s="911"/>
      <c r="VDR30" s="911"/>
      <c r="VDS30" s="910"/>
      <c r="VDT30" s="910"/>
      <c r="VDU30" s="910"/>
      <c r="VDV30" s="910"/>
      <c r="VDW30" s="910"/>
      <c r="VDX30" s="910"/>
      <c r="VDY30" s="910"/>
      <c r="VDZ30" s="910"/>
      <c r="VEA30" s="910"/>
      <c r="VEB30" s="911"/>
      <c r="VEC30" s="911"/>
      <c r="VED30" s="910"/>
      <c r="VEE30" s="910"/>
      <c r="VEF30" s="910"/>
      <c r="VEG30" s="910"/>
      <c r="VEH30" s="910"/>
      <c r="VEI30" s="910"/>
      <c r="VEJ30" s="910"/>
      <c r="VEK30" s="910"/>
      <c r="VEL30" s="910"/>
      <c r="VEM30" s="911"/>
      <c r="VEN30" s="911"/>
      <c r="VEO30" s="910"/>
      <c r="VEP30" s="910"/>
      <c r="VEQ30" s="910"/>
      <c r="VER30" s="910"/>
      <c r="VES30" s="910"/>
      <c r="VET30" s="910"/>
      <c r="VEU30" s="910"/>
      <c r="VEV30" s="910"/>
      <c r="VEW30" s="910"/>
      <c r="VEX30" s="911"/>
      <c r="VEY30" s="911"/>
      <c r="VEZ30" s="910"/>
      <c r="VFA30" s="910"/>
      <c r="VFB30" s="910"/>
      <c r="VFC30" s="910"/>
      <c r="VFD30" s="910"/>
      <c r="VFE30" s="910"/>
      <c r="VFF30" s="910"/>
      <c r="VFG30" s="910"/>
      <c r="VFH30" s="910"/>
      <c r="VFI30" s="911"/>
      <c r="VFJ30" s="911"/>
      <c r="VFK30" s="910"/>
      <c r="VFL30" s="910"/>
      <c r="VFM30" s="910"/>
      <c r="VFN30" s="910"/>
      <c r="VFO30" s="910"/>
      <c r="VFP30" s="910"/>
      <c r="VFQ30" s="910"/>
      <c r="VFR30" s="910"/>
      <c r="VFS30" s="910"/>
      <c r="VFT30" s="911"/>
      <c r="VFU30" s="911"/>
      <c r="VFV30" s="910"/>
      <c r="VFW30" s="910"/>
      <c r="VFX30" s="910"/>
      <c r="VFY30" s="910"/>
      <c r="VFZ30" s="910"/>
      <c r="VGA30" s="910"/>
      <c r="VGB30" s="910"/>
      <c r="VGC30" s="910"/>
      <c r="VGD30" s="910"/>
      <c r="VGE30" s="911"/>
      <c r="VGF30" s="911"/>
      <c r="VGG30" s="910"/>
      <c r="VGH30" s="910"/>
      <c r="VGI30" s="910"/>
      <c r="VGJ30" s="910"/>
      <c r="VGK30" s="910"/>
      <c r="VGL30" s="910"/>
      <c r="VGM30" s="910"/>
      <c r="VGN30" s="910"/>
      <c r="VGO30" s="910"/>
      <c r="VGP30" s="911"/>
      <c r="VGQ30" s="911"/>
      <c r="VGR30" s="910"/>
      <c r="VGS30" s="910"/>
      <c r="VGT30" s="910"/>
      <c r="VGU30" s="910"/>
      <c r="VGV30" s="910"/>
      <c r="VGW30" s="910"/>
      <c r="VGX30" s="910"/>
      <c r="VGY30" s="910"/>
      <c r="VGZ30" s="910"/>
      <c r="VHA30" s="911"/>
      <c r="VHB30" s="911"/>
      <c r="VHC30" s="910"/>
      <c r="VHD30" s="910"/>
      <c r="VHE30" s="910"/>
      <c r="VHF30" s="910"/>
      <c r="VHG30" s="910"/>
      <c r="VHH30" s="910"/>
      <c r="VHI30" s="910"/>
      <c r="VHJ30" s="910"/>
      <c r="VHK30" s="910"/>
      <c r="VHL30" s="911"/>
      <c r="VHM30" s="911"/>
      <c r="VHN30" s="910"/>
      <c r="VHO30" s="910"/>
      <c r="VHP30" s="910"/>
      <c r="VHQ30" s="910"/>
      <c r="VHR30" s="910"/>
      <c r="VHS30" s="910"/>
      <c r="VHT30" s="910"/>
      <c r="VHU30" s="910"/>
      <c r="VHV30" s="910"/>
      <c r="VHW30" s="911"/>
      <c r="VHX30" s="911"/>
      <c r="VHY30" s="910"/>
      <c r="VHZ30" s="910"/>
      <c r="VIA30" s="910"/>
      <c r="VIB30" s="910"/>
      <c r="VIC30" s="910"/>
      <c r="VID30" s="910"/>
      <c r="VIE30" s="910"/>
      <c r="VIF30" s="910"/>
      <c r="VIG30" s="910"/>
      <c r="VIH30" s="911"/>
      <c r="VII30" s="911"/>
      <c r="VIJ30" s="910"/>
      <c r="VIK30" s="910"/>
      <c r="VIL30" s="910"/>
      <c r="VIM30" s="910"/>
      <c r="VIN30" s="910"/>
      <c r="VIO30" s="910"/>
      <c r="VIP30" s="910"/>
      <c r="VIQ30" s="910"/>
      <c r="VIR30" s="910"/>
      <c r="VIS30" s="911"/>
      <c r="VIT30" s="911"/>
      <c r="VIU30" s="910"/>
      <c r="VIV30" s="910"/>
      <c r="VIW30" s="910"/>
      <c r="VIX30" s="910"/>
      <c r="VIY30" s="910"/>
      <c r="VIZ30" s="910"/>
      <c r="VJA30" s="910"/>
      <c r="VJB30" s="910"/>
      <c r="VJC30" s="910"/>
      <c r="VJD30" s="911"/>
      <c r="VJE30" s="911"/>
      <c r="VJF30" s="910"/>
      <c r="VJG30" s="910"/>
      <c r="VJH30" s="910"/>
      <c r="VJI30" s="910"/>
      <c r="VJJ30" s="910"/>
      <c r="VJK30" s="910"/>
      <c r="VJL30" s="910"/>
      <c r="VJM30" s="910"/>
      <c r="VJN30" s="910"/>
      <c r="VJO30" s="911"/>
      <c r="VJP30" s="911"/>
      <c r="VJQ30" s="910"/>
      <c r="VJR30" s="910"/>
      <c r="VJS30" s="910"/>
      <c r="VJT30" s="910"/>
      <c r="VJU30" s="910"/>
      <c r="VJV30" s="910"/>
      <c r="VJW30" s="910"/>
      <c r="VJX30" s="910"/>
      <c r="VJY30" s="910"/>
      <c r="VJZ30" s="911"/>
      <c r="VKA30" s="911"/>
      <c r="VKB30" s="910"/>
      <c r="VKC30" s="910"/>
      <c r="VKD30" s="910"/>
      <c r="VKE30" s="910"/>
      <c r="VKF30" s="910"/>
      <c r="VKG30" s="910"/>
      <c r="VKH30" s="910"/>
      <c r="VKI30" s="910"/>
      <c r="VKJ30" s="910"/>
      <c r="VKK30" s="911"/>
      <c r="VKL30" s="911"/>
      <c r="VKM30" s="910"/>
      <c r="VKN30" s="910"/>
      <c r="VKO30" s="910"/>
      <c r="VKP30" s="910"/>
      <c r="VKQ30" s="910"/>
      <c r="VKR30" s="910"/>
      <c r="VKS30" s="910"/>
      <c r="VKT30" s="910"/>
      <c r="VKU30" s="910"/>
      <c r="VKV30" s="911"/>
      <c r="VKW30" s="911"/>
      <c r="VKX30" s="910"/>
      <c r="VKY30" s="910"/>
      <c r="VKZ30" s="910"/>
      <c r="VLA30" s="910"/>
      <c r="VLB30" s="910"/>
      <c r="VLC30" s="910"/>
      <c r="VLD30" s="910"/>
      <c r="VLE30" s="910"/>
      <c r="VLF30" s="910"/>
      <c r="VLG30" s="911"/>
      <c r="VLH30" s="911"/>
      <c r="VLI30" s="910"/>
      <c r="VLJ30" s="910"/>
      <c r="VLK30" s="910"/>
      <c r="VLL30" s="910"/>
      <c r="VLM30" s="910"/>
      <c r="VLN30" s="910"/>
      <c r="VLO30" s="910"/>
      <c r="VLP30" s="910"/>
      <c r="VLQ30" s="910"/>
      <c r="VLR30" s="911"/>
      <c r="VLS30" s="911"/>
      <c r="VLT30" s="910"/>
      <c r="VLU30" s="910"/>
      <c r="VLV30" s="910"/>
      <c r="VLW30" s="910"/>
      <c r="VLX30" s="910"/>
      <c r="VLY30" s="910"/>
      <c r="VLZ30" s="910"/>
      <c r="VMA30" s="910"/>
      <c r="VMB30" s="910"/>
      <c r="VMC30" s="911"/>
      <c r="VMD30" s="911"/>
      <c r="VME30" s="910"/>
      <c r="VMF30" s="910"/>
      <c r="VMG30" s="910"/>
      <c r="VMH30" s="910"/>
      <c r="VMI30" s="910"/>
      <c r="VMJ30" s="910"/>
      <c r="VMK30" s="910"/>
      <c r="VML30" s="910"/>
      <c r="VMM30" s="910"/>
      <c r="VMN30" s="911"/>
      <c r="VMO30" s="911"/>
      <c r="VMP30" s="910"/>
      <c r="VMQ30" s="910"/>
      <c r="VMR30" s="910"/>
      <c r="VMS30" s="910"/>
      <c r="VMT30" s="910"/>
      <c r="VMU30" s="910"/>
      <c r="VMV30" s="910"/>
      <c r="VMW30" s="910"/>
      <c r="VMX30" s="910"/>
      <c r="VMY30" s="911"/>
      <c r="VMZ30" s="911"/>
      <c r="VNA30" s="910"/>
      <c r="VNB30" s="910"/>
      <c r="VNC30" s="910"/>
      <c r="VND30" s="910"/>
      <c r="VNE30" s="910"/>
      <c r="VNF30" s="910"/>
      <c r="VNG30" s="910"/>
      <c r="VNH30" s="910"/>
      <c r="VNI30" s="910"/>
      <c r="VNJ30" s="911"/>
      <c r="VNK30" s="911"/>
      <c r="VNL30" s="910"/>
      <c r="VNM30" s="910"/>
      <c r="VNN30" s="910"/>
      <c r="VNO30" s="910"/>
      <c r="VNP30" s="910"/>
      <c r="VNQ30" s="910"/>
      <c r="VNR30" s="910"/>
      <c r="VNS30" s="910"/>
      <c r="VNT30" s="910"/>
      <c r="VNU30" s="911"/>
      <c r="VNV30" s="911"/>
      <c r="VNW30" s="910"/>
      <c r="VNX30" s="910"/>
      <c r="VNY30" s="910"/>
      <c r="VNZ30" s="910"/>
      <c r="VOA30" s="910"/>
      <c r="VOB30" s="910"/>
      <c r="VOC30" s="910"/>
      <c r="VOD30" s="910"/>
      <c r="VOE30" s="910"/>
      <c r="VOF30" s="911"/>
      <c r="VOG30" s="911"/>
      <c r="VOH30" s="910"/>
      <c r="VOI30" s="910"/>
      <c r="VOJ30" s="910"/>
      <c r="VOK30" s="910"/>
      <c r="VOL30" s="910"/>
      <c r="VOM30" s="910"/>
      <c r="VON30" s="910"/>
      <c r="VOO30" s="910"/>
      <c r="VOP30" s="910"/>
      <c r="VOQ30" s="911"/>
      <c r="VOR30" s="911"/>
      <c r="VOS30" s="910"/>
      <c r="VOT30" s="910"/>
      <c r="VOU30" s="910"/>
      <c r="VOV30" s="910"/>
      <c r="VOW30" s="910"/>
      <c r="VOX30" s="910"/>
      <c r="VOY30" s="910"/>
      <c r="VOZ30" s="910"/>
      <c r="VPA30" s="910"/>
      <c r="VPB30" s="911"/>
      <c r="VPC30" s="911"/>
      <c r="VPD30" s="910"/>
      <c r="VPE30" s="910"/>
      <c r="VPF30" s="910"/>
      <c r="VPG30" s="910"/>
      <c r="VPH30" s="910"/>
      <c r="VPI30" s="910"/>
      <c r="VPJ30" s="910"/>
      <c r="VPK30" s="910"/>
      <c r="VPL30" s="910"/>
      <c r="VPM30" s="911"/>
      <c r="VPN30" s="911"/>
      <c r="VPO30" s="910"/>
      <c r="VPP30" s="910"/>
      <c r="VPQ30" s="910"/>
      <c r="VPR30" s="910"/>
      <c r="VPS30" s="910"/>
      <c r="VPT30" s="910"/>
      <c r="VPU30" s="910"/>
      <c r="VPV30" s="910"/>
      <c r="VPW30" s="910"/>
      <c r="VPX30" s="911"/>
      <c r="VPY30" s="911"/>
      <c r="VPZ30" s="910"/>
      <c r="VQA30" s="910"/>
      <c r="VQB30" s="910"/>
      <c r="VQC30" s="910"/>
      <c r="VQD30" s="910"/>
      <c r="VQE30" s="910"/>
      <c r="VQF30" s="910"/>
      <c r="VQG30" s="910"/>
      <c r="VQH30" s="910"/>
      <c r="VQI30" s="911"/>
      <c r="VQJ30" s="911"/>
      <c r="VQK30" s="910"/>
      <c r="VQL30" s="910"/>
      <c r="VQM30" s="910"/>
      <c r="VQN30" s="910"/>
      <c r="VQO30" s="910"/>
      <c r="VQP30" s="910"/>
      <c r="VQQ30" s="910"/>
      <c r="VQR30" s="910"/>
      <c r="VQS30" s="910"/>
      <c r="VQT30" s="911"/>
      <c r="VQU30" s="911"/>
      <c r="VQV30" s="910"/>
      <c r="VQW30" s="910"/>
      <c r="VQX30" s="910"/>
      <c r="VQY30" s="910"/>
      <c r="VQZ30" s="910"/>
      <c r="VRA30" s="910"/>
      <c r="VRB30" s="910"/>
      <c r="VRC30" s="910"/>
      <c r="VRD30" s="910"/>
      <c r="VRE30" s="911"/>
      <c r="VRF30" s="911"/>
      <c r="VRG30" s="910"/>
      <c r="VRH30" s="910"/>
      <c r="VRI30" s="910"/>
      <c r="VRJ30" s="910"/>
      <c r="VRK30" s="910"/>
      <c r="VRL30" s="910"/>
      <c r="VRM30" s="910"/>
      <c r="VRN30" s="910"/>
      <c r="VRO30" s="910"/>
      <c r="VRP30" s="911"/>
      <c r="VRQ30" s="911"/>
      <c r="VRR30" s="910"/>
      <c r="VRS30" s="910"/>
      <c r="VRT30" s="910"/>
      <c r="VRU30" s="910"/>
      <c r="VRV30" s="910"/>
      <c r="VRW30" s="910"/>
      <c r="VRX30" s="910"/>
      <c r="VRY30" s="910"/>
      <c r="VRZ30" s="910"/>
      <c r="VSA30" s="911"/>
      <c r="VSB30" s="911"/>
      <c r="VSC30" s="910"/>
      <c r="VSD30" s="910"/>
      <c r="VSE30" s="910"/>
      <c r="VSF30" s="910"/>
      <c r="VSG30" s="910"/>
      <c r="VSH30" s="910"/>
      <c r="VSI30" s="910"/>
      <c r="VSJ30" s="910"/>
      <c r="VSK30" s="910"/>
      <c r="VSL30" s="911"/>
      <c r="VSM30" s="911"/>
      <c r="VSN30" s="910"/>
      <c r="VSO30" s="910"/>
      <c r="VSP30" s="910"/>
      <c r="VSQ30" s="910"/>
      <c r="VSR30" s="910"/>
      <c r="VSS30" s="910"/>
      <c r="VST30" s="910"/>
      <c r="VSU30" s="910"/>
      <c r="VSV30" s="910"/>
      <c r="VSW30" s="911"/>
      <c r="VSX30" s="911"/>
      <c r="VSY30" s="910"/>
      <c r="VSZ30" s="910"/>
      <c r="VTA30" s="910"/>
      <c r="VTB30" s="910"/>
      <c r="VTC30" s="910"/>
      <c r="VTD30" s="910"/>
      <c r="VTE30" s="910"/>
      <c r="VTF30" s="910"/>
      <c r="VTG30" s="910"/>
      <c r="VTH30" s="911"/>
      <c r="VTI30" s="911"/>
      <c r="VTJ30" s="910"/>
      <c r="VTK30" s="910"/>
      <c r="VTL30" s="910"/>
      <c r="VTM30" s="910"/>
      <c r="VTN30" s="910"/>
      <c r="VTO30" s="910"/>
      <c r="VTP30" s="910"/>
      <c r="VTQ30" s="910"/>
      <c r="VTR30" s="910"/>
      <c r="VTS30" s="911"/>
      <c r="VTT30" s="911"/>
      <c r="VTU30" s="910"/>
      <c r="VTV30" s="910"/>
      <c r="VTW30" s="910"/>
      <c r="VTX30" s="910"/>
      <c r="VTY30" s="910"/>
      <c r="VTZ30" s="910"/>
      <c r="VUA30" s="910"/>
      <c r="VUB30" s="910"/>
      <c r="VUC30" s="910"/>
      <c r="VUD30" s="911"/>
      <c r="VUE30" s="911"/>
      <c r="VUF30" s="910"/>
      <c r="VUG30" s="910"/>
      <c r="VUH30" s="910"/>
      <c r="VUI30" s="910"/>
      <c r="VUJ30" s="910"/>
      <c r="VUK30" s="910"/>
      <c r="VUL30" s="910"/>
      <c r="VUM30" s="910"/>
      <c r="VUN30" s="910"/>
      <c r="VUO30" s="911"/>
      <c r="VUP30" s="911"/>
      <c r="VUQ30" s="910"/>
      <c r="VUR30" s="910"/>
      <c r="VUS30" s="910"/>
      <c r="VUT30" s="910"/>
      <c r="VUU30" s="910"/>
      <c r="VUV30" s="910"/>
      <c r="VUW30" s="910"/>
      <c r="VUX30" s="910"/>
      <c r="VUY30" s="910"/>
      <c r="VUZ30" s="911"/>
      <c r="VVA30" s="911"/>
      <c r="VVB30" s="910"/>
      <c r="VVC30" s="910"/>
      <c r="VVD30" s="910"/>
      <c r="VVE30" s="910"/>
      <c r="VVF30" s="910"/>
      <c r="VVG30" s="910"/>
      <c r="VVH30" s="910"/>
      <c r="VVI30" s="910"/>
      <c r="VVJ30" s="910"/>
      <c r="VVK30" s="911"/>
      <c r="VVL30" s="911"/>
      <c r="VVM30" s="910"/>
      <c r="VVN30" s="910"/>
      <c r="VVO30" s="910"/>
      <c r="VVP30" s="910"/>
      <c r="VVQ30" s="910"/>
      <c r="VVR30" s="910"/>
      <c r="VVS30" s="910"/>
      <c r="VVT30" s="910"/>
      <c r="VVU30" s="910"/>
      <c r="VVV30" s="911"/>
      <c r="VVW30" s="911"/>
      <c r="VVX30" s="910"/>
      <c r="VVY30" s="910"/>
      <c r="VVZ30" s="910"/>
      <c r="VWA30" s="910"/>
      <c r="VWB30" s="910"/>
      <c r="VWC30" s="910"/>
      <c r="VWD30" s="910"/>
      <c r="VWE30" s="910"/>
      <c r="VWF30" s="910"/>
      <c r="VWG30" s="911"/>
      <c r="VWH30" s="911"/>
      <c r="VWI30" s="910"/>
      <c r="VWJ30" s="910"/>
      <c r="VWK30" s="910"/>
      <c r="VWL30" s="910"/>
      <c r="VWM30" s="910"/>
      <c r="VWN30" s="910"/>
      <c r="VWO30" s="910"/>
      <c r="VWP30" s="910"/>
      <c r="VWQ30" s="910"/>
      <c r="VWR30" s="911"/>
      <c r="VWS30" s="911"/>
      <c r="VWT30" s="910"/>
      <c r="VWU30" s="910"/>
      <c r="VWV30" s="910"/>
      <c r="VWW30" s="910"/>
      <c r="VWX30" s="910"/>
      <c r="VWY30" s="910"/>
      <c r="VWZ30" s="910"/>
      <c r="VXA30" s="910"/>
      <c r="VXB30" s="910"/>
      <c r="VXC30" s="911"/>
      <c r="VXD30" s="911"/>
      <c r="VXE30" s="910"/>
      <c r="VXF30" s="910"/>
      <c r="VXG30" s="910"/>
      <c r="VXH30" s="910"/>
      <c r="VXI30" s="910"/>
      <c r="VXJ30" s="910"/>
      <c r="VXK30" s="910"/>
      <c r="VXL30" s="910"/>
      <c r="VXM30" s="910"/>
      <c r="VXN30" s="911"/>
      <c r="VXO30" s="911"/>
      <c r="VXP30" s="910"/>
      <c r="VXQ30" s="910"/>
      <c r="VXR30" s="910"/>
      <c r="VXS30" s="910"/>
      <c r="VXT30" s="910"/>
      <c r="VXU30" s="910"/>
      <c r="VXV30" s="910"/>
      <c r="VXW30" s="910"/>
      <c r="VXX30" s="910"/>
      <c r="VXY30" s="911"/>
      <c r="VXZ30" s="911"/>
      <c r="VYA30" s="910"/>
      <c r="VYB30" s="910"/>
      <c r="VYC30" s="910"/>
      <c r="VYD30" s="910"/>
      <c r="VYE30" s="910"/>
      <c r="VYF30" s="910"/>
      <c r="VYG30" s="910"/>
      <c r="VYH30" s="910"/>
      <c r="VYI30" s="910"/>
      <c r="VYJ30" s="911"/>
      <c r="VYK30" s="911"/>
      <c r="VYL30" s="910"/>
      <c r="VYM30" s="910"/>
      <c r="VYN30" s="910"/>
      <c r="VYO30" s="910"/>
      <c r="VYP30" s="910"/>
      <c r="VYQ30" s="910"/>
      <c r="VYR30" s="910"/>
      <c r="VYS30" s="910"/>
      <c r="VYT30" s="910"/>
      <c r="VYU30" s="911"/>
      <c r="VYV30" s="911"/>
      <c r="VYW30" s="910"/>
      <c r="VYX30" s="910"/>
      <c r="VYY30" s="910"/>
      <c r="VYZ30" s="910"/>
      <c r="VZA30" s="910"/>
      <c r="VZB30" s="910"/>
      <c r="VZC30" s="910"/>
      <c r="VZD30" s="910"/>
      <c r="VZE30" s="910"/>
      <c r="VZF30" s="911"/>
      <c r="VZG30" s="911"/>
      <c r="VZH30" s="910"/>
      <c r="VZI30" s="910"/>
      <c r="VZJ30" s="910"/>
      <c r="VZK30" s="910"/>
      <c r="VZL30" s="910"/>
      <c r="VZM30" s="910"/>
      <c r="VZN30" s="910"/>
      <c r="VZO30" s="910"/>
      <c r="VZP30" s="910"/>
      <c r="VZQ30" s="911"/>
      <c r="VZR30" s="911"/>
      <c r="VZS30" s="910"/>
      <c r="VZT30" s="910"/>
      <c r="VZU30" s="910"/>
      <c r="VZV30" s="910"/>
      <c r="VZW30" s="910"/>
      <c r="VZX30" s="910"/>
      <c r="VZY30" s="910"/>
      <c r="VZZ30" s="910"/>
      <c r="WAA30" s="910"/>
      <c r="WAB30" s="911"/>
      <c r="WAC30" s="911"/>
      <c r="WAD30" s="910"/>
      <c r="WAE30" s="910"/>
      <c r="WAF30" s="910"/>
      <c r="WAG30" s="910"/>
      <c r="WAH30" s="910"/>
      <c r="WAI30" s="910"/>
      <c r="WAJ30" s="910"/>
      <c r="WAK30" s="910"/>
      <c r="WAL30" s="910"/>
      <c r="WAM30" s="911"/>
      <c r="WAN30" s="911"/>
      <c r="WAO30" s="910"/>
      <c r="WAP30" s="910"/>
      <c r="WAQ30" s="910"/>
      <c r="WAR30" s="910"/>
      <c r="WAS30" s="910"/>
      <c r="WAT30" s="910"/>
      <c r="WAU30" s="910"/>
      <c r="WAV30" s="910"/>
      <c r="WAW30" s="910"/>
      <c r="WAX30" s="911"/>
      <c r="WAY30" s="911"/>
      <c r="WAZ30" s="910"/>
      <c r="WBA30" s="910"/>
      <c r="WBB30" s="910"/>
      <c r="WBC30" s="910"/>
      <c r="WBD30" s="910"/>
      <c r="WBE30" s="910"/>
      <c r="WBF30" s="910"/>
      <c r="WBG30" s="910"/>
      <c r="WBH30" s="910"/>
      <c r="WBI30" s="911"/>
      <c r="WBJ30" s="911"/>
      <c r="WBK30" s="910"/>
      <c r="WBL30" s="910"/>
      <c r="WBM30" s="910"/>
      <c r="WBN30" s="910"/>
      <c r="WBO30" s="910"/>
      <c r="WBP30" s="910"/>
      <c r="WBQ30" s="910"/>
      <c r="WBR30" s="910"/>
      <c r="WBS30" s="910"/>
      <c r="WBT30" s="911"/>
      <c r="WBU30" s="911"/>
      <c r="WBV30" s="910"/>
      <c r="WBW30" s="910"/>
      <c r="WBX30" s="910"/>
      <c r="WBY30" s="910"/>
      <c r="WBZ30" s="910"/>
      <c r="WCA30" s="910"/>
      <c r="WCB30" s="910"/>
      <c r="WCC30" s="910"/>
      <c r="WCD30" s="910"/>
      <c r="WCE30" s="911"/>
      <c r="WCF30" s="911"/>
      <c r="WCG30" s="910"/>
      <c r="WCH30" s="910"/>
      <c r="WCI30" s="910"/>
      <c r="WCJ30" s="910"/>
      <c r="WCK30" s="910"/>
      <c r="WCL30" s="910"/>
      <c r="WCM30" s="910"/>
      <c r="WCN30" s="910"/>
      <c r="WCO30" s="910"/>
      <c r="WCP30" s="911"/>
      <c r="WCQ30" s="911"/>
      <c r="WCR30" s="910"/>
      <c r="WCS30" s="910"/>
      <c r="WCT30" s="910"/>
      <c r="WCU30" s="910"/>
      <c r="WCV30" s="910"/>
      <c r="WCW30" s="910"/>
      <c r="WCX30" s="910"/>
      <c r="WCY30" s="910"/>
      <c r="WCZ30" s="910"/>
      <c r="WDA30" s="911"/>
      <c r="WDB30" s="911"/>
      <c r="WDC30" s="910"/>
      <c r="WDD30" s="910"/>
      <c r="WDE30" s="910"/>
      <c r="WDF30" s="910"/>
      <c r="WDG30" s="910"/>
      <c r="WDH30" s="910"/>
      <c r="WDI30" s="910"/>
      <c r="WDJ30" s="910"/>
      <c r="WDK30" s="910"/>
      <c r="WDL30" s="911"/>
      <c r="WDM30" s="911"/>
      <c r="WDN30" s="910"/>
      <c r="WDO30" s="910"/>
      <c r="WDP30" s="910"/>
      <c r="WDQ30" s="910"/>
      <c r="WDR30" s="910"/>
      <c r="WDS30" s="910"/>
      <c r="WDT30" s="910"/>
      <c r="WDU30" s="910"/>
      <c r="WDV30" s="910"/>
      <c r="WDW30" s="911"/>
      <c r="WDX30" s="911"/>
      <c r="WDY30" s="910"/>
      <c r="WDZ30" s="910"/>
      <c r="WEA30" s="910"/>
      <c r="WEB30" s="910"/>
      <c r="WEC30" s="910"/>
      <c r="WED30" s="910"/>
      <c r="WEE30" s="910"/>
      <c r="WEF30" s="910"/>
      <c r="WEG30" s="910"/>
      <c r="WEH30" s="911"/>
      <c r="WEI30" s="911"/>
      <c r="WEJ30" s="910"/>
      <c r="WEK30" s="910"/>
      <c r="WEL30" s="910"/>
      <c r="WEM30" s="910"/>
      <c r="WEN30" s="910"/>
      <c r="WEO30" s="910"/>
      <c r="WEP30" s="910"/>
      <c r="WEQ30" s="910"/>
      <c r="WER30" s="910"/>
      <c r="WES30" s="911"/>
      <c r="WET30" s="911"/>
      <c r="WEU30" s="910"/>
      <c r="WEV30" s="910"/>
      <c r="WEW30" s="910"/>
      <c r="WEX30" s="910"/>
      <c r="WEY30" s="910"/>
      <c r="WEZ30" s="910"/>
      <c r="WFA30" s="910"/>
      <c r="WFB30" s="910"/>
      <c r="WFC30" s="910"/>
      <c r="WFD30" s="911"/>
      <c r="WFE30" s="911"/>
      <c r="WFF30" s="910"/>
      <c r="WFG30" s="910"/>
      <c r="WFH30" s="910"/>
      <c r="WFI30" s="910"/>
      <c r="WFJ30" s="910"/>
      <c r="WFK30" s="910"/>
      <c r="WFL30" s="910"/>
      <c r="WFM30" s="910"/>
      <c r="WFN30" s="910"/>
      <c r="WFO30" s="911"/>
      <c r="WFP30" s="911"/>
      <c r="WFQ30" s="910"/>
      <c r="WFR30" s="910"/>
      <c r="WFS30" s="910"/>
      <c r="WFT30" s="910"/>
      <c r="WFU30" s="910"/>
      <c r="WFV30" s="910"/>
      <c r="WFW30" s="910"/>
      <c r="WFX30" s="910"/>
      <c r="WFY30" s="910"/>
      <c r="WFZ30" s="911"/>
      <c r="WGA30" s="911"/>
      <c r="WGB30" s="910"/>
      <c r="WGC30" s="910"/>
      <c r="WGD30" s="910"/>
      <c r="WGE30" s="910"/>
      <c r="WGF30" s="910"/>
      <c r="WGG30" s="910"/>
      <c r="WGH30" s="910"/>
      <c r="WGI30" s="910"/>
      <c r="WGJ30" s="910"/>
      <c r="WGK30" s="911"/>
      <c r="WGL30" s="911"/>
      <c r="WGM30" s="910"/>
      <c r="WGN30" s="910"/>
      <c r="WGO30" s="910"/>
      <c r="WGP30" s="910"/>
      <c r="WGQ30" s="910"/>
      <c r="WGR30" s="910"/>
      <c r="WGS30" s="910"/>
      <c r="WGT30" s="910"/>
      <c r="WGU30" s="910"/>
      <c r="WGV30" s="911"/>
      <c r="WGW30" s="911"/>
      <c r="WGX30" s="910"/>
      <c r="WGY30" s="910"/>
      <c r="WGZ30" s="910"/>
      <c r="WHA30" s="910"/>
      <c r="WHB30" s="910"/>
      <c r="WHC30" s="910"/>
      <c r="WHD30" s="910"/>
      <c r="WHE30" s="910"/>
      <c r="WHF30" s="910"/>
      <c r="WHG30" s="911"/>
      <c r="WHH30" s="911"/>
      <c r="WHI30" s="910"/>
      <c r="WHJ30" s="910"/>
      <c r="WHK30" s="910"/>
      <c r="WHL30" s="910"/>
      <c r="WHM30" s="910"/>
      <c r="WHN30" s="910"/>
      <c r="WHO30" s="910"/>
      <c r="WHP30" s="910"/>
      <c r="WHQ30" s="910"/>
      <c r="WHR30" s="911"/>
      <c r="WHS30" s="911"/>
      <c r="WHT30" s="910"/>
      <c r="WHU30" s="910"/>
      <c r="WHV30" s="910"/>
      <c r="WHW30" s="910"/>
      <c r="WHX30" s="910"/>
      <c r="WHY30" s="910"/>
      <c r="WHZ30" s="910"/>
      <c r="WIA30" s="910"/>
      <c r="WIB30" s="910"/>
      <c r="WIC30" s="911"/>
      <c r="WID30" s="911"/>
      <c r="WIE30" s="910"/>
      <c r="WIF30" s="910"/>
      <c r="WIG30" s="910"/>
      <c r="WIH30" s="910"/>
      <c r="WII30" s="910"/>
      <c r="WIJ30" s="910"/>
      <c r="WIK30" s="910"/>
      <c r="WIL30" s="910"/>
      <c r="WIM30" s="910"/>
      <c r="WIN30" s="911"/>
      <c r="WIO30" s="911"/>
      <c r="WIP30" s="910"/>
      <c r="WIQ30" s="910"/>
      <c r="WIR30" s="910"/>
      <c r="WIS30" s="910"/>
      <c r="WIT30" s="910"/>
      <c r="WIU30" s="910"/>
      <c r="WIV30" s="910"/>
      <c r="WIW30" s="910"/>
      <c r="WIX30" s="910"/>
      <c r="WIY30" s="911"/>
      <c r="WIZ30" s="911"/>
      <c r="WJA30" s="910"/>
      <c r="WJB30" s="910"/>
      <c r="WJC30" s="910"/>
      <c r="WJD30" s="910"/>
      <c r="WJE30" s="910"/>
      <c r="WJF30" s="910"/>
      <c r="WJG30" s="910"/>
      <c r="WJH30" s="910"/>
      <c r="WJI30" s="910"/>
      <c r="WJJ30" s="911"/>
      <c r="WJK30" s="911"/>
      <c r="WJL30" s="910"/>
      <c r="WJM30" s="910"/>
      <c r="WJN30" s="910"/>
      <c r="WJO30" s="910"/>
      <c r="WJP30" s="910"/>
      <c r="WJQ30" s="910"/>
      <c r="WJR30" s="910"/>
      <c r="WJS30" s="910"/>
      <c r="WJT30" s="910"/>
      <c r="WJU30" s="911"/>
      <c r="WJV30" s="911"/>
      <c r="WJW30" s="910"/>
      <c r="WJX30" s="910"/>
      <c r="WJY30" s="910"/>
      <c r="WJZ30" s="910"/>
      <c r="WKA30" s="910"/>
      <c r="WKB30" s="910"/>
      <c r="WKC30" s="910"/>
      <c r="WKD30" s="910"/>
      <c r="WKE30" s="910"/>
      <c r="WKF30" s="911"/>
      <c r="WKG30" s="911"/>
      <c r="WKH30" s="910"/>
      <c r="WKI30" s="910"/>
      <c r="WKJ30" s="910"/>
      <c r="WKK30" s="910"/>
      <c r="WKL30" s="910"/>
      <c r="WKM30" s="910"/>
      <c r="WKN30" s="910"/>
      <c r="WKO30" s="910"/>
      <c r="WKP30" s="910"/>
      <c r="WKQ30" s="911"/>
      <c r="WKR30" s="911"/>
      <c r="WKS30" s="910"/>
      <c r="WKT30" s="910"/>
      <c r="WKU30" s="910"/>
      <c r="WKV30" s="910"/>
      <c r="WKW30" s="910"/>
      <c r="WKX30" s="910"/>
      <c r="WKY30" s="910"/>
      <c r="WKZ30" s="910"/>
      <c r="WLA30" s="910"/>
      <c r="WLB30" s="911"/>
      <c r="WLC30" s="911"/>
      <c r="WLD30" s="910"/>
      <c r="WLE30" s="910"/>
      <c r="WLF30" s="910"/>
      <c r="WLG30" s="910"/>
      <c r="WLH30" s="910"/>
      <c r="WLI30" s="910"/>
      <c r="WLJ30" s="910"/>
      <c r="WLK30" s="910"/>
      <c r="WLL30" s="910"/>
      <c r="WLM30" s="911"/>
      <c r="WLN30" s="911"/>
      <c r="WLO30" s="910"/>
      <c r="WLP30" s="910"/>
      <c r="WLQ30" s="910"/>
      <c r="WLR30" s="910"/>
      <c r="WLS30" s="910"/>
      <c r="WLT30" s="910"/>
      <c r="WLU30" s="910"/>
      <c r="WLV30" s="910"/>
      <c r="WLW30" s="910"/>
      <c r="WLX30" s="911"/>
      <c r="WLY30" s="911"/>
      <c r="WLZ30" s="910"/>
      <c r="WMA30" s="910"/>
      <c r="WMB30" s="910"/>
      <c r="WMC30" s="910"/>
      <c r="WMD30" s="910"/>
      <c r="WME30" s="910"/>
      <c r="WMF30" s="910"/>
      <c r="WMG30" s="910"/>
      <c r="WMH30" s="910"/>
      <c r="WMI30" s="911"/>
      <c r="WMJ30" s="911"/>
      <c r="WMK30" s="910"/>
      <c r="WML30" s="910"/>
      <c r="WMM30" s="910"/>
      <c r="WMN30" s="910"/>
      <c r="WMO30" s="910"/>
      <c r="WMP30" s="910"/>
      <c r="WMQ30" s="910"/>
      <c r="WMR30" s="910"/>
      <c r="WMS30" s="910"/>
      <c r="WMT30" s="911"/>
      <c r="WMU30" s="911"/>
      <c r="WMV30" s="910"/>
      <c r="WMW30" s="910"/>
      <c r="WMX30" s="910"/>
      <c r="WMY30" s="910"/>
      <c r="WMZ30" s="910"/>
      <c r="WNA30" s="910"/>
      <c r="WNB30" s="910"/>
      <c r="WNC30" s="910"/>
      <c r="WND30" s="910"/>
      <c r="WNE30" s="911"/>
      <c r="WNF30" s="911"/>
      <c r="WNG30" s="910"/>
      <c r="WNH30" s="910"/>
      <c r="WNI30" s="910"/>
      <c r="WNJ30" s="910"/>
      <c r="WNK30" s="910"/>
      <c r="WNL30" s="910"/>
      <c r="WNM30" s="910"/>
      <c r="WNN30" s="910"/>
      <c r="WNO30" s="910"/>
      <c r="WNP30" s="911"/>
      <c r="WNQ30" s="911"/>
      <c r="WNR30" s="910"/>
      <c r="WNS30" s="910"/>
      <c r="WNT30" s="910"/>
      <c r="WNU30" s="910"/>
      <c r="WNV30" s="910"/>
      <c r="WNW30" s="910"/>
      <c r="WNX30" s="910"/>
      <c r="WNY30" s="910"/>
      <c r="WNZ30" s="910"/>
      <c r="WOA30" s="911"/>
      <c r="WOB30" s="911"/>
      <c r="WOC30" s="910"/>
      <c r="WOD30" s="910"/>
      <c r="WOE30" s="910"/>
      <c r="WOF30" s="910"/>
      <c r="WOG30" s="910"/>
      <c r="WOH30" s="910"/>
      <c r="WOI30" s="910"/>
      <c r="WOJ30" s="910"/>
      <c r="WOK30" s="910"/>
      <c r="WOL30" s="911"/>
      <c r="WOM30" s="911"/>
      <c r="WON30" s="910"/>
      <c r="WOO30" s="910"/>
      <c r="WOP30" s="910"/>
      <c r="WOQ30" s="910"/>
      <c r="WOR30" s="910"/>
      <c r="WOS30" s="910"/>
      <c r="WOT30" s="910"/>
      <c r="WOU30" s="910"/>
      <c r="WOV30" s="910"/>
      <c r="WOW30" s="911"/>
      <c r="WOX30" s="911"/>
      <c r="WOY30" s="910"/>
      <c r="WOZ30" s="910"/>
      <c r="WPA30" s="910"/>
      <c r="WPB30" s="910"/>
      <c r="WPC30" s="910"/>
      <c r="WPD30" s="910"/>
      <c r="WPE30" s="910"/>
      <c r="WPF30" s="910"/>
      <c r="WPG30" s="910"/>
      <c r="WPH30" s="911"/>
      <c r="WPI30" s="911"/>
      <c r="WPJ30" s="910"/>
      <c r="WPK30" s="910"/>
      <c r="WPL30" s="910"/>
      <c r="WPM30" s="910"/>
      <c r="WPN30" s="910"/>
      <c r="WPO30" s="910"/>
      <c r="WPP30" s="910"/>
      <c r="WPQ30" s="910"/>
      <c r="WPR30" s="910"/>
      <c r="WPS30" s="911"/>
      <c r="WPT30" s="911"/>
      <c r="WPU30" s="910"/>
      <c r="WPV30" s="910"/>
      <c r="WPW30" s="910"/>
      <c r="WPX30" s="910"/>
      <c r="WPY30" s="910"/>
      <c r="WPZ30" s="910"/>
      <c r="WQA30" s="910"/>
      <c r="WQB30" s="910"/>
      <c r="WQC30" s="910"/>
      <c r="WQD30" s="911"/>
      <c r="WQE30" s="911"/>
      <c r="WQF30" s="910"/>
      <c r="WQG30" s="910"/>
      <c r="WQH30" s="910"/>
      <c r="WQI30" s="910"/>
      <c r="WQJ30" s="910"/>
      <c r="WQK30" s="910"/>
      <c r="WQL30" s="910"/>
      <c r="WQM30" s="910"/>
      <c r="WQN30" s="910"/>
      <c r="WQO30" s="911"/>
      <c r="WQP30" s="911"/>
      <c r="WQQ30" s="910"/>
      <c r="WQR30" s="910"/>
      <c r="WQS30" s="910"/>
      <c r="WQT30" s="910"/>
      <c r="WQU30" s="910"/>
      <c r="WQV30" s="910"/>
      <c r="WQW30" s="910"/>
      <c r="WQX30" s="910"/>
      <c r="WQY30" s="910"/>
      <c r="WQZ30" s="911"/>
      <c r="WRA30" s="911"/>
      <c r="WRB30" s="910"/>
      <c r="WRC30" s="910"/>
      <c r="WRD30" s="910"/>
      <c r="WRE30" s="910"/>
      <c r="WRF30" s="910"/>
      <c r="WRG30" s="910"/>
      <c r="WRH30" s="910"/>
      <c r="WRI30" s="910"/>
      <c r="WRJ30" s="910"/>
      <c r="WRK30" s="911"/>
      <c r="WRL30" s="911"/>
      <c r="WRM30" s="910"/>
      <c r="WRN30" s="910"/>
      <c r="WRO30" s="910"/>
      <c r="WRP30" s="910"/>
      <c r="WRQ30" s="910"/>
      <c r="WRR30" s="910"/>
      <c r="WRS30" s="910"/>
      <c r="WRT30" s="910"/>
      <c r="WRU30" s="910"/>
      <c r="WRV30" s="911"/>
      <c r="WRW30" s="911"/>
      <c r="WRX30" s="910"/>
      <c r="WRY30" s="910"/>
      <c r="WRZ30" s="910"/>
      <c r="WSA30" s="910"/>
      <c r="WSB30" s="910"/>
      <c r="WSC30" s="910"/>
      <c r="WSD30" s="910"/>
      <c r="WSE30" s="910"/>
      <c r="WSF30" s="910"/>
      <c r="WSG30" s="911"/>
      <c r="WSH30" s="911"/>
      <c r="WSI30" s="910"/>
      <c r="WSJ30" s="910"/>
      <c r="WSK30" s="910"/>
      <c r="WSL30" s="910"/>
      <c r="WSM30" s="910"/>
      <c r="WSN30" s="910"/>
      <c r="WSO30" s="910"/>
      <c r="WSP30" s="910"/>
      <c r="WSQ30" s="910"/>
      <c r="WSR30" s="911"/>
      <c r="WSS30" s="911"/>
      <c r="WST30" s="910"/>
      <c r="WSU30" s="910"/>
      <c r="WSV30" s="910"/>
      <c r="WSW30" s="910"/>
      <c r="WSX30" s="910"/>
      <c r="WSY30" s="910"/>
      <c r="WSZ30" s="910"/>
      <c r="WTA30" s="910"/>
      <c r="WTB30" s="910"/>
      <c r="WTC30" s="911"/>
      <c r="WTD30" s="911"/>
      <c r="WTE30" s="910"/>
      <c r="WTF30" s="910"/>
      <c r="WTG30" s="910"/>
      <c r="WTH30" s="910"/>
      <c r="WTI30" s="910"/>
      <c r="WTJ30" s="910"/>
      <c r="WTK30" s="910"/>
      <c r="WTL30" s="910"/>
      <c r="WTM30" s="910"/>
      <c r="WTN30" s="911"/>
      <c r="WTO30" s="911"/>
      <c r="WTP30" s="910"/>
      <c r="WTQ30" s="910"/>
      <c r="WTR30" s="910"/>
      <c r="WTS30" s="910"/>
      <c r="WTT30" s="910"/>
      <c r="WTU30" s="910"/>
      <c r="WTV30" s="910"/>
      <c r="WTW30" s="910"/>
      <c r="WTX30" s="910"/>
      <c r="WTY30" s="911"/>
      <c r="WTZ30" s="911"/>
      <c r="WUA30" s="910"/>
      <c r="WUB30" s="910"/>
      <c r="WUC30" s="910"/>
      <c r="WUD30" s="910"/>
      <c r="WUE30" s="910"/>
      <c r="WUF30" s="910"/>
      <c r="WUG30" s="910"/>
      <c r="WUH30" s="910"/>
      <c r="WUI30" s="910"/>
      <c r="WUJ30" s="911"/>
      <c r="WUK30" s="911"/>
      <c r="WUL30" s="910"/>
      <c r="WUM30" s="910"/>
      <c r="WUN30" s="910"/>
      <c r="WUO30" s="910"/>
      <c r="WUP30" s="910"/>
      <c r="WUQ30" s="910"/>
      <c r="WUR30" s="910"/>
      <c r="WUS30" s="910"/>
      <c r="WUT30" s="910"/>
      <c r="WUU30" s="911"/>
      <c r="WUV30" s="911"/>
      <c r="WUW30" s="910"/>
      <c r="WUX30" s="910"/>
      <c r="WUY30" s="910"/>
      <c r="WUZ30" s="910"/>
      <c r="WVA30" s="910"/>
      <c r="WVB30" s="910"/>
      <c r="WVC30" s="910"/>
      <c r="WVD30" s="910"/>
      <c r="WVE30" s="910"/>
      <c r="WVF30" s="911"/>
      <c r="WVG30" s="911"/>
      <c r="WVH30" s="910"/>
      <c r="WVI30" s="910"/>
      <c r="WVJ30" s="910"/>
      <c r="WVK30" s="910"/>
      <c r="WVL30" s="910"/>
      <c r="WVM30" s="910"/>
      <c r="WVN30" s="910"/>
      <c r="WVO30" s="910"/>
      <c r="WVP30" s="910"/>
      <c r="WVQ30" s="911"/>
      <c r="WVR30" s="911"/>
      <c r="WVS30" s="910"/>
      <c r="WVT30" s="910"/>
      <c r="WVU30" s="910"/>
      <c r="WVV30" s="910"/>
      <c r="WVW30" s="910"/>
      <c r="WVX30" s="910"/>
      <c r="WVY30" s="910"/>
      <c r="WVZ30" s="910"/>
      <c r="WWA30" s="910"/>
      <c r="WWB30" s="911"/>
      <c r="WWC30" s="911"/>
      <c r="WWD30" s="910"/>
      <c r="WWE30" s="910"/>
      <c r="WWF30" s="910"/>
      <c r="WWG30" s="910"/>
      <c r="WWH30" s="910"/>
      <c r="WWI30" s="910"/>
      <c r="WWJ30" s="910"/>
      <c r="WWK30" s="910"/>
      <c r="WWL30" s="910"/>
      <c r="WWM30" s="911"/>
      <c r="WWN30" s="911"/>
      <c r="WWO30" s="910"/>
      <c r="WWP30" s="910"/>
      <c r="WWQ30" s="910"/>
      <c r="WWR30" s="910"/>
      <c r="WWS30" s="910"/>
      <c r="WWT30" s="910"/>
      <c r="WWU30" s="910"/>
      <c r="WWV30" s="910"/>
      <c r="WWW30" s="910"/>
      <c r="WWX30" s="911"/>
      <c r="WWY30" s="911"/>
      <c r="WWZ30" s="910"/>
      <c r="WXA30" s="910"/>
      <c r="WXB30" s="910"/>
      <c r="WXC30" s="910"/>
      <c r="WXD30" s="910"/>
      <c r="WXE30" s="910"/>
      <c r="WXF30" s="910"/>
      <c r="WXG30" s="910"/>
      <c r="WXH30" s="910"/>
      <c r="WXI30" s="911"/>
      <c r="WXJ30" s="911"/>
      <c r="WXK30" s="910"/>
      <c r="WXL30" s="910"/>
      <c r="WXM30" s="910"/>
      <c r="WXN30" s="910"/>
      <c r="WXO30" s="910"/>
      <c r="WXP30" s="910"/>
      <c r="WXQ30" s="910"/>
      <c r="WXR30" s="910"/>
      <c r="WXS30" s="910"/>
      <c r="WXT30" s="911"/>
      <c r="WXU30" s="911"/>
      <c r="WXV30" s="910"/>
      <c r="WXW30" s="910"/>
      <c r="WXX30" s="910"/>
      <c r="WXY30" s="910"/>
      <c r="WXZ30" s="910"/>
      <c r="WYA30" s="910"/>
      <c r="WYB30" s="910"/>
      <c r="WYC30" s="910"/>
      <c r="WYD30" s="910"/>
      <c r="WYE30" s="911"/>
      <c r="WYF30" s="911"/>
      <c r="WYG30" s="910"/>
      <c r="WYH30" s="910"/>
      <c r="WYI30" s="910"/>
      <c r="WYJ30" s="910"/>
      <c r="WYK30" s="910"/>
      <c r="WYL30" s="910"/>
      <c r="WYM30" s="910"/>
      <c r="WYN30" s="910"/>
      <c r="WYO30" s="910"/>
      <c r="WYP30" s="911"/>
      <c r="WYQ30" s="911"/>
      <c r="WYR30" s="910"/>
      <c r="WYS30" s="910"/>
      <c r="WYT30" s="910"/>
      <c r="WYU30" s="910"/>
      <c r="WYV30" s="910"/>
      <c r="WYW30" s="910"/>
      <c r="WYX30" s="910"/>
      <c r="WYY30" s="910"/>
      <c r="WYZ30" s="910"/>
      <c r="WZA30" s="911"/>
      <c r="WZB30" s="911"/>
      <c r="WZC30" s="910"/>
      <c r="WZD30" s="910"/>
      <c r="WZE30" s="910"/>
      <c r="WZF30" s="910"/>
      <c r="WZG30" s="910"/>
      <c r="WZH30" s="910"/>
      <c r="WZI30" s="910"/>
      <c r="WZJ30" s="910"/>
      <c r="WZK30" s="910"/>
      <c r="WZL30" s="911"/>
      <c r="WZM30" s="911"/>
      <c r="WZN30" s="910"/>
      <c r="WZO30" s="910"/>
      <c r="WZP30" s="910"/>
      <c r="WZQ30" s="910"/>
      <c r="WZR30" s="910"/>
      <c r="WZS30" s="910"/>
      <c r="WZT30" s="910"/>
      <c r="WZU30" s="910"/>
      <c r="WZV30" s="910"/>
      <c r="WZW30" s="911"/>
      <c r="WZX30" s="911"/>
      <c r="WZY30" s="910"/>
      <c r="WZZ30" s="910"/>
      <c r="XAA30" s="910"/>
      <c r="XAB30" s="910"/>
      <c r="XAC30" s="910"/>
      <c r="XAD30" s="910"/>
      <c r="XAE30" s="910"/>
      <c r="XAF30" s="910"/>
      <c r="XAG30" s="910"/>
      <c r="XAH30" s="911"/>
      <c r="XAI30" s="911"/>
      <c r="XAJ30" s="910"/>
      <c r="XAK30" s="910"/>
      <c r="XAL30" s="910"/>
      <c r="XAM30" s="910"/>
      <c r="XAN30" s="910"/>
      <c r="XAO30" s="910"/>
      <c r="XAP30" s="910"/>
      <c r="XAQ30" s="910"/>
      <c r="XAR30" s="910"/>
      <c r="XAS30" s="911"/>
      <c r="XAT30" s="911"/>
      <c r="XAU30" s="910"/>
      <c r="XAV30" s="910"/>
      <c r="XAW30" s="910"/>
      <c r="XAX30" s="910"/>
      <c r="XAY30" s="910"/>
      <c r="XAZ30" s="910"/>
      <c r="XBA30" s="910"/>
      <c r="XBB30" s="910"/>
      <c r="XBC30" s="910"/>
      <c r="XBD30" s="911"/>
      <c r="XBE30" s="911"/>
      <c r="XBF30" s="910"/>
      <c r="XBG30" s="910"/>
      <c r="XBH30" s="910"/>
      <c r="XBI30" s="910"/>
      <c r="XBJ30" s="910"/>
      <c r="XBK30" s="910"/>
      <c r="XBL30" s="910"/>
      <c r="XBM30" s="910"/>
      <c r="XBN30" s="910"/>
      <c r="XBO30" s="911"/>
      <c r="XBP30" s="911"/>
      <c r="XBQ30" s="910"/>
      <c r="XBR30" s="910"/>
      <c r="XBS30" s="910"/>
      <c r="XBT30" s="910"/>
      <c r="XBU30" s="910"/>
      <c r="XBV30" s="910"/>
      <c r="XBW30" s="910"/>
      <c r="XBX30" s="910"/>
      <c r="XBY30" s="910"/>
      <c r="XBZ30" s="911"/>
      <c r="XCA30" s="911"/>
      <c r="XCB30" s="910"/>
      <c r="XCC30" s="910"/>
      <c r="XCD30" s="910"/>
      <c r="XCE30" s="910"/>
      <c r="XCF30" s="910"/>
      <c r="XCG30" s="910"/>
      <c r="XCH30" s="910"/>
      <c r="XCI30" s="910"/>
      <c r="XCJ30" s="910"/>
      <c r="XCK30" s="911"/>
      <c r="XCL30" s="911"/>
      <c r="XCM30" s="910"/>
      <c r="XCN30" s="910"/>
      <c r="XCO30" s="910"/>
      <c r="XCP30" s="910"/>
      <c r="XCQ30" s="910"/>
      <c r="XCR30" s="910"/>
      <c r="XCS30" s="910"/>
      <c r="XCT30" s="910"/>
      <c r="XCU30" s="910"/>
      <c r="XCV30" s="911"/>
      <c r="XCW30" s="911"/>
      <c r="XCX30" s="910"/>
      <c r="XCY30" s="910"/>
      <c r="XCZ30" s="910"/>
      <c r="XDA30" s="910"/>
      <c r="XDB30" s="910"/>
      <c r="XDC30" s="910"/>
      <c r="XDD30" s="910"/>
      <c r="XDE30" s="910"/>
      <c r="XDF30" s="910"/>
      <c r="XDG30" s="911"/>
      <c r="XDH30" s="911"/>
      <c r="XDI30" s="910"/>
      <c r="XDJ30" s="910"/>
      <c r="XDK30" s="910"/>
      <c r="XDL30" s="910"/>
      <c r="XDM30" s="910"/>
      <c r="XDN30" s="910"/>
      <c r="XDO30" s="910"/>
      <c r="XDP30" s="910"/>
      <c r="XDQ30" s="910"/>
      <c r="XDR30" s="911"/>
      <c r="XDS30" s="911"/>
      <c r="XDT30" s="910"/>
      <c r="XDU30" s="910"/>
      <c r="XDV30" s="910"/>
      <c r="XDW30" s="910"/>
      <c r="XDX30" s="910"/>
      <c r="XDY30" s="910"/>
      <c r="XDZ30" s="910"/>
      <c r="XEA30" s="910"/>
      <c r="XEB30" s="910"/>
      <c r="XEC30" s="911"/>
      <c r="XED30" s="911"/>
      <c r="XEE30" s="910"/>
      <c r="XEF30" s="910"/>
      <c r="XEG30" s="910"/>
      <c r="XEH30" s="910"/>
      <c r="XEI30" s="910"/>
      <c r="XEJ30" s="910"/>
      <c r="XEK30" s="910"/>
      <c r="XEL30" s="910"/>
      <c r="XEM30" s="910"/>
      <c r="XEN30" s="911"/>
      <c r="XEO30" s="911"/>
      <c r="XEP30" s="910"/>
      <c r="XEQ30" s="910"/>
      <c r="XER30" s="910"/>
      <c r="XES30" s="910"/>
      <c r="XET30" s="910"/>
      <c r="XEU30" s="910"/>
      <c r="XEV30" s="910"/>
      <c r="XEW30" s="910"/>
      <c r="XEX30" s="910"/>
      <c r="XEY30" s="911"/>
      <c r="XEZ30" s="911"/>
      <c r="XFA30" s="910"/>
      <c r="XFB30" s="910"/>
      <c r="XFC30" s="910"/>
      <c r="XFD30" s="910"/>
    </row>
    <row r="31" spans="1:16384" s="675" customFormat="1" ht="16" customHeight="1">
      <c r="A31" s="912" t="s">
        <v>113</v>
      </c>
      <c r="B31" s="916">
        <f>B2*25.4</f>
        <v>42.925999999999995</v>
      </c>
      <c r="C31" s="917">
        <f t="shared" ref="C31:J31" si="0">C2*25.4</f>
        <v>54.101999999999997</v>
      </c>
      <c r="D31" s="917">
        <f t="shared" si="0"/>
        <v>60.451999999999991</v>
      </c>
      <c r="E31" s="917">
        <f t="shared" si="0"/>
        <v>73.151999999999987</v>
      </c>
      <c r="F31" s="917">
        <v>79.5</v>
      </c>
      <c r="G31" s="917">
        <f t="shared" si="0"/>
        <v>88.899999999999991</v>
      </c>
      <c r="H31" s="917">
        <f t="shared" si="0"/>
        <v>95.25</v>
      </c>
      <c r="I31" s="920">
        <f t="shared" si="0"/>
        <v>120.64999999999999</v>
      </c>
      <c r="J31" s="919">
        <f t="shared" si="0"/>
        <v>165.1</v>
      </c>
      <c r="K31" s="914"/>
      <c r="L31" s="912"/>
      <c r="M31" s="916"/>
      <c r="N31" s="917"/>
      <c r="O31" s="917"/>
      <c r="P31" s="917"/>
      <c r="Q31" s="917"/>
      <c r="R31" s="917"/>
      <c r="S31" s="917"/>
      <c r="T31" s="917"/>
      <c r="U31" s="918"/>
      <c r="V31" s="914"/>
      <c r="W31" s="912"/>
      <c r="X31" s="916"/>
      <c r="Y31" s="917"/>
      <c r="Z31" s="917"/>
      <c r="AA31" s="917"/>
      <c r="AB31" s="917"/>
      <c r="AC31" s="917"/>
      <c r="AD31" s="917"/>
      <c r="AE31" s="917"/>
      <c r="AF31" s="918"/>
      <c r="AG31" s="914"/>
      <c r="AH31" s="912"/>
      <c r="AI31" s="916"/>
      <c r="AJ31" s="917"/>
      <c r="AK31" s="917"/>
      <c r="AL31" s="917"/>
      <c r="AM31" s="917"/>
      <c r="AN31" s="917"/>
      <c r="AO31" s="917"/>
      <c r="AP31" s="917"/>
      <c r="AQ31" s="918"/>
      <c r="AR31" s="914"/>
      <c r="AS31" s="912"/>
      <c r="AT31" s="916"/>
      <c r="AU31" s="917"/>
      <c r="AV31" s="917"/>
      <c r="AW31" s="917"/>
      <c r="AX31" s="917"/>
      <c r="AY31" s="917"/>
      <c r="AZ31" s="917"/>
      <c r="BA31" s="917"/>
      <c r="BB31" s="918"/>
      <c r="BC31" s="914"/>
      <c r="BD31" s="912"/>
      <c r="BE31" s="916"/>
      <c r="BF31" s="917"/>
      <c r="BG31" s="917"/>
      <c r="BH31" s="917"/>
      <c r="BI31" s="917"/>
      <c r="BJ31" s="917"/>
      <c r="BK31" s="917"/>
      <c r="BL31" s="917"/>
      <c r="BM31" s="918"/>
      <c r="BN31" s="914"/>
      <c r="BO31" s="912"/>
      <c r="BP31" s="916"/>
      <c r="BQ31" s="917"/>
      <c r="BR31" s="917"/>
      <c r="BS31" s="917"/>
      <c r="BT31" s="917"/>
      <c r="BU31" s="917"/>
      <c r="BV31" s="917"/>
      <c r="BW31" s="917"/>
      <c r="BX31" s="918"/>
      <c r="BY31" s="914"/>
      <c r="BZ31" s="912"/>
      <c r="CA31" s="916"/>
      <c r="CB31" s="917"/>
      <c r="CC31" s="917"/>
      <c r="CD31" s="917"/>
      <c r="CE31" s="917"/>
      <c r="CF31" s="917"/>
      <c r="CG31" s="917"/>
      <c r="CH31" s="917"/>
      <c r="CI31" s="918"/>
      <c r="CJ31" s="914"/>
      <c r="CK31" s="912"/>
      <c r="CL31" s="916"/>
      <c r="CM31" s="917"/>
      <c r="CN31" s="917"/>
      <c r="CO31" s="917"/>
      <c r="CP31" s="917"/>
      <c r="CQ31" s="917"/>
      <c r="CR31" s="917"/>
      <c r="CS31" s="917"/>
      <c r="CT31" s="918"/>
      <c r="CU31" s="914"/>
      <c r="CV31" s="912"/>
      <c r="CW31" s="916"/>
      <c r="CX31" s="917"/>
      <c r="CY31" s="917"/>
      <c r="CZ31" s="917"/>
      <c r="DA31" s="917"/>
      <c r="DB31" s="917"/>
      <c r="DC31" s="917"/>
      <c r="DD31" s="917"/>
      <c r="DE31" s="918"/>
      <c r="DF31" s="914"/>
      <c r="DG31" s="912"/>
      <c r="DH31" s="916"/>
      <c r="DI31" s="917"/>
      <c r="DJ31" s="917"/>
      <c r="DK31" s="917"/>
      <c r="DL31" s="917"/>
      <c r="DM31" s="917"/>
      <c r="DN31" s="917"/>
      <c r="DO31" s="917"/>
      <c r="DP31" s="918"/>
      <c r="DQ31" s="914"/>
      <c r="DR31" s="912"/>
      <c r="DS31" s="916"/>
      <c r="DT31" s="917"/>
      <c r="DU31" s="917"/>
      <c r="DV31" s="917"/>
      <c r="DW31" s="917"/>
      <c r="DX31" s="917"/>
      <c r="DY31" s="917"/>
      <c r="DZ31" s="917"/>
      <c r="EA31" s="918"/>
      <c r="EB31" s="914"/>
      <c r="EC31" s="912"/>
      <c r="ED31" s="916"/>
      <c r="EE31" s="917"/>
      <c r="EF31" s="917"/>
      <c r="EG31" s="917"/>
      <c r="EH31" s="917"/>
      <c r="EI31" s="917"/>
      <c r="EJ31" s="917"/>
      <c r="EK31" s="917"/>
      <c r="EL31" s="918"/>
      <c r="EM31" s="914"/>
      <c r="EN31" s="912"/>
      <c r="EO31" s="916"/>
      <c r="EP31" s="917"/>
      <c r="EQ31" s="917"/>
      <c r="ER31" s="917"/>
      <c r="ES31" s="917"/>
      <c r="ET31" s="917"/>
      <c r="EU31" s="917"/>
      <c r="EV31" s="917"/>
      <c r="EW31" s="918"/>
      <c r="EX31" s="914"/>
      <c r="EY31" s="912"/>
      <c r="EZ31" s="916"/>
      <c r="FA31" s="917"/>
      <c r="FB31" s="917"/>
      <c r="FC31" s="917"/>
      <c r="FD31" s="917"/>
      <c r="FE31" s="917"/>
      <c r="FF31" s="917"/>
      <c r="FG31" s="917"/>
      <c r="FH31" s="918"/>
      <c r="FI31" s="914"/>
      <c r="FJ31" s="912"/>
      <c r="FK31" s="916"/>
      <c r="FL31" s="917"/>
      <c r="FM31" s="917"/>
      <c r="FN31" s="917"/>
      <c r="FO31" s="917"/>
      <c r="FP31" s="917"/>
      <c r="FQ31" s="917"/>
      <c r="FR31" s="917"/>
      <c r="FS31" s="918"/>
      <c r="FT31" s="914"/>
      <c r="FU31" s="912"/>
      <c r="FV31" s="916"/>
      <c r="FW31" s="917"/>
      <c r="FX31" s="917"/>
      <c r="FY31" s="917"/>
      <c r="FZ31" s="917"/>
      <c r="GA31" s="917"/>
      <c r="GB31" s="917"/>
      <c r="GC31" s="917"/>
      <c r="GD31" s="918"/>
      <c r="GE31" s="914"/>
      <c r="GF31" s="912"/>
      <c r="GG31" s="916"/>
      <c r="GH31" s="917"/>
      <c r="GI31" s="917"/>
      <c r="GJ31" s="917"/>
      <c r="GK31" s="917"/>
      <c r="GL31" s="917"/>
      <c r="GM31" s="917"/>
      <c r="GN31" s="917"/>
      <c r="GO31" s="918"/>
      <c r="GP31" s="914"/>
      <c r="GQ31" s="912"/>
      <c r="GR31" s="916"/>
      <c r="GS31" s="917"/>
      <c r="GT31" s="917"/>
      <c r="GU31" s="917"/>
      <c r="GV31" s="917"/>
      <c r="GW31" s="917"/>
      <c r="GX31" s="917"/>
      <c r="GY31" s="917"/>
      <c r="GZ31" s="918"/>
      <c r="HA31" s="914"/>
      <c r="HB31" s="912"/>
      <c r="HC31" s="916"/>
      <c r="HD31" s="917"/>
      <c r="HE31" s="917"/>
      <c r="HF31" s="917"/>
      <c r="HG31" s="917"/>
      <c r="HH31" s="917"/>
      <c r="HI31" s="917"/>
      <c r="HJ31" s="917"/>
      <c r="HK31" s="918"/>
      <c r="HL31" s="914"/>
      <c r="HM31" s="912"/>
      <c r="HN31" s="916"/>
      <c r="HO31" s="917"/>
      <c r="HP31" s="917"/>
      <c r="HQ31" s="917"/>
      <c r="HR31" s="917"/>
      <c r="HS31" s="917"/>
      <c r="HT31" s="917"/>
      <c r="HU31" s="917"/>
      <c r="HV31" s="918"/>
      <c r="HW31" s="914"/>
      <c r="HX31" s="912"/>
      <c r="HY31" s="916"/>
      <c r="HZ31" s="917"/>
      <c r="IA31" s="917"/>
      <c r="IB31" s="917"/>
      <c r="IC31" s="917"/>
      <c r="ID31" s="917"/>
      <c r="IE31" s="917"/>
      <c r="IF31" s="917"/>
      <c r="IG31" s="918"/>
      <c r="IH31" s="914"/>
      <c r="II31" s="912"/>
      <c r="IJ31" s="916"/>
      <c r="IK31" s="917"/>
      <c r="IL31" s="917"/>
      <c r="IM31" s="917"/>
      <c r="IN31" s="917"/>
      <c r="IO31" s="917"/>
      <c r="IP31" s="917"/>
      <c r="IQ31" s="917"/>
      <c r="IR31" s="918"/>
      <c r="IS31" s="914"/>
      <c r="IT31" s="912"/>
      <c r="IU31" s="916"/>
      <c r="IV31" s="917"/>
      <c r="IW31" s="917"/>
      <c r="IX31" s="917"/>
      <c r="IY31" s="917"/>
      <c r="IZ31" s="917"/>
      <c r="JA31" s="917"/>
      <c r="JB31" s="917"/>
      <c r="JC31" s="918"/>
      <c r="JD31" s="914"/>
      <c r="JE31" s="912"/>
      <c r="JF31" s="916"/>
      <c r="JG31" s="917"/>
      <c r="JH31" s="917"/>
      <c r="JI31" s="917"/>
      <c r="JJ31" s="917"/>
      <c r="JK31" s="917"/>
      <c r="JL31" s="917"/>
      <c r="JM31" s="917"/>
      <c r="JN31" s="918"/>
      <c r="JO31" s="914"/>
      <c r="JP31" s="912"/>
      <c r="JQ31" s="916"/>
      <c r="JR31" s="917"/>
      <c r="JS31" s="917"/>
      <c r="JT31" s="917"/>
      <c r="JU31" s="917"/>
      <c r="JV31" s="917"/>
      <c r="JW31" s="917"/>
      <c r="JX31" s="917"/>
      <c r="JY31" s="918"/>
      <c r="JZ31" s="914"/>
      <c r="KA31" s="912"/>
      <c r="KB31" s="916"/>
      <c r="KC31" s="917"/>
      <c r="KD31" s="917"/>
      <c r="KE31" s="917"/>
      <c r="KF31" s="917"/>
      <c r="KG31" s="917"/>
      <c r="KH31" s="917"/>
      <c r="KI31" s="917"/>
      <c r="KJ31" s="918"/>
      <c r="KK31" s="914"/>
      <c r="KL31" s="912"/>
      <c r="KM31" s="916"/>
      <c r="KN31" s="917"/>
      <c r="KO31" s="917"/>
      <c r="KP31" s="917"/>
      <c r="KQ31" s="917"/>
      <c r="KR31" s="917"/>
      <c r="KS31" s="917"/>
      <c r="KT31" s="917"/>
      <c r="KU31" s="918"/>
      <c r="KV31" s="914"/>
      <c r="KW31" s="912"/>
      <c r="KX31" s="916"/>
      <c r="KY31" s="917"/>
      <c r="KZ31" s="917"/>
      <c r="LA31" s="917"/>
      <c r="LB31" s="917"/>
      <c r="LC31" s="917"/>
      <c r="LD31" s="917"/>
      <c r="LE31" s="917"/>
      <c r="LF31" s="918"/>
      <c r="LG31" s="914"/>
      <c r="LH31" s="912"/>
      <c r="LI31" s="916"/>
      <c r="LJ31" s="917"/>
      <c r="LK31" s="917"/>
      <c r="LL31" s="917"/>
      <c r="LM31" s="917"/>
      <c r="LN31" s="917"/>
      <c r="LO31" s="917"/>
      <c r="LP31" s="917"/>
      <c r="LQ31" s="918"/>
      <c r="LR31" s="914"/>
      <c r="LS31" s="912"/>
      <c r="LT31" s="916"/>
      <c r="LU31" s="917"/>
      <c r="LV31" s="917"/>
      <c r="LW31" s="917"/>
      <c r="LX31" s="917"/>
      <c r="LY31" s="917"/>
      <c r="LZ31" s="917"/>
      <c r="MA31" s="917"/>
      <c r="MB31" s="918"/>
      <c r="MC31" s="914"/>
      <c r="MD31" s="912"/>
      <c r="ME31" s="916"/>
      <c r="MF31" s="917"/>
      <c r="MG31" s="917"/>
      <c r="MH31" s="917"/>
      <c r="MI31" s="917"/>
      <c r="MJ31" s="917"/>
      <c r="MK31" s="917"/>
      <c r="ML31" s="917"/>
      <c r="MM31" s="918"/>
      <c r="MN31" s="914"/>
      <c r="MO31" s="912"/>
      <c r="MP31" s="916"/>
      <c r="MQ31" s="917"/>
      <c r="MR31" s="917"/>
      <c r="MS31" s="917"/>
      <c r="MT31" s="917"/>
      <c r="MU31" s="917"/>
      <c r="MV31" s="917"/>
      <c r="MW31" s="917"/>
      <c r="MX31" s="918"/>
      <c r="MY31" s="914"/>
      <c r="MZ31" s="912"/>
      <c r="NA31" s="916"/>
      <c r="NB31" s="917"/>
      <c r="NC31" s="917"/>
      <c r="ND31" s="917"/>
      <c r="NE31" s="917"/>
      <c r="NF31" s="917"/>
      <c r="NG31" s="917"/>
      <c r="NH31" s="917"/>
      <c r="NI31" s="918"/>
      <c r="NJ31" s="914"/>
      <c r="NK31" s="912"/>
      <c r="NL31" s="916"/>
      <c r="NM31" s="917"/>
      <c r="NN31" s="917"/>
      <c r="NO31" s="917"/>
      <c r="NP31" s="917"/>
      <c r="NQ31" s="917"/>
      <c r="NR31" s="917"/>
      <c r="NS31" s="917"/>
      <c r="NT31" s="918"/>
      <c r="NU31" s="914"/>
      <c r="NV31" s="912"/>
      <c r="NW31" s="916"/>
      <c r="NX31" s="917"/>
      <c r="NY31" s="917"/>
      <c r="NZ31" s="917"/>
      <c r="OA31" s="917"/>
      <c r="OB31" s="917"/>
      <c r="OC31" s="917"/>
      <c r="OD31" s="917"/>
      <c r="OE31" s="918"/>
      <c r="OF31" s="914"/>
      <c r="OG31" s="912"/>
      <c r="OH31" s="916"/>
      <c r="OI31" s="917"/>
      <c r="OJ31" s="917"/>
      <c r="OK31" s="917"/>
      <c r="OL31" s="917"/>
      <c r="OM31" s="917"/>
      <c r="ON31" s="917"/>
      <c r="OO31" s="917"/>
      <c r="OP31" s="918"/>
      <c r="OQ31" s="914"/>
      <c r="OR31" s="912"/>
      <c r="OS31" s="916"/>
      <c r="OT31" s="917"/>
      <c r="OU31" s="917"/>
      <c r="OV31" s="917"/>
      <c r="OW31" s="917"/>
      <c r="OX31" s="917"/>
      <c r="OY31" s="917"/>
      <c r="OZ31" s="917"/>
      <c r="PA31" s="918"/>
      <c r="PB31" s="914"/>
      <c r="PC31" s="912"/>
      <c r="PD31" s="916"/>
      <c r="PE31" s="917"/>
      <c r="PF31" s="917"/>
      <c r="PG31" s="917"/>
      <c r="PH31" s="917"/>
      <c r="PI31" s="917"/>
      <c r="PJ31" s="917"/>
      <c r="PK31" s="917"/>
      <c r="PL31" s="918"/>
      <c r="PM31" s="914"/>
      <c r="PN31" s="912"/>
      <c r="PO31" s="916"/>
      <c r="PP31" s="917"/>
      <c r="PQ31" s="917"/>
      <c r="PR31" s="917"/>
      <c r="PS31" s="917"/>
      <c r="PT31" s="917"/>
      <c r="PU31" s="917"/>
      <c r="PV31" s="917"/>
      <c r="PW31" s="918"/>
      <c r="PX31" s="914"/>
      <c r="PY31" s="912"/>
      <c r="PZ31" s="916"/>
      <c r="QA31" s="917"/>
      <c r="QB31" s="917"/>
      <c r="QC31" s="917"/>
      <c r="QD31" s="917"/>
      <c r="QE31" s="917"/>
      <c r="QF31" s="917"/>
      <c r="QG31" s="917"/>
      <c r="QH31" s="918"/>
      <c r="QI31" s="914"/>
      <c r="QJ31" s="912"/>
      <c r="QK31" s="916"/>
      <c r="QL31" s="917"/>
      <c r="QM31" s="917"/>
      <c r="QN31" s="917"/>
      <c r="QO31" s="917"/>
      <c r="QP31" s="917"/>
      <c r="QQ31" s="917"/>
      <c r="QR31" s="917"/>
      <c r="QS31" s="918"/>
      <c r="QT31" s="914"/>
      <c r="QU31" s="912"/>
      <c r="QV31" s="916"/>
      <c r="QW31" s="917"/>
      <c r="QX31" s="917"/>
      <c r="QY31" s="917"/>
      <c r="QZ31" s="917"/>
      <c r="RA31" s="917"/>
      <c r="RB31" s="917"/>
      <c r="RC31" s="917"/>
      <c r="RD31" s="918"/>
      <c r="RE31" s="914"/>
      <c r="RF31" s="912"/>
      <c r="RG31" s="916"/>
      <c r="RH31" s="917"/>
      <c r="RI31" s="917"/>
      <c r="RJ31" s="917"/>
      <c r="RK31" s="917"/>
      <c r="RL31" s="917"/>
      <c r="RM31" s="917"/>
      <c r="RN31" s="917"/>
      <c r="RO31" s="918"/>
      <c r="RP31" s="914"/>
      <c r="RQ31" s="912"/>
      <c r="RR31" s="916"/>
      <c r="RS31" s="917"/>
      <c r="RT31" s="917"/>
      <c r="RU31" s="917"/>
      <c r="RV31" s="917"/>
      <c r="RW31" s="917"/>
      <c r="RX31" s="917"/>
      <c r="RY31" s="917"/>
      <c r="RZ31" s="918"/>
      <c r="SA31" s="914"/>
      <c r="SB31" s="912"/>
      <c r="SC31" s="916"/>
      <c r="SD31" s="917"/>
      <c r="SE31" s="917"/>
      <c r="SF31" s="917"/>
      <c r="SG31" s="917"/>
      <c r="SH31" s="917"/>
      <c r="SI31" s="917"/>
      <c r="SJ31" s="917"/>
      <c r="SK31" s="918"/>
      <c r="SL31" s="914"/>
      <c r="SM31" s="912"/>
      <c r="SN31" s="916"/>
      <c r="SO31" s="917"/>
      <c r="SP31" s="917"/>
      <c r="SQ31" s="917"/>
      <c r="SR31" s="917"/>
      <c r="SS31" s="917"/>
      <c r="ST31" s="917"/>
      <c r="SU31" s="917"/>
      <c r="SV31" s="918"/>
      <c r="SW31" s="914"/>
      <c r="SX31" s="912"/>
      <c r="SY31" s="916"/>
      <c r="SZ31" s="917"/>
      <c r="TA31" s="917"/>
      <c r="TB31" s="917"/>
      <c r="TC31" s="917"/>
      <c r="TD31" s="917"/>
      <c r="TE31" s="917"/>
      <c r="TF31" s="917"/>
      <c r="TG31" s="918"/>
      <c r="TH31" s="914"/>
      <c r="TI31" s="912"/>
      <c r="TJ31" s="916"/>
      <c r="TK31" s="917"/>
      <c r="TL31" s="917"/>
      <c r="TM31" s="917"/>
      <c r="TN31" s="917"/>
      <c r="TO31" s="917"/>
      <c r="TP31" s="917"/>
      <c r="TQ31" s="917"/>
      <c r="TR31" s="918"/>
      <c r="TS31" s="914"/>
      <c r="TT31" s="912"/>
      <c r="TU31" s="916"/>
      <c r="TV31" s="917"/>
      <c r="TW31" s="917"/>
      <c r="TX31" s="917"/>
      <c r="TY31" s="917"/>
      <c r="TZ31" s="917"/>
      <c r="UA31" s="917"/>
      <c r="UB31" s="917"/>
      <c r="UC31" s="918"/>
      <c r="UD31" s="914"/>
      <c r="UE31" s="912"/>
      <c r="UF31" s="916"/>
      <c r="UG31" s="917"/>
      <c r="UH31" s="917"/>
      <c r="UI31" s="917"/>
      <c r="UJ31" s="917"/>
      <c r="UK31" s="917"/>
      <c r="UL31" s="917"/>
      <c r="UM31" s="917"/>
      <c r="UN31" s="918"/>
      <c r="UO31" s="914"/>
      <c r="UP31" s="912"/>
      <c r="UQ31" s="916"/>
      <c r="UR31" s="917"/>
      <c r="US31" s="917"/>
      <c r="UT31" s="917"/>
      <c r="UU31" s="917"/>
      <c r="UV31" s="917"/>
      <c r="UW31" s="917"/>
      <c r="UX31" s="917"/>
      <c r="UY31" s="918"/>
      <c r="UZ31" s="914"/>
      <c r="VA31" s="912"/>
      <c r="VB31" s="916"/>
      <c r="VC31" s="917"/>
      <c r="VD31" s="917"/>
      <c r="VE31" s="917"/>
      <c r="VF31" s="917"/>
      <c r="VG31" s="917"/>
      <c r="VH31" s="917"/>
      <c r="VI31" s="917"/>
      <c r="VJ31" s="918"/>
      <c r="VK31" s="914"/>
      <c r="VL31" s="912"/>
      <c r="VM31" s="916"/>
      <c r="VN31" s="917"/>
      <c r="VO31" s="917"/>
      <c r="VP31" s="917"/>
      <c r="VQ31" s="917"/>
      <c r="VR31" s="917"/>
      <c r="VS31" s="917"/>
      <c r="VT31" s="917"/>
      <c r="VU31" s="918"/>
      <c r="VV31" s="914"/>
      <c r="VW31" s="912"/>
      <c r="VX31" s="916"/>
      <c r="VY31" s="917"/>
      <c r="VZ31" s="917"/>
      <c r="WA31" s="917"/>
      <c r="WB31" s="917"/>
      <c r="WC31" s="917"/>
      <c r="WD31" s="917"/>
      <c r="WE31" s="917"/>
      <c r="WF31" s="918"/>
      <c r="WG31" s="914"/>
      <c r="WH31" s="912"/>
      <c r="WI31" s="916"/>
      <c r="WJ31" s="917"/>
      <c r="WK31" s="917"/>
      <c r="WL31" s="917"/>
      <c r="WM31" s="917"/>
      <c r="WN31" s="917"/>
      <c r="WO31" s="917"/>
      <c r="WP31" s="917"/>
      <c r="WQ31" s="918"/>
      <c r="WR31" s="914"/>
      <c r="WS31" s="912"/>
      <c r="WT31" s="916"/>
      <c r="WU31" s="917"/>
      <c r="WV31" s="917"/>
      <c r="WW31" s="917"/>
      <c r="WX31" s="917"/>
      <c r="WY31" s="917"/>
      <c r="WZ31" s="917"/>
      <c r="XA31" s="917"/>
      <c r="XB31" s="918"/>
      <c r="XC31" s="914"/>
      <c r="XD31" s="912"/>
      <c r="XE31" s="916"/>
      <c r="XF31" s="917"/>
      <c r="XG31" s="917"/>
      <c r="XH31" s="917"/>
      <c r="XI31" s="917"/>
      <c r="XJ31" s="917"/>
      <c r="XK31" s="917"/>
      <c r="XL31" s="917"/>
      <c r="XM31" s="918"/>
      <c r="XN31" s="914"/>
      <c r="XO31" s="912"/>
      <c r="XP31" s="916"/>
      <c r="XQ31" s="917"/>
      <c r="XR31" s="917"/>
      <c r="XS31" s="917"/>
      <c r="XT31" s="917"/>
      <c r="XU31" s="917"/>
      <c r="XV31" s="917"/>
      <c r="XW31" s="917"/>
      <c r="XX31" s="918"/>
      <c r="XY31" s="914"/>
      <c r="XZ31" s="912"/>
      <c r="YA31" s="916"/>
      <c r="YB31" s="917"/>
      <c r="YC31" s="917"/>
      <c r="YD31" s="917"/>
      <c r="YE31" s="917"/>
      <c r="YF31" s="917"/>
      <c r="YG31" s="917"/>
      <c r="YH31" s="917"/>
      <c r="YI31" s="918"/>
      <c r="YJ31" s="914"/>
      <c r="YK31" s="912"/>
      <c r="YL31" s="916"/>
      <c r="YM31" s="917"/>
      <c r="YN31" s="917"/>
      <c r="YO31" s="917"/>
      <c r="YP31" s="917"/>
      <c r="YQ31" s="917"/>
      <c r="YR31" s="917"/>
      <c r="YS31" s="917"/>
      <c r="YT31" s="918"/>
      <c r="YU31" s="914"/>
      <c r="YV31" s="912"/>
      <c r="YW31" s="916"/>
      <c r="YX31" s="917"/>
      <c r="YY31" s="917"/>
      <c r="YZ31" s="917"/>
      <c r="ZA31" s="917"/>
      <c r="ZB31" s="917"/>
      <c r="ZC31" s="917"/>
      <c r="ZD31" s="917"/>
      <c r="ZE31" s="918"/>
      <c r="ZF31" s="914"/>
      <c r="ZG31" s="912"/>
      <c r="ZH31" s="916"/>
      <c r="ZI31" s="917"/>
      <c r="ZJ31" s="917"/>
      <c r="ZK31" s="917"/>
      <c r="ZL31" s="917"/>
      <c r="ZM31" s="917"/>
      <c r="ZN31" s="917"/>
      <c r="ZO31" s="917"/>
      <c r="ZP31" s="918"/>
      <c r="ZQ31" s="914"/>
      <c r="ZR31" s="912"/>
      <c r="ZS31" s="916"/>
      <c r="ZT31" s="917"/>
      <c r="ZU31" s="917"/>
      <c r="ZV31" s="917"/>
      <c r="ZW31" s="917"/>
      <c r="ZX31" s="917"/>
      <c r="ZY31" s="917"/>
      <c r="ZZ31" s="917"/>
      <c r="AAA31" s="918"/>
      <c r="AAB31" s="914"/>
      <c r="AAC31" s="912"/>
      <c r="AAD31" s="916"/>
      <c r="AAE31" s="917"/>
      <c r="AAF31" s="917"/>
      <c r="AAG31" s="917"/>
      <c r="AAH31" s="917"/>
      <c r="AAI31" s="917"/>
      <c r="AAJ31" s="917"/>
      <c r="AAK31" s="917"/>
      <c r="AAL31" s="918"/>
      <c r="AAM31" s="914"/>
      <c r="AAN31" s="912"/>
      <c r="AAO31" s="916"/>
      <c r="AAP31" s="917"/>
      <c r="AAQ31" s="917"/>
      <c r="AAR31" s="917"/>
      <c r="AAS31" s="917"/>
      <c r="AAT31" s="917"/>
      <c r="AAU31" s="917"/>
      <c r="AAV31" s="917"/>
      <c r="AAW31" s="918"/>
      <c r="AAX31" s="914"/>
      <c r="AAY31" s="912"/>
      <c r="AAZ31" s="916"/>
      <c r="ABA31" s="917"/>
      <c r="ABB31" s="917"/>
      <c r="ABC31" s="917"/>
      <c r="ABD31" s="917"/>
      <c r="ABE31" s="917"/>
      <c r="ABF31" s="917"/>
      <c r="ABG31" s="917"/>
      <c r="ABH31" s="918"/>
      <c r="ABI31" s="914"/>
      <c r="ABJ31" s="912"/>
      <c r="ABK31" s="916"/>
      <c r="ABL31" s="917"/>
      <c r="ABM31" s="917"/>
      <c r="ABN31" s="917"/>
      <c r="ABO31" s="917"/>
      <c r="ABP31" s="917"/>
      <c r="ABQ31" s="917"/>
      <c r="ABR31" s="917"/>
      <c r="ABS31" s="918"/>
      <c r="ABT31" s="914"/>
      <c r="ABU31" s="912"/>
      <c r="ABV31" s="916"/>
      <c r="ABW31" s="917"/>
      <c r="ABX31" s="917"/>
      <c r="ABY31" s="917"/>
      <c r="ABZ31" s="917"/>
      <c r="ACA31" s="917"/>
      <c r="ACB31" s="917"/>
      <c r="ACC31" s="917"/>
      <c r="ACD31" s="918"/>
      <c r="ACE31" s="914"/>
      <c r="ACF31" s="912"/>
      <c r="ACG31" s="916"/>
      <c r="ACH31" s="917"/>
      <c r="ACI31" s="917"/>
      <c r="ACJ31" s="917"/>
      <c r="ACK31" s="917"/>
      <c r="ACL31" s="917"/>
      <c r="ACM31" s="917"/>
      <c r="ACN31" s="917"/>
      <c r="ACO31" s="918"/>
      <c r="ACP31" s="914"/>
      <c r="ACQ31" s="912"/>
      <c r="ACR31" s="916"/>
      <c r="ACS31" s="917"/>
      <c r="ACT31" s="917"/>
      <c r="ACU31" s="917"/>
      <c r="ACV31" s="917"/>
      <c r="ACW31" s="917"/>
      <c r="ACX31" s="917"/>
      <c r="ACY31" s="917"/>
      <c r="ACZ31" s="918"/>
      <c r="ADA31" s="914"/>
      <c r="ADB31" s="912"/>
      <c r="ADC31" s="916"/>
      <c r="ADD31" s="917"/>
      <c r="ADE31" s="917"/>
      <c r="ADF31" s="917"/>
      <c r="ADG31" s="917"/>
      <c r="ADH31" s="917"/>
      <c r="ADI31" s="917"/>
      <c r="ADJ31" s="917"/>
      <c r="ADK31" s="918"/>
      <c r="ADL31" s="914"/>
      <c r="ADM31" s="912"/>
      <c r="ADN31" s="916"/>
      <c r="ADO31" s="917"/>
      <c r="ADP31" s="917"/>
      <c r="ADQ31" s="917"/>
      <c r="ADR31" s="917"/>
      <c r="ADS31" s="917"/>
      <c r="ADT31" s="917"/>
      <c r="ADU31" s="917"/>
      <c r="ADV31" s="918"/>
      <c r="ADW31" s="914"/>
      <c r="ADX31" s="912"/>
      <c r="ADY31" s="916"/>
      <c r="ADZ31" s="917"/>
      <c r="AEA31" s="917"/>
      <c r="AEB31" s="917"/>
      <c r="AEC31" s="917"/>
      <c r="AED31" s="917"/>
      <c r="AEE31" s="917"/>
      <c r="AEF31" s="917"/>
      <c r="AEG31" s="918"/>
      <c r="AEH31" s="914"/>
      <c r="AEI31" s="912"/>
      <c r="AEJ31" s="916"/>
      <c r="AEK31" s="917"/>
      <c r="AEL31" s="917"/>
      <c r="AEM31" s="917"/>
      <c r="AEN31" s="917"/>
      <c r="AEO31" s="917"/>
      <c r="AEP31" s="917"/>
      <c r="AEQ31" s="917"/>
      <c r="AER31" s="918"/>
      <c r="AES31" s="914"/>
      <c r="AET31" s="912"/>
      <c r="AEU31" s="916"/>
      <c r="AEV31" s="917"/>
      <c r="AEW31" s="917"/>
      <c r="AEX31" s="917"/>
      <c r="AEY31" s="917"/>
      <c r="AEZ31" s="917"/>
      <c r="AFA31" s="917"/>
      <c r="AFB31" s="917"/>
      <c r="AFC31" s="918"/>
      <c r="AFD31" s="914"/>
      <c r="AFE31" s="912"/>
      <c r="AFF31" s="916"/>
      <c r="AFG31" s="917"/>
      <c r="AFH31" s="917"/>
      <c r="AFI31" s="917"/>
      <c r="AFJ31" s="917"/>
      <c r="AFK31" s="917"/>
      <c r="AFL31" s="917"/>
      <c r="AFM31" s="917"/>
      <c r="AFN31" s="918"/>
      <c r="AFO31" s="914"/>
      <c r="AFP31" s="912"/>
      <c r="AFQ31" s="916"/>
      <c r="AFR31" s="917"/>
      <c r="AFS31" s="917"/>
      <c r="AFT31" s="917"/>
      <c r="AFU31" s="917"/>
      <c r="AFV31" s="917"/>
      <c r="AFW31" s="917"/>
      <c r="AFX31" s="917"/>
      <c r="AFY31" s="918"/>
      <c r="AFZ31" s="914"/>
      <c r="AGA31" s="912"/>
      <c r="AGB31" s="916"/>
      <c r="AGC31" s="917"/>
      <c r="AGD31" s="917"/>
      <c r="AGE31" s="917"/>
      <c r="AGF31" s="917"/>
      <c r="AGG31" s="917"/>
      <c r="AGH31" s="917"/>
      <c r="AGI31" s="917"/>
      <c r="AGJ31" s="918"/>
      <c r="AGK31" s="914"/>
      <c r="AGL31" s="912"/>
      <c r="AGM31" s="916"/>
      <c r="AGN31" s="917"/>
      <c r="AGO31" s="917"/>
      <c r="AGP31" s="917"/>
      <c r="AGQ31" s="917"/>
      <c r="AGR31" s="917"/>
      <c r="AGS31" s="917"/>
      <c r="AGT31" s="917"/>
      <c r="AGU31" s="918"/>
      <c r="AGV31" s="914"/>
      <c r="AGW31" s="912"/>
      <c r="AGX31" s="916"/>
      <c r="AGY31" s="917"/>
      <c r="AGZ31" s="917"/>
      <c r="AHA31" s="917"/>
      <c r="AHB31" s="917"/>
      <c r="AHC31" s="917"/>
      <c r="AHD31" s="917"/>
      <c r="AHE31" s="917"/>
      <c r="AHF31" s="918"/>
      <c r="AHG31" s="914"/>
      <c r="AHH31" s="912"/>
      <c r="AHI31" s="916"/>
      <c r="AHJ31" s="917"/>
      <c r="AHK31" s="917"/>
      <c r="AHL31" s="917"/>
      <c r="AHM31" s="917"/>
      <c r="AHN31" s="917"/>
      <c r="AHO31" s="917"/>
      <c r="AHP31" s="917"/>
      <c r="AHQ31" s="918"/>
      <c r="AHR31" s="914"/>
      <c r="AHS31" s="912"/>
      <c r="AHT31" s="916"/>
      <c r="AHU31" s="917"/>
      <c r="AHV31" s="917"/>
      <c r="AHW31" s="917"/>
      <c r="AHX31" s="917"/>
      <c r="AHY31" s="917"/>
      <c r="AHZ31" s="917"/>
      <c r="AIA31" s="917"/>
      <c r="AIB31" s="918"/>
      <c r="AIC31" s="914"/>
      <c r="AID31" s="912"/>
      <c r="AIE31" s="916"/>
      <c r="AIF31" s="917"/>
      <c r="AIG31" s="917"/>
      <c r="AIH31" s="917"/>
      <c r="AII31" s="917"/>
      <c r="AIJ31" s="917"/>
      <c r="AIK31" s="917"/>
      <c r="AIL31" s="917"/>
      <c r="AIM31" s="918"/>
      <c r="AIN31" s="914"/>
      <c r="AIO31" s="912"/>
      <c r="AIP31" s="916"/>
      <c r="AIQ31" s="917"/>
      <c r="AIR31" s="917"/>
      <c r="AIS31" s="917"/>
      <c r="AIT31" s="917"/>
      <c r="AIU31" s="917"/>
      <c r="AIV31" s="917"/>
      <c r="AIW31" s="917"/>
      <c r="AIX31" s="918"/>
      <c r="AIY31" s="914"/>
      <c r="AIZ31" s="912"/>
      <c r="AJA31" s="916"/>
      <c r="AJB31" s="917"/>
      <c r="AJC31" s="917"/>
      <c r="AJD31" s="917"/>
      <c r="AJE31" s="917"/>
      <c r="AJF31" s="917"/>
      <c r="AJG31" s="917"/>
      <c r="AJH31" s="917"/>
      <c r="AJI31" s="918"/>
      <c r="AJJ31" s="914"/>
      <c r="AJK31" s="912"/>
      <c r="AJL31" s="916"/>
      <c r="AJM31" s="917"/>
      <c r="AJN31" s="917"/>
      <c r="AJO31" s="917"/>
      <c r="AJP31" s="917"/>
      <c r="AJQ31" s="917"/>
      <c r="AJR31" s="917"/>
      <c r="AJS31" s="917"/>
      <c r="AJT31" s="918"/>
      <c r="AJU31" s="914"/>
      <c r="AJV31" s="912"/>
      <c r="AJW31" s="916"/>
      <c r="AJX31" s="917"/>
      <c r="AJY31" s="917"/>
      <c r="AJZ31" s="917"/>
      <c r="AKA31" s="917"/>
      <c r="AKB31" s="917"/>
      <c r="AKC31" s="917"/>
      <c r="AKD31" s="917"/>
      <c r="AKE31" s="918"/>
      <c r="AKF31" s="914"/>
      <c r="AKG31" s="912"/>
      <c r="AKH31" s="916"/>
      <c r="AKI31" s="917"/>
      <c r="AKJ31" s="917"/>
      <c r="AKK31" s="917"/>
      <c r="AKL31" s="917"/>
      <c r="AKM31" s="917"/>
      <c r="AKN31" s="917"/>
      <c r="AKO31" s="917"/>
      <c r="AKP31" s="918"/>
      <c r="AKQ31" s="914"/>
      <c r="AKR31" s="912"/>
      <c r="AKS31" s="916"/>
      <c r="AKT31" s="917"/>
      <c r="AKU31" s="917"/>
      <c r="AKV31" s="917"/>
      <c r="AKW31" s="917"/>
      <c r="AKX31" s="917"/>
      <c r="AKY31" s="917"/>
      <c r="AKZ31" s="917"/>
      <c r="ALA31" s="918"/>
      <c r="ALB31" s="914"/>
      <c r="ALC31" s="912"/>
      <c r="ALD31" s="916"/>
      <c r="ALE31" s="917"/>
      <c r="ALF31" s="917"/>
      <c r="ALG31" s="917"/>
      <c r="ALH31" s="917"/>
      <c r="ALI31" s="917"/>
      <c r="ALJ31" s="917"/>
      <c r="ALK31" s="917"/>
      <c r="ALL31" s="918"/>
      <c r="ALM31" s="914"/>
      <c r="ALN31" s="912"/>
      <c r="ALO31" s="916"/>
      <c r="ALP31" s="917"/>
      <c r="ALQ31" s="917"/>
      <c r="ALR31" s="917"/>
      <c r="ALS31" s="917"/>
      <c r="ALT31" s="917"/>
      <c r="ALU31" s="917"/>
      <c r="ALV31" s="917"/>
      <c r="ALW31" s="918"/>
      <c r="ALX31" s="914"/>
      <c r="ALY31" s="912"/>
      <c r="ALZ31" s="916"/>
      <c r="AMA31" s="917"/>
      <c r="AMB31" s="917"/>
      <c r="AMC31" s="917"/>
      <c r="AMD31" s="917"/>
      <c r="AME31" s="917"/>
      <c r="AMF31" s="917"/>
      <c r="AMG31" s="917"/>
      <c r="AMH31" s="918"/>
      <c r="AMI31" s="914"/>
      <c r="AMJ31" s="912"/>
      <c r="AMK31" s="916"/>
      <c r="AML31" s="917"/>
      <c r="AMM31" s="917"/>
      <c r="AMN31" s="917"/>
      <c r="AMO31" s="917"/>
      <c r="AMP31" s="917"/>
      <c r="AMQ31" s="917"/>
      <c r="AMR31" s="917"/>
      <c r="AMS31" s="918"/>
      <c r="AMT31" s="914"/>
      <c r="AMU31" s="912"/>
      <c r="AMV31" s="916"/>
      <c r="AMW31" s="917"/>
      <c r="AMX31" s="917"/>
      <c r="AMY31" s="917"/>
      <c r="AMZ31" s="917"/>
      <c r="ANA31" s="917"/>
      <c r="ANB31" s="917"/>
      <c r="ANC31" s="917"/>
      <c r="AND31" s="918"/>
      <c r="ANE31" s="914"/>
      <c r="ANF31" s="912"/>
      <c r="ANG31" s="916"/>
      <c r="ANH31" s="917"/>
      <c r="ANI31" s="917"/>
      <c r="ANJ31" s="917"/>
      <c r="ANK31" s="917"/>
      <c r="ANL31" s="917"/>
      <c r="ANM31" s="917"/>
      <c r="ANN31" s="917"/>
      <c r="ANO31" s="918"/>
      <c r="ANP31" s="914"/>
      <c r="ANQ31" s="912"/>
      <c r="ANR31" s="916"/>
      <c r="ANS31" s="917"/>
      <c r="ANT31" s="917"/>
      <c r="ANU31" s="917"/>
      <c r="ANV31" s="917"/>
      <c r="ANW31" s="917"/>
      <c r="ANX31" s="917"/>
      <c r="ANY31" s="917"/>
      <c r="ANZ31" s="918"/>
      <c r="AOA31" s="914"/>
      <c r="AOB31" s="912"/>
      <c r="AOC31" s="916"/>
      <c r="AOD31" s="917"/>
      <c r="AOE31" s="917"/>
      <c r="AOF31" s="917"/>
      <c r="AOG31" s="917"/>
      <c r="AOH31" s="917"/>
      <c r="AOI31" s="917"/>
      <c r="AOJ31" s="917"/>
      <c r="AOK31" s="918"/>
      <c r="AOL31" s="914"/>
      <c r="AOM31" s="912"/>
      <c r="AON31" s="916"/>
      <c r="AOO31" s="917"/>
      <c r="AOP31" s="917"/>
      <c r="AOQ31" s="917"/>
      <c r="AOR31" s="917"/>
      <c r="AOS31" s="917"/>
      <c r="AOT31" s="917"/>
      <c r="AOU31" s="917"/>
      <c r="AOV31" s="918"/>
      <c r="AOW31" s="914"/>
      <c r="AOX31" s="912"/>
      <c r="AOY31" s="916"/>
      <c r="AOZ31" s="917"/>
      <c r="APA31" s="917"/>
      <c r="APB31" s="917"/>
      <c r="APC31" s="917"/>
      <c r="APD31" s="917"/>
      <c r="APE31" s="917"/>
      <c r="APF31" s="917"/>
      <c r="APG31" s="918"/>
      <c r="APH31" s="914"/>
      <c r="API31" s="912"/>
      <c r="APJ31" s="916"/>
      <c r="APK31" s="917"/>
      <c r="APL31" s="917"/>
      <c r="APM31" s="917"/>
      <c r="APN31" s="917"/>
      <c r="APO31" s="917"/>
      <c r="APP31" s="917"/>
      <c r="APQ31" s="917"/>
      <c r="APR31" s="918"/>
      <c r="APS31" s="914"/>
      <c r="APT31" s="912"/>
      <c r="APU31" s="916"/>
      <c r="APV31" s="917"/>
      <c r="APW31" s="917"/>
      <c r="APX31" s="917"/>
      <c r="APY31" s="917"/>
      <c r="APZ31" s="917"/>
      <c r="AQA31" s="917"/>
      <c r="AQB31" s="917"/>
      <c r="AQC31" s="918"/>
      <c r="AQD31" s="914"/>
      <c r="AQE31" s="912"/>
      <c r="AQF31" s="916"/>
      <c r="AQG31" s="917"/>
      <c r="AQH31" s="917"/>
      <c r="AQI31" s="917"/>
      <c r="AQJ31" s="917"/>
      <c r="AQK31" s="917"/>
      <c r="AQL31" s="917"/>
      <c r="AQM31" s="917"/>
      <c r="AQN31" s="918"/>
      <c r="AQO31" s="914"/>
      <c r="AQP31" s="912"/>
      <c r="AQQ31" s="916"/>
      <c r="AQR31" s="917"/>
      <c r="AQS31" s="917"/>
      <c r="AQT31" s="917"/>
      <c r="AQU31" s="917"/>
      <c r="AQV31" s="917"/>
      <c r="AQW31" s="917"/>
      <c r="AQX31" s="917"/>
      <c r="AQY31" s="918"/>
      <c r="AQZ31" s="914"/>
      <c r="ARA31" s="912"/>
      <c r="ARB31" s="916"/>
      <c r="ARC31" s="917"/>
      <c r="ARD31" s="917"/>
      <c r="ARE31" s="917"/>
      <c r="ARF31" s="917"/>
      <c r="ARG31" s="917"/>
      <c r="ARH31" s="917"/>
      <c r="ARI31" s="917"/>
      <c r="ARJ31" s="918"/>
      <c r="ARK31" s="914"/>
      <c r="ARL31" s="912"/>
      <c r="ARM31" s="916"/>
      <c r="ARN31" s="917"/>
      <c r="ARO31" s="917"/>
      <c r="ARP31" s="917"/>
      <c r="ARQ31" s="917"/>
      <c r="ARR31" s="917"/>
      <c r="ARS31" s="917"/>
      <c r="ART31" s="917"/>
      <c r="ARU31" s="918"/>
      <c r="ARV31" s="914"/>
      <c r="ARW31" s="912"/>
      <c r="ARX31" s="916"/>
      <c r="ARY31" s="917"/>
      <c r="ARZ31" s="917"/>
      <c r="ASA31" s="917"/>
      <c r="ASB31" s="917"/>
      <c r="ASC31" s="917"/>
      <c r="ASD31" s="917"/>
      <c r="ASE31" s="917"/>
      <c r="ASF31" s="918"/>
      <c r="ASG31" s="914"/>
      <c r="ASH31" s="912"/>
      <c r="ASI31" s="916"/>
      <c r="ASJ31" s="917"/>
      <c r="ASK31" s="917"/>
      <c r="ASL31" s="917"/>
      <c r="ASM31" s="917"/>
      <c r="ASN31" s="917"/>
      <c r="ASO31" s="917"/>
      <c r="ASP31" s="917"/>
      <c r="ASQ31" s="918"/>
      <c r="ASR31" s="914"/>
      <c r="ASS31" s="912"/>
      <c r="AST31" s="916"/>
      <c r="ASU31" s="917"/>
      <c r="ASV31" s="917"/>
      <c r="ASW31" s="917"/>
      <c r="ASX31" s="917"/>
      <c r="ASY31" s="917"/>
      <c r="ASZ31" s="917"/>
      <c r="ATA31" s="917"/>
      <c r="ATB31" s="918"/>
      <c r="ATC31" s="914"/>
      <c r="ATD31" s="912"/>
      <c r="ATE31" s="916"/>
      <c r="ATF31" s="917"/>
      <c r="ATG31" s="917"/>
      <c r="ATH31" s="917"/>
      <c r="ATI31" s="917"/>
      <c r="ATJ31" s="917"/>
      <c r="ATK31" s="917"/>
      <c r="ATL31" s="917"/>
      <c r="ATM31" s="918"/>
      <c r="ATN31" s="914"/>
      <c r="ATO31" s="912"/>
      <c r="ATP31" s="916"/>
      <c r="ATQ31" s="917"/>
      <c r="ATR31" s="917"/>
      <c r="ATS31" s="917"/>
      <c r="ATT31" s="917"/>
      <c r="ATU31" s="917"/>
      <c r="ATV31" s="917"/>
      <c r="ATW31" s="917"/>
      <c r="ATX31" s="918"/>
      <c r="ATY31" s="914"/>
      <c r="ATZ31" s="912"/>
      <c r="AUA31" s="916"/>
      <c r="AUB31" s="917"/>
      <c r="AUC31" s="917"/>
      <c r="AUD31" s="917"/>
      <c r="AUE31" s="917"/>
      <c r="AUF31" s="917"/>
      <c r="AUG31" s="917"/>
      <c r="AUH31" s="917"/>
      <c r="AUI31" s="918"/>
      <c r="AUJ31" s="914"/>
      <c r="AUK31" s="912"/>
      <c r="AUL31" s="916"/>
      <c r="AUM31" s="917"/>
      <c r="AUN31" s="917"/>
      <c r="AUO31" s="917"/>
      <c r="AUP31" s="917"/>
      <c r="AUQ31" s="917"/>
      <c r="AUR31" s="917"/>
      <c r="AUS31" s="917"/>
      <c r="AUT31" s="918"/>
      <c r="AUU31" s="914"/>
      <c r="AUV31" s="912"/>
      <c r="AUW31" s="916"/>
      <c r="AUX31" s="917"/>
      <c r="AUY31" s="917"/>
      <c r="AUZ31" s="917"/>
      <c r="AVA31" s="917"/>
      <c r="AVB31" s="917"/>
      <c r="AVC31" s="917"/>
      <c r="AVD31" s="917"/>
      <c r="AVE31" s="918"/>
      <c r="AVF31" s="914"/>
      <c r="AVG31" s="912"/>
      <c r="AVH31" s="916"/>
      <c r="AVI31" s="917"/>
      <c r="AVJ31" s="917"/>
      <c r="AVK31" s="917"/>
      <c r="AVL31" s="917"/>
      <c r="AVM31" s="917"/>
      <c r="AVN31" s="917"/>
      <c r="AVO31" s="917"/>
      <c r="AVP31" s="918"/>
      <c r="AVQ31" s="914"/>
      <c r="AVR31" s="912"/>
      <c r="AVS31" s="916"/>
      <c r="AVT31" s="917"/>
      <c r="AVU31" s="917"/>
      <c r="AVV31" s="917"/>
      <c r="AVW31" s="917"/>
      <c r="AVX31" s="917"/>
      <c r="AVY31" s="917"/>
      <c r="AVZ31" s="917"/>
      <c r="AWA31" s="918"/>
      <c r="AWB31" s="914"/>
      <c r="AWC31" s="912"/>
      <c r="AWD31" s="916"/>
      <c r="AWE31" s="917"/>
      <c r="AWF31" s="917"/>
      <c r="AWG31" s="917"/>
      <c r="AWH31" s="917"/>
      <c r="AWI31" s="917"/>
      <c r="AWJ31" s="917"/>
      <c r="AWK31" s="917"/>
      <c r="AWL31" s="918"/>
      <c r="AWM31" s="914"/>
      <c r="AWN31" s="912"/>
      <c r="AWO31" s="916"/>
      <c r="AWP31" s="917"/>
      <c r="AWQ31" s="917"/>
      <c r="AWR31" s="917"/>
      <c r="AWS31" s="917"/>
      <c r="AWT31" s="917"/>
      <c r="AWU31" s="917"/>
      <c r="AWV31" s="917"/>
      <c r="AWW31" s="918"/>
      <c r="AWX31" s="914"/>
      <c r="AWY31" s="912"/>
      <c r="AWZ31" s="916"/>
      <c r="AXA31" s="917"/>
      <c r="AXB31" s="917"/>
      <c r="AXC31" s="917"/>
      <c r="AXD31" s="917"/>
      <c r="AXE31" s="917"/>
      <c r="AXF31" s="917"/>
      <c r="AXG31" s="917"/>
      <c r="AXH31" s="918"/>
      <c r="AXI31" s="914"/>
      <c r="AXJ31" s="912"/>
      <c r="AXK31" s="916"/>
      <c r="AXL31" s="917"/>
      <c r="AXM31" s="917"/>
      <c r="AXN31" s="917"/>
      <c r="AXO31" s="917"/>
      <c r="AXP31" s="917"/>
      <c r="AXQ31" s="917"/>
      <c r="AXR31" s="917"/>
      <c r="AXS31" s="918"/>
      <c r="AXT31" s="914"/>
      <c r="AXU31" s="912"/>
      <c r="AXV31" s="916"/>
      <c r="AXW31" s="917"/>
      <c r="AXX31" s="917"/>
      <c r="AXY31" s="917"/>
      <c r="AXZ31" s="917"/>
      <c r="AYA31" s="917"/>
      <c r="AYB31" s="917"/>
      <c r="AYC31" s="917"/>
      <c r="AYD31" s="918"/>
      <c r="AYE31" s="914"/>
      <c r="AYF31" s="912"/>
      <c r="AYG31" s="916"/>
      <c r="AYH31" s="917"/>
      <c r="AYI31" s="917"/>
      <c r="AYJ31" s="917"/>
      <c r="AYK31" s="917"/>
      <c r="AYL31" s="917"/>
      <c r="AYM31" s="917"/>
      <c r="AYN31" s="917"/>
      <c r="AYO31" s="918"/>
      <c r="AYP31" s="914"/>
      <c r="AYQ31" s="912"/>
      <c r="AYR31" s="916"/>
      <c r="AYS31" s="917"/>
      <c r="AYT31" s="917"/>
      <c r="AYU31" s="917"/>
      <c r="AYV31" s="917"/>
      <c r="AYW31" s="917"/>
      <c r="AYX31" s="917"/>
      <c r="AYY31" s="917"/>
      <c r="AYZ31" s="918"/>
      <c r="AZA31" s="914"/>
      <c r="AZB31" s="912"/>
      <c r="AZC31" s="916"/>
      <c r="AZD31" s="917"/>
      <c r="AZE31" s="917"/>
      <c r="AZF31" s="917"/>
      <c r="AZG31" s="917"/>
      <c r="AZH31" s="917"/>
      <c r="AZI31" s="917"/>
      <c r="AZJ31" s="917"/>
      <c r="AZK31" s="918"/>
      <c r="AZL31" s="914"/>
      <c r="AZM31" s="912"/>
      <c r="AZN31" s="916"/>
      <c r="AZO31" s="917"/>
      <c r="AZP31" s="917"/>
      <c r="AZQ31" s="917"/>
      <c r="AZR31" s="917"/>
      <c r="AZS31" s="917"/>
      <c r="AZT31" s="917"/>
      <c r="AZU31" s="917"/>
      <c r="AZV31" s="918"/>
      <c r="AZW31" s="914"/>
      <c r="AZX31" s="912"/>
      <c r="AZY31" s="916"/>
      <c r="AZZ31" s="917"/>
      <c r="BAA31" s="917"/>
      <c r="BAB31" s="917"/>
      <c r="BAC31" s="917"/>
      <c r="BAD31" s="917"/>
      <c r="BAE31" s="917"/>
      <c r="BAF31" s="917"/>
      <c r="BAG31" s="918"/>
      <c r="BAH31" s="914"/>
      <c r="BAI31" s="912"/>
      <c r="BAJ31" s="916"/>
      <c r="BAK31" s="917"/>
      <c r="BAL31" s="917"/>
      <c r="BAM31" s="917"/>
      <c r="BAN31" s="917"/>
      <c r="BAO31" s="917"/>
      <c r="BAP31" s="917"/>
      <c r="BAQ31" s="917"/>
      <c r="BAR31" s="918"/>
      <c r="BAS31" s="914"/>
      <c r="BAT31" s="912"/>
      <c r="BAU31" s="916"/>
      <c r="BAV31" s="917"/>
      <c r="BAW31" s="917"/>
      <c r="BAX31" s="917"/>
      <c r="BAY31" s="917"/>
      <c r="BAZ31" s="917"/>
      <c r="BBA31" s="917"/>
      <c r="BBB31" s="917"/>
      <c r="BBC31" s="918"/>
      <c r="BBD31" s="914"/>
      <c r="BBE31" s="912"/>
      <c r="BBF31" s="916"/>
      <c r="BBG31" s="917"/>
      <c r="BBH31" s="917"/>
      <c r="BBI31" s="917"/>
      <c r="BBJ31" s="917"/>
      <c r="BBK31" s="917"/>
      <c r="BBL31" s="917"/>
      <c r="BBM31" s="917"/>
      <c r="BBN31" s="918"/>
      <c r="BBO31" s="914"/>
      <c r="BBP31" s="912"/>
      <c r="BBQ31" s="916"/>
      <c r="BBR31" s="917"/>
      <c r="BBS31" s="917"/>
      <c r="BBT31" s="917"/>
      <c r="BBU31" s="917"/>
      <c r="BBV31" s="917"/>
      <c r="BBW31" s="917"/>
      <c r="BBX31" s="917"/>
      <c r="BBY31" s="918"/>
      <c r="BBZ31" s="914"/>
      <c r="BCA31" s="912"/>
      <c r="BCB31" s="916"/>
      <c r="BCC31" s="917"/>
      <c r="BCD31" s="917"/>
      <c r="BCE31" s="917"/>
      <c r="BCF31" s="917"/>
      <c r="BCG31" s="917"/>
      <c r="BCH31" s="917"/>
      <c r="BCI31" s="917"/>
      <c r="BCJ31" s="918"/>
      <c r="BCK31" s="914"/>
      <c r="BCL31" s="912"/>
      <c r="BCM31" s="916"/>
      <c r="BCN31" s="917"/>
      <c r="BCO31" s="917"/>
      <c r="BCP31" s="917"/>
      <c r="BCQ31" s="917"/>
      <c r="BCR31" s="917"/>
      <c r="BCS31" s="917"/>
      <c r="BCT31" s="917"/>
      <c r="BCU31" s="918"/>
      <c r="BCV31" s="914"/>
      <c r="BCW31" s="912"/>
      <c r="BCX31" s="916"/>
      <c r="BCY31" s="917"/>
      <c r="BCZ31" s="917"/>
      <c r="BDA31" s="917"/>
      <c r="BDB31" s="917"/>
      <c r="BDC31" s="917"/>
      <c r="BDD31" s="917"/>
      <c r="BDE31" s="917"/>
      <c r="BDF31" s="918"/>
      <c r="BDG31" s="914"/>
      <c r="BDH31" s="912"/>
      <c r="BDI31" s="916"/>
      <c r="BDJ31" s="917"/>
      <c r="BDK31" s="917"/>
      <c r="BDL31" s="917"/>
      <c r="BDM31" s="917"/>
      <c r="BDN31" s="917"/>
      <c r="BDO31" s="917"/>
      <c r="BDP31" s="917"/>
      <c r="BDQ31" s="918"/>
      <c r="BDR31" s="914"/>
      <c r="BDS31" s="912"/>
      <c r="BDT31" s="916"/>
      <c r="BDU31" s="917"/>
      <c r="BDV31" s="917"/>
      <c r="BDW31" s="917"/>
      <c r="BDX31" s="917"/>
      <c r="BDY31" s="917"/>
      <c r="BDZ31" s="917"/>
      <c r="BEA31" s="917"/>
      <c r="BEB31" s="918"/>
      <c r="BEC31" s="914"/>
      <c r="BED31" s="912"/>
      <c r="BEE31" s="916"/>
      <c r="BEF31" s="917"/>
      <c r="BEG31" s="917"/>
      <c r="BEH31" s="917"/>
      <c r="BEI31" s="917"/>
      <c r="BEJ31" s="917"/>
      <c r="BEK31" s="917"/>
      <c r="BEL31" s="917"/>
      <c r="BEM31" s="918"/>
      <c r="BEN31" s="914"/>
      <c r="BEO31" s="912"/>
      <c r="BEP31" s="916"/>
      <c r="BEQ31" s="917"/>
      <c r="BER31" s="917"/>
      <c r="BES31" s="917"/>
      <c r="BET31" s="917"/>
      <c r="BEU31" s="917"/>
      <c r="BEV31" s="917"/>
      <c r="BEW31" s="917"/>
      <c r="BEX31" s="918"/>
      <c r="BEY31" s="914"/>
      <c r="BEZ31" s="912"/>
      <c r="BFA31" s="916"/>
      <c r="BFB31" s="917"/>
      <c r="BFC31" s="917"/>
      <c r="BFD31" s="917"/>
      <c r="BFE31" s="917"/>
      <c r="BFF31" s="917"/>
      <c r="BFG31" s="917"/>
      <c r="BFH31" s="917"/>
      <c r="BFI31" s="918"/>
      <c r="BFJ31" s="914"/>
      <c r="BFK31" s="912"/>
      <c r="BFL31" s="916"/>
      <c r="BFM31" s="917"/>
      <c r="BFN31" s="917"/>
      <c r="BFO31" s="917"/>
      <c r="BFP31" s="917"/>
      <c r="BFQ31" s="917"/>
      <c r="BFR31" s="917"/>
      <c r="BFS31" s="917"/>
      <c r="BFT31" s="918"/>
      <c r="BFU31" s="914"/>
      <c r="BFV31" s="912"/>
      <c r="BFW31" s="916"/>
      <c r="BFX31" s="917"/>
      <c r="BFY31" s="917"/>
      <c r="BFZ31" s="917"/>
      <c r="BGA31" s="917"/>
      <c r="BGB31" s="917"/>
      <c r="BGC31" s="917"/>
      <c r="BGD31" s="917"/>
      <c r="BGE31" s="918"/>
      <c r="BGF31" s="914"/>
      <c r="BGG31" s="912"/>
      <c r="BGH31" s="916"/>
      <c r="BGI31" s="917"/>
      <c r="BGJ31" s="917"/>
      <c r="BGK31" s="917"/>
      <c r="BGL31" s="917"/>
      <c r="BGM31" s="917"/>
      <c r="BGN31" s="917"/>
      <c r="BGO31" s="917"/>
      <c r="BGP31" s="918"/>
      <c r="BGQ31" s="914"/>
      <c r="BGR31" s="912"/>
      <c r="BGS31" s="916"/>
      <c r="BGT31" s="917"/>
      <c r="BGU31" s="917"/>
      <c r="BGV31" s="917"/>
      <c r="BGW31" s="917"/>
      <c r="BGX31" s="917"/>
      <c r="BGY31" s="917"/>
      <c r="BGZ31" s="917"/>
      <c r="BHA31" s="918"/>
      <c r="BHB31" s="914"/>
      <c r="BHC31" s="912"/>
      <c r="BHD31" s="916"/>
      <c r="BHE31" s="917"/>
      <c r="BHF31" s="917"/>
      <c r="BHG31" s="917"/>
      <c r="BHH31" s="917"/>
      <c r="BHI31" s="917"/>
      <c r="BHJ31" s="917"/>
      <c r="BHK31" s="917"/>
      <c r="BHL31" s="918"/>
      <c r="BHM31" s="914"/>
      <c r="BHN31" s="912"/>
      <c r="BHO31" s="916"/>
      <c r="BHP31" s="917"/>
      <c r="BHQ31" s="917"/>
      <c r="BHR31" s="917"/>
      <c r="BHS31" s="917"/>
      <c r="BHT31" s="917"/>
      <c r="BHU31" s="917"/>
      <c r="BHV31" s="917"/>
      <c r="BHW31" s="918"/>
      <c r="BHX31" s="914"/>
      <c r="BHY31" s="912"/>
      <c r="BHZ31" s="916"/>
      <c r="BIA31" s="917"/>
      <c r="BIB31" s="917"/>
      <c r="BIC31" s="917"/>
      <c r="BID31" s="917"/>
      <c r="BIE31" s="917"/>
      <c r="BIF31" s="917"/>
      <c r="BIG31" s="917"/>
      <c r="BIH31" s="918"/>
      <c r="BII31" s="914"/>
      <c r="BIJ31" s="912"/>
      <c r="BIK31" s="916"/>
      <c r="BIL31" s="917"/>
      <c r="BIM31" s="917"/>
      <c r="BIN31" s="917"/>
      <c r="BIO31" s="917"/>
      <c r="BIP31" s="917"/>
      <c r="BIQ31" s="917"/>
      <c r="BIR31" s="917"/>
      <c r="BIS31" s="918"/>
      <c r="BIT31" s="914"/>
      <c r="BIU31" s="912"/>
      <c r="BIV31" s="916"/>
      <c r="BIW31" s="917"/>
      <c r="BIX31" s="917"/>
      <c r="BIY31" s="917"/>
      <c r="BIZ31" s="917"/>
      <c r="BJA31" s="917"/>
      <c r="BJB31" s="917"/>
      <c r="BJC31" s="917"/>
      <c r="BJD31" s="918"/>
      <c r="BJE31" s="914"/>
      <c r="BJF31" s="912"/>
      <c r="BJG31" s="916"/>
      <c r="BJH31" s="917"/>
      <c r="BJI31" s="917"/>
      <c r="BJJ31" s="917"/>
      <c r="BJK31" s="917"/>
      <c r="BJL31" s="917"/>
      <c r="BJM31" s="917"/>
      <c r="BJN31" s="917"/>
      <c r="BJO31" s="918"/>
      <c r="BJP31" s="914"/>
      <c r="BJQ31" s="912"/>
      <c r="BJR31" s="916"/>
      <c r="BJS31" s="917"/>
      <c r="BJT31" s="917"/>
      <c r="BJU31" s="917"/>
      <c r="BJV31" s="917"/>
      <c r="BJW31" s="917"/>
      <c r="BJX31" s="917"/>
      <c r="BJY31" s="917"/>
      <c r="BJZ31" s="918"/>
      <c r="BKA31" s="914"/>
      <c r="BKB31" s="912"/>
      <c r="BKC31" s="916"/>
      <c r="BKD31" s="917"/>
      <c r="BKE31" s="917"/>
      <c r="BKF31" s="917"/>
      <c r="BKG31" s="917"/>
      <c r="BKH31" s="917"/>
      <c r="BKI31" s="917"/>
      <c r="BKJ31" s="917"/>
      <c r="BKK31" s="918"/>
      <c r="BKL31" s="914"/>
      <c r="BKM31" s="912"/>
      <c r="BKN31" s="916"/>
      <c r="BKO31" s="917"/>
      <c r="BKP31" s="917"/>
      <c r="BKQ31" s="917"/>
      <c r="BKR31" s="917"/>
      <c r="BKS31" s="917"/>
      <c r="BKT31" s="917"/>
      <c r="BKU31" s="917"/>
      <c r="BKV31" s="918"/>
      <c r="BKW31" s="914"/>
      <c r="BKX31" s="912"/>
      <c r="BKY31" s="916"/>
      <c r="BKZ31" s="917"/>
      <c r="BLA31" s="917"/>
      <c r="BLB31" s="917"/>
      <c r="BLC31" s="917"/>
      <c r="BLD31" s="917"/>
      <c r="BLE31" s="917"/>
      <c r="BLF31" s="917"/>
      <c r="BLG31" s="918"/>
      <c r="BLH31" s="914"/>
      <c r="BLI31" s="912"/>
      <c r="BLJ31" s="916"/>
      <c r="BLK31" s="917"/>
      <c r="BLL31" s="917"/>
      <c r="BLM31" s="917"/>
      <c r="BLN31" s="917"/>
      <c r="BLO31" s="917"/>
      <c r="BLP31" s="917"/>
      <c r="BLQ31" s="917"/>
      <c r="BLR31" s="918"/>
      <c r="BLS31" s="914"/>
      <c r="BLT31" s="912"/>
      <c r="BLU31" s="916"/>
      <c r="BLV31" s="917"/>
      <c r="BLW31" s="917"/>
      <c r="BLX31" s="917"/>
      <c r="BLY31" s="917"/>
      <c r="BLZ31" s="917"/>
      <c r="BMA31" s="917"/>
      <c r="BMB31" s="917"/>
      <c r="BMC31" s="918"/>
      <c r="BMD31" s="914"/>
      <c r="BME31" s="912"/>
      <c r="BMF31" s="916"/>
      <c r="BMG31" s="917"/>
      <c r="BMH31" s="917"/>
      <c r="BMI31" s="917"/>
      <c r="BMJ31" s="917"/>
      <c r="BMK31" s="917"/>
      <c r="BML31" s="917"/>
      <c r="BMM31" s="917"/>
      <c r="BMN31" s="918"/>
      <c r="BMO31" s="914"/>
      <c r="BMP31" s="912"/>
      <c r="BMQ31" s="916"/>
      <c r="BMR31" s="917"/>
      <c r="BMS31" s="917"/>
      <c r="BMT31" s="917"/>
      <c r="BMU31" s="917"/>
      <c r="BMV31" s="917"/>
      <c r="BMW31" s="917"/>
      <c r="BMX31" s="917"/>
      <c r="BMY31" s="918"/>
      <c r="BMZ31" s="914"/>
      <c r="BNA31" s="912"/>
      <c r="BNB31" s="916"/>
      <c r="BNC31" s="917"/>
      <c r="BND31" s="917"/>
      <c r="BNE31" s="917"/>
      <c r="BNF31" s="917"/>
      <c r="BNG31" s="917"/>
      <c r="BNH31" s="917"/>
      <c r="BNI31" s="917"/>
      <c r="BNJ31" s="918"/>
      <c r="BNK31" s="914"/>
      <c r="BNL31" s="912"/>
      <c r="BNM31" s="916"/>
      <c r="BNN31" s="917"/>
      <c r="BNO31" s="917"/>
      <c r="BNP31" s="917"/>
      <c r="BNQ31" s="917"/>
      <c r="BNR31" s="917"/>
      <c r="BNS31" s="917"/>
      <c r="BNT31" s="917"/>
      <c r="BNU31" s="918"/>
      <c r="BNV31" s="914"/>
      <c r="BNW31" s="912"/>
      <c r="BNX31" s="916"/>
      <c r="BNY31" s="917"/>
      <c r="BNZ31" s="917"/>
      <c r="BOA31" s="917"/>
      <c r="BOB31" s="917"/>
      <c r="BOC31" s="917"/>
      <c r="BOD31" s="917"/>
      <c r="BOE31" s="917"/>
      <c r="BOF31" s="918"/>
      <c r="BOG31" s="914"/>
      <c r="BOH31" s="912"/>
      <c r="BOI31" s="916"/>
      <c r="BOJ31" s="917"/>
      <c r="BOK31" s="917"/>
      <c r="BOL31" s="917"/>
      <c r="BOM31" s="917"/>
      <c r="BON31" s="917"/>
      <c r="BOO31" s="917"/>
      <c r="BOP31" s="917"/>
      <c r="BOQ31" s="918"/>
      <c r="BOR31" s="914"/>
      <c r="BOS31" s="912"/>
      <c r="BOT31" s="916"/>
      <c r="BOU31" s="917"/>
      <c r="BOV31" s="917"/>
      <c r="BOW31" s="917"/>
      <c r="BOX31" s="917"/>
      <c r="BOY31" s="917"/>
      <c r="BOZ31" s="917"/>
      <c r="BPA31" s="917"/>
      <c r="BPB31" s="918"/>
      <c r="BPC31" s="914"/>
      <c r="BPD31" s="912"/>
      <c r="BPE31" s="916"/>
      <c r="BPF31" s="917"/>
      <c r="BPG31" s="917"/>
      <c r="BPH31" s="917"/>
      <c r="BPI31" s="917"/>
      <c r="BPJ31" s="917"/>
      <c r="BPK31" s="917"/>
      <c r="BPL31" s="917"/>
      <c r="BPM31" s="918"/>
      <c r="BPN31" s="914"/>
      <c r="BPO31" s="912"/>
      <c r="BPP31" s="916"/>
      <c r="BPQ31" s="917"/>
      <c r="BPR31" s="917"/>
      <c r="BPS31" s="917"/>
      <c r="BPT31" s="917"/>
      <c r="BPU31" s="917"/>
      <c r="BPV31" s="917"/>
      <c r="BPW31" s="917"/>
      <c r="BPX31" s="918"/>
      <c r="BPY31" s="914"/>
      <c r="BPZ31" s="912"/>
      <c r="BQA31" s="916"/>
      <c r="BQB31" s="917"/>
      <c r="BQC31" s="917"/>
      <c r="BQD31" s="917"/>
      <c r="BQE31" s="917"/>
      <c r="BQF31" s="917"/>
      <c r="BQG31" s="917"/>
      <c r="BQH31" s="917"/>
      <c r="BQI31" s="918"/>
      <c r="BQJ31" s="914"/>
      <c r="BQK31" s="912"/>
      <c r="BQL31" s="916"/>
      <c r="BQM31" s="917"/>
      <c r="BQN31" s="917"/>
      <c r="BQO31" s="917"/>
      <c r="BQP31" s="917"/>
      <c r="BQQ31" s="917"/>
      <c r="BQR31" s="917"/>
      <c r="BQS31" s="917"/>
      <c r="BQT31" s="918"/>
      <c r="BQU31" s="914"/>
      <c r="BQV31" s="912"/>
      <c r="BQW31" s="916"/>
      <c r="BQX31" s="917"/>
      <c r="BQY31" s="917"/>
      <c r="BQZ31" s="917"/>
      <c r="BRA31" s="917"/>
      <c r="BRB31" s="917"/>
      <c r="BRC31" s="917"/>
      <c r="BRD31" s="917"/>
      <c r="BRE31" s="918"/>
      <c r="BRF31" s="914"/>
      <c r="BRG31" s="912"/>
      <c r="BRH31" s="916"/>
      <c r="BRI31" s="917"/>
      <c r="BRJ31" s="917"/>
      <c r="BRK31" s="917"/>
      <c r="BRL31" s="917"/>
      <c r="BRM31" s="917"/>
      <c r="BRN31" s="917"/>
      <c r="BRO31" s="917"/>
      <c r="BRP31" s="918"/>
      <c r="BRQ31" s="914"/>
      <c r="BRR31" s="912"/>
      <c r="BRS31" s="916"/>
      <c r="BRT31" s="917"/>
      <c r="BRU31" s="917"/>
      <c r="BRV31" s="917"/>
      <c r="BRW31" s="917"/>
      <c r="BRX31" s="917"/>
      <c r="BRY31" s="917"/>
      <c r="BRZ31" s="917"/>
      <c r="BSA31" s="918"/>
      <c r="BSB31" s="914"/>
      <c r="BSC31" s="912"/>
      <c r="BSD31" s="916"/>
      <c r="BSE31" s="917"/>
      <c r="BSF31" s="917"/>
      <c r="BSG31" s="917"/>
      <c r="BSH31" s="917"/>
      <c r="BSI31" s="917"/>
      <c r="BSJ31" s="917"/>
      <c r="BSK31" s="917"/>
      <c r="BSL31" s="918"/>
      <c r="BSM31" s="914"/>
      <c r="BSN31" s="912"/>
      <c r="BSO31" s="916"/>
      <c r="BSP31" s="917"/>
      <c r="BSQ31" s="917"/>
      <c r="BSR31" s="917"/>
      <c r="BSS31" s="917"/>
      <c r="BST31" s="917"/>
      <c r="BSU31" s="917"/>
      <c r="BSV31" s="917"/>
      <c r="BSW31" s="918"/>
      <c r="BSX31" s="914"/>
      <c r="BSY31" s="912"/>
      <c r="BSZ31" s="916"/>
      <c r="BTA31" s="917"/>
      <c r="BTB31" s="917"/>
      <c r="BTC31" s="917"/>
      <c r="BTD31" s="917"/>
      <c r="BTE31" s="917"/>
      <c r="BTF31" s="917"/>
      <c r="BTG31" s="917"/>
      <c r="BTH31" s="918"/>
      <c r="BTI31" s="914"/>
      <c r="BTJ31" s="912"/>
      <c r="BTK31" s="916"/>
      <c r="BTL31" s="917"/>
      <c r="BTM31" s="917"/>
      <c r="BTN31" s="917"/>
      <c r="BTO31" s="917"/>
      <c r="BTP31" s="917"/>
      <c r="BTQ31" s="917"/>
      <c r="BTR31" s="917"/>
      <c r="BTS31" s="918"/>
      <c r="BTT31" s="914"/>
      <c r="BTU31" s="912"/>
      <c r="BTV31" s="916"/>
      <c r="BTW31" s="917"/>
      <c r="BTX31" s="917"/>
      <c r="BTY31" s="917"/>
      <c r="BTZ31" s="917"/>
      <c r="BUA31" s="917"/>
      <c r="BUB31" s="917"/>
      <c r="BUC31" s="917"/>
      <c r="BUD31" s="918"/>
      <c r="BUE31" s="914"/>
      <c r="BUF31" s="912"/>
      <c r="BUG31" s="916"/>
      <c r="BUH31" s="917"/>
      <c r="BUI31" s="917"/>
      <c r="BUJ31" s="917"/>
      <c r="BUK31" s="917"/>
      <c r="BUL31" s="917"/>
      <c r="BUM31" s="917"/>
      <c r="BUN31" s="917"/>
      <c r="BUO31" s="918"/>
      <c r="BUP31" s="914"/>
      <c r="BUQ31" s="912"/>
      <c r="BUR31" s="916"/>
      <c r="BUS31" s="917"/>
      <c r="BUT31" s="917"/>
      <c r="BUU31" s="917"/>
      <c r="BUV31" s="917"/>
      <c r="BUW31" s="917"/>
      <c r="BUX31" s="917"/>
      <c r="BUY31" s="917"/>
      <c r="BUZ31" s="918"/>
      <c r="BVA31" s="914"/>
      <c r="BVB31" s="912"/>
      <c r="BVC31" s="916"/>
      <c r="BVD31" s="917"/>
      <c r="BVE31" s="917"/>
      <c r="BVF31" s="917"/>
      <c r="BVG31" s="917"/>
      <c r="BVH31" s="917"/>
      <c r="BVI31" s="917"/>
      <c r="BVJ31" s="917"/>
      <c r="BVK31" s="918"/>
      <c r="BVL31" s="914"/>
      <c r="BVM31" s="912"/>
      <c r="BVN31" s="916"/>
      <c r="BVO31" s="917"/>
      <c r="BVP31" s="917"/>
      <c r="BVQ31" s="917"/>
      <c r="BVR31" s="917"/>
      <c r="BVS31" s="917"/>
      <c r="BVT31" s="917"/>
      <c r="BVU31" s="917"/>
      <c r="BVV31" s="918"/>
      <c r="BVW31" s="914"/>
      <c r="BVX31" s="912"/>
      <c r="BVY31" s="916"/>
      <c r="BVZ31" s="917"/>
      <c r="BWA31" s="917"/>
      <c r="BWB31" s="917"/>
      <c r="BWC31" s="917"/>
      <c r="BWD31" s="917"/>
      <c r="BWE31" s="917"/>
      <c r="BWF31" s="917"/>
      <c r="BWG31" s="918"/>
      <c r="BWH31" s="914"/>
      <c r="BWI31" s="912"/>
      <c r="BWJ31" s="916"/>
      <c r="BWK31" s="917"/>
      <c r="BWL31" s="917"/>
      <c r="BWM31" s="917"/>
      <c r="BWN31" s="917"/>
      <c r="BWO31" s="917"/>
      <c r="BWP31" s="917"/>
      <c r="BWQ31" s="917"/>
      <c r="BWR31" s="918"/>
      <c r="BWS31" s="914"/>
      <c r="BWT31" s="912"/>
      <c r="BWU31" s="916"/>
      <c r="BWV31" s="917"/>
      <c r="BWW31" s="917"/>
      <c r="BWX31" s="917"/>
      <c r="BWY31" s="917"/>
      <c r="BWZ31" s="917"/>
      <c r="BXA31" s="917"/>
      <c r="BXB31" s="917"/>
      <c r="BXC31" s="918"/>
      <c r="BXD31" s="914"/>
      <c r="BXE31" s="912"/>
      <c r="BXF31" s="916"/>
      <c r="BXG31" s="917"/>
      <c r="BXH31" s="917"/>
      <c r="BXI31" s="917"/>
      <c r="BXJ31" s="917"/>
      <c r="BXK31" s="917"/>
      <c r="BXL31" s="917"/>
      <c r="BXM31" s="917"/>
      <c r="BXN31" s="918"/>
      <c r="BXO31" s="914"/>
      <c r="BXP31" s="912"/>
      <c r="BXQ31" s="916"/>
      <c r="BXR31" s="917"/>
      <c r="BXS31" s="917"/>
      <c r="BXT31" s="917"/>
      <c r="BXU31" s="917"/>
      <c r="BXV31" s="917"/>
      <c r="BXW31" s="917"/>
      <c r="BXX31" s="917"/>
      <c r="BXY31" s="918"/>
      <c r="BXZ31" s="914"/>
      <c r="BYA31" s="912"/>
      <c r="BYB31" s="916"/>
      <c r="BYC31" s="917"/>
      <c r="BYD31" s="917"/>
      <c r="BYE31" s="917"/>
      <c r="BYF31" s="917"/>
      <c r="BYG31" s="917"/>
      <c r="BYH31" s="917"/>
      <c r="BYI31" s="917"/>
      <c r="BYJ31" s="918"/>
      <c r="BYK31" s="914"/>
      <c r="BYL31" s="912"/>
      <c r="BYM31" s="916"/>
      <c r="BYN31" s="917"/>
      <c r="BYO31" s="917"/>
      <c r="BYP31" s="917"/>
      <c r="BYQ31" s="917"/>
      <c r="BYR31" s="917"/>
      <c r="BYS31" s="917"/>
      <c r="BYT31" s="917"/>
      <c r="BYU31" s="918"/>
      <c r="BYV31" s="914"/>
      <c r="BYW31" s="912"/>
      <c r="BYX31" s="916"/>
      <c r="BYY31" s="917"/>
      <c r="BYZ31" s="917"/>
      <c r="BZA31" s="917"/>
      <c r="BZB31" s="917"/>
      <c r="BZC31" s="917"/>
      <c r="BZD31" s="917"/>
      <c r="BZE31" s="917"/>
      <c r="BZF31" s="918"/>
      <c r="BZG31" s="914"/>
      <c r="BZH31" s="912"/>
      <c r="BZI31" s="916"/>
      <c r="BZJ31" s="917"/>
      <c r="BZK31" s="917"/>
      <c r="BZL31" s="917"/>
      <c r="BZM31" s="917"/>
      <c r="BZN31" s="917"/>
      <c r="BZO31" s="917"/>
      <c r="BZP31" s="917"/>
      <c r="BZQ31" s="918"/>
      <c r="BZR31" s="914"/>
      <c r="BZS31" s="912"/>
      <c r="BZT31" s="916"/>
      <c r="BZU31" s="917"/>
      <c r="BZV31" s="917"/>
      <c r="BZW31" s="917"/>
      <c r="BZX31" s="917"/>
      <c r="BZY31" s="917"/>
      <c r="BZZ31" s="917"/>
      <c r="CAA31" s="917"/>
      <c r="CAB31" s="918"/>
      <c r="CAC31" s="914"/>
      <c r="CAD31" s="912"/>
      <c r="CAE31" s="916"/>
      <c r="CAF31" s="917"/>
      <c r="CAG31" s="917"/>
      <c r="CAH31" s="917"/>
      <c r="CAI31" s="917"/>
      <c r="CAJ31" s="917"/>
      <c r="CAK31" s="917"/>
      <c r="CAL31" s="917"/>
      <c r="CAM31" s="918"/>
      <c r="CAN31" s="914"/>
      <c r="CAO31" s="912"/>
      <c r="CAP31" s="916"/>
      <c r="CAQ31" s="917"/>
      <c r="CAR31" s="917"/>
      <c r="CAS31" s="917"/>
      <c r="CAT31" s="917"/>
      <c r="CAU31" s="917"/>
      <c r="CAV31" s="917"/>
      <c r="CAW31" s="917"/>
      <c r="CAX31" s="918"/>
      <c r="CAY31" s="914"/>
      <c r="CAZ31" s="912"/>
      <c r="CBA31" s="916"/>
      <c r="CBB31" s="917"/>
      <c r="CBC31" s="917"/>
      <c r="CBD31" s="917"/>
      <c r="CBE31" s="917"/>
      <c r="CBF31" s="917"/>
      <c r="CBG31" s="917"/>
      <c r="CBH31" s="917"/>
      <c r="CBI31" s="918"/>
      <c r="CBJ31" s="914"/>
      <c r="CBK31" s="912"/>
      <c r="CBL31" s="916"/>
      <c r="CBM31" s="917"/>
      <c r="CBN31" s="917"/>
      <c r="CBO31" s="917"/>
      <c r="CBP31" s="917"/>
      <c r="CBQ31" s="917"/>
      <c r="CBR31" s="917"/>
      <c r="CBS31" s="917"/>
      <c r="CBT31" s="918"/>
      <c r="CBU31" s="914"/>
      <c r="CBV31" s="912"/>
      <c r="CBW31" s="916"/>
      <c r="CBX31" s="917"/>
      <c r="CBY31" s="917"/>
      <c r="CBZ31" s="917"/>
      <c r="CCA31" s="917"/>
      <c r="CCB31" s="917"/>
      <c r="CCC31" s="917"/>
      <c r="CCD31" s="917"/>
      <c r="CCE31" s="918"/>
      <c r="CCF31" s="914"/>
      <c r="CCG31" s="912"/>
      <c r="CCH31" s="916"/>
      <c r="CCI31" s="917"/>
      <c r="CCJ31" s="917"/>
      <c r="CCK31" s="917"/>
      <c r="CCL31" s="917"/>
      <c r="CCM31" s="917"/>
      <c r="CCN31" s="917"/>
      <c r="CCO31" s="917"/>
      <c r="CCP31" s="918"/>
      <c r="CCQ31" s="914"/>
      <c r="CCR31" s="912"/>
      <c r="CCS31" s="916"/>
      <c r="CCT31" s="917"/>
      <c r="CCU31" s="917"/>
      <c r="CCV31" s="917"/>
      <c r="CCW31" s="917"/>
      <c r="CCX31" s="917"/>
      <c r="CCY31" s="917"/>
      <c r="CCZ31" s="917"/>
      <c r="CDA31" s="918"/>
      <c r="CDB31" s="914"/>
      <c r="CDC31" s="912"/>
      <c r="CDD31" s="916"/>
      <c r="CDE31" s="917"/>
      <c r="CDF31" s="917"/>
      <c r="CDG31" s="917"/>
      <c r="CDH31" s="917"/>
      <c r="CDI31" s="917"/>
      <c r="CDJ31" s="917"/>
      <c r="CDK31" s="917"/>
      <c r="CDL31" s="918"/>
      <c r="CDM31" s="914"/>
      <c r="CDN31" s="912"/>
      <c r="CDO31" s="916"/>
      <c r="CDP31" s="917"/>
      <c r="CDQ31" s="917"/>
      <c r="CDR31" s="917"/>
      <c r="CDS31" s="917"/>
      <c r="CDT31" s="917"/>
      <c r="CDU31" s="917"/>
      <c r="CDV31" s="917"/>
      <c r="CDW31" s="918"/>
      <c r="CDX31" s="914"/>
      <c r="CDY31" s="912"/>
      <c r="CDZ31" s="916"/>
      <c r="CEA31" s="917"/>
      <c r="CEB31" s="917"/>
      <c r="CEC31" s="917"/>
      <c r="CED31" s="917"/>
      <c r="CEE31" s="917"/>
      <c r="CEF31" s="917"/>
      <c r="CEG31" s="917"/>
      <c r="CEH31" s="918"/>
      <c r="CEI31" s="914"/>
      <c r="CEJ31" s="912"/>
      <c r="CEK31" s="916"/>
      <c r="CEL31" s="917"/>
      <c r="CEM31" s="917"/>
      <c r="CEN31" s="917"/>
      <c r="CEO31" s="917"/>
      <c r="CEP31" s="917"/>
      <c r="CEQ31" s="917"/>
      <c r="CER31" s="917"/>
      <c r="CES31" s="918"/>
      <c r="CET31" s="914"/>
      <c r="CEU31" s="912"/>
      <c r="CEV31" s="916"/>
      <c r="CEW31" s="917"/>
      <c r="CEX31" s="917"/>
      <c r="CEY31" s="917"/>
      <c r="CEZ31" s="917"/>
      <c r="CFA31" s="917"/>
      <c r="CFB31" s="917"/>
      <c r="CFC31" s="917"/>
      <c r="CFD31" s="918"/>
      <c r="CFE31" s="914"/>
      <c r="CFF31" s="912"/>
      <c r="CFG31" s="916"/>
      <c r="CFH31" s="917"/>
      <c r="CFI31" s="917"/>
      <c r="CFJ31" s="917"/>
      <c r="CFK31" s="917"/>
      <c r="CFL31" s="917"/>
      <c r="CFM31" s="917"/>
      <c r="CFN31" s="917"/>
      <c r="CFO31" s="918"/>
      <c r="CFP31" s="914"/>
      <c r="CFQ31" s="912"/>
      <c r="CFR31" s="916"/>
      <c r="CFS31" s="917"/>
      <c r="CFT31" s="917"/>
      <c r="CFU31" s="917"/>
      <c r="CFV31" s="917"/>
      <c r="CFW31" s="917"/>
      <c r="CFX31" s="917"/>
      <c r="CFY31" s="917"/>
      <c r="CFZ31" s="918"/>
      <c r="CGA31" s="914"/>
      <c r="CGB31" s="912"/>
      <c r="CGC31" s="916"/>
      <c r="CGD31" s="917"/>
      <c r="CGE31" s="917"/>
      <c r="CGF31" s="917"/>
      <c r="CGG31" s="917"/>
      <c r="CGH31" s="917"/>
      <c r="CGI31" s="917"/>
      <c r="CGJ31" s="917"/>
      <c r="CGK31" s="918"/>
      <c r="CGL31" s="914"/>
      <c r="CGM31" s="912"/>
      <c r="CGN31" s="916"/>
      <c r="CGO31" s="917"/>
      <c r="CGP31" s="917"/>
      <c r="CGQ31" s="917"/>
      <c r="CGR31" s="917"/>
      <c r="CGS31" s="917"/>
      <c r="CGT31" s="917"/>
      <c r="CGU31" s="917"/>
      <c r="CGV31" s="918"/>
      <c r="CGW31" s="914"/>
      <c r="CGX31" s="912"/>
      <c r="CGY31" s="916"/>
      <c r="CGZ31" s="917"/>
      <c r="CHA31" s="917"/>
      <c r="CHB31" s="917"/>
      <c r="CHC31" s="917"/>
      <c r="CHD31" s="917"/>
      <c r="CHE31" s="917"/>
      <c r="CHF31" s="917"/>
      <c r="CHG31" s="918"/>
      <c r="CHH31" s="914"/>
      <c r="CHI31" s="912"/>
      <c r="CHJ31" s="916"/>
      <c r="CHK31" s="917"/>
      <c r="CHL31" s="917"/>
      <c r="CHM31" s="917"/>
      <c r="CHN31" s="917"/>
      <c r="CHO31" s="917"/>
      <c r="CHP31" s="917"/>
      <c r="CHQ31" s="917"/>
      <c r="CHR31" s="918"/>
      <c r="CHS31" s="914"/>
      <c r="CHT31" s="912"/>
      <c r="CHU31" s="916"/>
      <c r="CHV31" s="917"/>
      <c r="CHW31" s="917"/>
      <c r="CHX31" s="917"/>
      <c r="CHY31" s="917"/>
      <c r="CHZ31" s="917"/>
      <c r="CIA31" s="917"/>
      <c r="CIB31" s="917"/>
      <c r="CIC31" s="918"/>
      <c r="CID31" s="914"/>
      <c r="CIE31" s="912"/>
      <c r="CIF31" s="916"/>
      <c r="CIG31" s="917"/>
      <c r="CIH31" s="917"/>
      <c r="CII31" s="917"/>
      <c r="CIJ31" s="917"/>
      <c r="CIK31" s="917"/>
      <c r="CIL31" s="917"/>
      <c r="CIM31" s="917"/>
      <c r="CIN31" s="918"/>
      <c r="CIO31" s="914"/>
      <c r="CIP31" s="912"/>
      <c r="CIQ31" s="916"/>
      <c r="CIR31" s="917"/>
      <c r="CIS31" s="917"/>
      <c r="CIT31" s="917"/>
      <c r="CIU31" s="917"/>
      <c r="CIV31" s="917"/>
      <c r="CIW31" s="917"/>
      <c r="CIX31" s="917"/>
      <c r="CIY31" s="918"/>
      <c r="CIZ31" s="914"/>
      <c r="CJA31" s="912"/>
      <c r="CJB31" s="916"/>
      <c r="CJC31" s="917"/>
      <c r="CJD31" s="917"/>
      <c r="CJE31" s="917"/>
      <c r="CJF31" s="917"/>
      <c r="CJG31" s="917"/>
      <c r="CJH31" s="917"/>
      <c r="CJI31" s="917"/>
      <c r="CJJ31" s="918"/>
      <c r="CJK31" s="914"/>
      <c r="CJL31" s="912"/>
      <c r="CJM31" s="916"/>
      <c r="CJN31" s="917"/>
      <c r="CJO31" s="917"/>
      <c r="CJP31" s="917"/>
      <c r="CJQ31" s="917"/>
      <c r="CJR31" s="917"/>
      <c r="CJS31" s="917"/>
      <c r="CJT31" s="917"/>
      <c r="CJU31" s="918"/>
      <c r="CJV31" s="914"/>
      <c r="CJW31" s="912"/>
      <c r="CJX31" s="916"/>
      <c r="CJY31" s="917"/>
      <c r="CJZ31" s="917"/>
      <c r="CKA31" s="917"/>
      <c r="CKB31" s="917"/>
      <c r="CKC31" s="917"/>
      <c r="CKD31" s="917"/>
      <c r="CKE31" s="917"/>
      <c r="CKF31" s="918"/>
      <c r="CKG31" s="914"/>
      <c r="CKH31" s="912"/>
      <c r="CKI31" s="916"/>
      <c r="CKJ31" s="917"/>
      <c r="CKK31" s="917"/>
      <c r="CKL31" s="917"/>
      <c r="CKM31" s="917"/>
      <c r="CKN31" s="917"/>
      <c r="CKO31" s="917"/>
      <c r="CKP31" s="917"/>
      <c r="CKQ31" s="918"/>
      <c r="CKR31" s="914"/>
      <c r="CKS31" s="912"/>
      <c r="CKT31" s="916"/>
      <c r="CKU31" s="917"/>
      <c r="CKV31" s="917"/>
      <c r="CKW31" s="917"/>
      <c r="CKX31" s="917"/>
      <c r="CKY31" s="917"/>
      <c r="CKZ31" s="917"/>
      <c r="CLA31" s="917"/>
      <c r="CLB31" s="918"/>
      <c r="CLC31" s="914"/>
      <c r="CLD31" s="912"/>
      <c r="CLE31" s="916"/>
      <c r="CLF31" s="917"/>
      <c r="CLG31" s="917"/>
      <c r="CLH31" s="917"/>
      <c r="CLI31" s="917"/>
      <c r="CLJ31" s="917"/>
      <c r="CLK31" s="917"/>
      <c r="CLL31" s="917"/>
      <c r="CLM31" s="918"/>
      <c r="CLN31" s="914"/>
      <c r="CLO31" s="912"/>
      <c r="CLP31" s="916"/>
      <c r="CLQ31" s="917"/>
      <c r="CLR31" s="917"/>
      <c r="CLS31" s="917"/>
      <c r="CLT31" s="917"/>
      <c r="CLU31" s="917"/>
      <c r="CLV31" s="917"/>
      <c r="CLW31" s="917"/>
      <c r="CLX31" s="918"/>
      <c r="CLY31" s="914"/>
      <c r="CLZ31" s="912"/>
      <c r="CMA31" s="916"/>
      <c r="CMB31" s="917"/>
      <c r="CMC31" s="917"/>
      <c r="CMD31" s="917"/>
      <c r="CME31" s="917"/>
      <c r="CMF31" s="917"/>
      <c r="CMG31" s="917"/>
      <c r="CMH31" s="917"/>
      <c r="CMI31" s="918"/>
      <c r="CMJ31" s="914"/>
      <c r="CMK31" s="912"/>
      <c r="CML31" s="916"/>
      <c r="CMM31" s="917"/>
      <c r="CMN31" s="917"/>
      <c r="CMO31" s="917"/>
      <c r="CMP31" s="917"/>
      <c r="CMQ31" s="917"/>
      <c r="CMR31" s="917"/>
      <c r="CMS31" s="917"/>
      <c r="CMT31" s="918"/>
      <c r="CMU31" s="914"/>
      <c r="CMV31" s="912"/>
      <c r="CMW31" s="916"/>
      <c r="CMX31" s="917"/>
      <c r="CMY31" s="917"/>
      <c r="CMZ31" s="917"/>
      <c r="CNA31" s="917"/>
      <c r="CNB31" s="917"/>
      <c r="CNC31" s="917"/>
      <c r="CND31" s="917"/>
      <c r="CNE31" s="918"/>
      <c r="CNF31" s="914"/>
      <c r="CNG31" s="912"/>
      <c r="CNH31" s="916"/>
      <c r="CNI31" s="917"/>
      <c r="CNJ31" s="917"/>
      <c r="CNK31" s="917"/>
      <c r="CNL31" s="917"/>
      <c r="CNM31" s="917"/>
      <c r="CNN31" s="917"/>
      <c r="CNO31" s="917"/>
      <c r="CNP31" s="918"/>
      <c r="CNQ31" s="914"/>
      <c r="CNR31" s="912"/>
      <c r="CNS31" s="916"/>
      <c r="CNT31" s="917"/>
      <c r="CNU31" s="917"/>
      <c r="CNV31" s="917"/>
      <c r="CNW31" s="917"/>
      <c r="CNX31" s="917"/>
      <c r="CNY31" s="917"/>
      <c r="CNZ31" s="917"/>
      <c r="COA31" s="918"/>
      <c r="COB31" s="914"/>
      <c r="COC31" s="912"/>
      <c r="COD31" s="916"/>
      <c r="COE31" s="917"/>
      <c r="COF31" s="917"/>
      <c r="COG31" s="917"/>
      <c r="COH31" s="917"/>
      <c r="COI31" s="917"/>
      <c r="COJ31" s="917"/>
      <c r="COK31" s="917"/>
      <c r="COL31" s="918"/>
      <c r="COM31" s="914"/>
      <c r="CON31" s="912"/>
      <c r="COO31" s="916"/>
      <c r="COP31" s="917"/>
      <c r="COQ31" s="917"/>
      <c r="COR31" s="917"/>
      <c r="COS31" s="917"/>
      <c r="COT31" s="917"/>
      <c r="COU31" s="917"/>
      <c r="COV31" s="917"/>
      <c r="COW31" s="918"/>
      <c r="COX31" s="914"/>
      <c r="COY31" s="912"/>
      <c r="COZ31" s="916"/>
      <c r="CPA31" s="917"/>
      <c r="CPB31" s="917"/>
      <c r="CPC31" s="917"/>
      <c r="CPD31" s="917"/>
      <c r="CPE31" s="917"/>
      <c r="CPF31" s="917"/>
      <c r="CPG31" s="917"/>
      <c r="CPH31" s="918"/>
      <c r="CPI31" s="914"/>
      <c r="CPJ31" s="912"/>
      <c r="CPK31" s="916"/>
      <c r="CPL31" s="917"/>
      <c r="CPM31" s="917"/>
      <c r="CPN31" s="917"/>
      <c r="CPO31" s="917"/>
      <c r="CPP31" s="917"/>
      <c r="CPQ31" s="917"/>
      <c r="CPR31" s="917"/>
      <c r="CPS31" s="918"/>
      <c r="CPT31" s="914"/>
      <c r="CPU31" s="912"/>
      <c r="CPV31" s="916"/>
      <c r="CPW31" s="917"/>
      <c r="CPX31" s="917"/>
      <c r="CPY31" s="917"/>
      <c r="CPZ31" s="917"/>
      <c r="CQA31" s="917"/>
      <c r="CQB31" s="917"/>
      <c r="CQC31" s="917"/>
      <c r="CQD31" s="918"/>
      <c r="CQE31" s="914"/>
      <c r="CQF31" s="912"/>
      <c r="CQG31" s="916"/>
      <c r="CQH31" s="917"/>
      <c r="CQI31" s="917"/>
      <c r="CQJ31" s="917"/>
      <c r="CQK31" s="917"/>
      <c r="CQL31" s="917"/>
      <c r="CQM31" s="917"/>
      <c r="CQN31" s="917"/>
      <c r="CQO31" s="918"/>
      <c r="CQP31" s="914"/>
      <c r="CQQ31" s="912"/>
      <c r="CQR31" s="916"/>
      <c r="CQS31" s="917"/>
      <c r="CQT31" s="917"/>
      <c r="CQU31" s="917"/>
      <c r="CQV31" s="917"/>
      <c r="CQW31" s="917"/>
      <c r="CQX31" s="917"/>
      <c r="CQY31" s="917"/>
      <c r="CQZ31" s="918"/>
      <c r="CRA31" s="914"/>
      <c r="CRB31" s="912"/>
      <c r="CRC31" s="916"/>
      <c r="CRD31" s="917"/>
      <c r="CRE31" s="917"/>
      <c r="CRF31" s="917"/>
      <c r="CRG31" s="917"/>
      <c r="CRH31" s="917"/>
      <c r="CRI31" s="917"/>
      <c r="CRJ31" s="917"/>
      <c r="CRK31" s="918"/>
      <c r="CRL31" s="914"/>
      <c r="CRM31" s="912"/>
      <c r="CRN31" s="916"/>
      <c r="CRO31" s="917"/>
      <c r="CRP31" s="917"/>
      <c r="CRQ31" s="917"/>
      <c r="CRR31" s="917"/>
      <c r="CRS31" s="917"/>
      <c r="CRT31" s="917"/>
      <c r="CRU31" s="917"/>
      <c r="CRV31" s="918"/>
      <c r="CRW31" s="914"/>
      <c r="CRX31" s="912"/>
      <c r="CRY31" s="916"/>
      <c r="CRZ31" s="917"/>
      <c r="CSA31" s="917"/>
      <c r="CSB31" s="917"/>
      <c r="CSC31" s="917"/>
      <c r="CSD31" s="917"/>
      <c r="CSE31" s="917"/>
      <c r="CSF31" s="917"/>
      <c r="CSG31" s="918"/>
      <c r="CSH31" s="914"/>
      <c r="CSI31" s="912"/>
      <c r="CSJ31" s="916"/>
      <c r="CSK31" s="917"/>
      <c r="CSL31" s="917"/>
      <c r="CSM31" s="917"/>
      <c r="CSN31" s="917"/>
      <c r="CSO31" s="917"/>
      <c r="CSP31" s="917"/>
      <c r="CSQ31" s="917"/>
      <c r="CSR31" s="918"/>
      <c r="CSS31" s="914"/>
      <c r="CST31" s="912"/>
      <c r="CSU31" s="916"/>
      <c r="CSV31" s="917"/>
      <c r="CSW31" s="917"/>
      <c r="CSX31" s="917"/>
      <c r="CSY31" s="917"/>
      <c r="CSZ31" s="917"/>
      <c r="CTA31" s="917"/>
      <c r="CTB31" s="917"/>
      <c r="CTC31" s="918"/>
      <c r="CTD31" s="914"/>
      <c r="CTE31" s="912"/>
      <c r="CTF31" s="916"/>
      <c r="CTG31" s="917"/>
      <c r="CTH31" s="917"/>
      <c r="CTI31" s="917"/>
      <c r="CTJ31" s="917"/>
      <c r="CTK31" s="917"/>
      <c r="CTL31" s="917"/>
      <c r="CTM31" s="917"/>
      <c r="CTN31" s="918"/>
      <c r="CTO31" s="914"/>
      <c r="CTP31" s="912"/>
      <c r="CTQ31" s="916"/>
      <c r="CTR31" s="917"/>
      <c r="CTS31" s="917"/>
      <c r="CTT31" s="917"/>
      <c r="CTU31" s="917"/>
      <c r="CTV31" s="917"/>
      <c r="CTW31" s="917"/>
      <c r="CTX31" s="917"/>
      <c r="CTY31" s="918"/>
      <c r="CTZ31" s="914"/>
      <c r="CUA31" s="912"/>
      <c r="CUB31" s="916"/>
      <c r="CUC31" s="917"/>
      <c r="CUD31" s="917"/>
      <c r="CUE31" s="917"/>
      <c r="CUF31" s="917"/>
      <c r="CUG31" s="917"/>
      <c r="CUH31" s="917"/>
      <c r="CUI31" s="917"/>
      <c r="CUJ31" s="918"/>
      <c r="CUK31" s="914"/>
      <c r="CUL31" s="912"/>
      <c r="CUM31" s="916"/>
      <c r="CUN31" s="917"/>
      <c r="CUO31" s="917"/>
      <c r="CUP31" s="917"/>
      <c r="CUQ31" s="917"/>
      <c r="CUR31" s="917"/>
      <c r="CUS31" s="917"/>
      <c r="CUT31" s="917"/>
      <c r="CUU31" s="918"/>
      <c r="CUV31" s="914"/>
      <c r="CUW31" s="912"/>
      <c r="CUX31" s="916"/>
      <c r="CUY31" s="917"/>
      <c r="CUZ31" s="917"/>
      <c r="CVA31" s="917"/>
      <c r="CVB31" s="917"/>
      <c r="CVC31" s="917"/>
      <c r="CVD31" s="917"/>
      <c r="CVE31" s="917"/>
      <c r="CVF31" s="918"/>
      <c r="CVG31" s="914"/>
      <c r="CVH31" s="912"/>
      <c r="CVI31" s="916"/>
      <c r="CVJ31" s="917"/>
      <c r="CVK31" s="917"/>
      <c r="CVL31" s="917"/>
      <c r="CVM31" s="917"/>
      <c r="CVN31" s="917"/>
      <c r="CVO31" s="917"/>
      <c r="CVP31" s="917"/>
      <c r="CVQ31" s="918"/>
      <c r="CVR31" s="914"/>
      <c r="CVS31" s="912"/>
      <c r="CVT31" s="916"/>
      <c r="CVU31" s="917"/>
      <c r="CVV31" s="917"/>
      <c r="CVW31" s="917"/>
      <c r="CVX31" s="917"/>
      <c r="CVY31" s="917"/>
      <c r="CVZ31" s="917"/>
      <c r="CWA31" s="917"/>
      <c r="CWB31" s="918"/>
      <c r="CWC31" s="914"/>
      <c r="CWD31" s="912"/>
      <c r="CWE31" s="916"/>
      <c r="CWF31" s="917"/>
      <c r="CWG31" s="917"/>
      <c r="CWH31" s="917"/>
      <c r="CWI31" s="917"/>
      <c r="CWJ31" s="917"/>
      <c r="CWK31" s="917"/>
      <c r="CWL31" s="917"/>
      <c r="CWM31" s="918"/>
      <c r="CWN31" s="914"/>
      <c r="CWO31" s="912"/>
      <c r="CWP31" s="916"/>
      <c r="CWQ31" s="917"/>
      <c r="CWR31" s="917"/>
      <c r="CWS31" s="917"/>
      <c r="CWT31" s="917"/>
      <c r="CWU31" s="917"/>
      <c r="CWV31" s="917"/>
      <c r="CWW31" s="917"/>
      <c r="CWX31" s="918"/>
      <c r="CWY31" s="914"/>
      <c r="CWZ31" s="912"/>
      <c r="CXA31" s="916"/>
      <c r="CXB31" s="917"/>
      <c r="CXC31" s="917"/>
      <c r="CXD31" s="917"/>
      <c r="CXE31" s="917"/>
      <c r="CXF31" s="917"/>
      <c r="CXG31" s="917"/>
      <c r="CXH31" s="917"/>
      <c r="CXI31" s="918"/>
      <c r="CXJ31" s="914"/>
      <c r="CXK31" s="912"/>
      <c r="CXL31" s="916"/>
      <c r="CXM31" s="917"/>
      <c r="CXN31" s="917"/>
      <c r="CXO31" s="917"/>
      <c r="CXP31" s="917"/>
      <c r="CXQ31" s="917"/>
      <c r="CXR31" s="917"/>
      <c r="CXS31" s="917"/>
      <c r="CXT31" s="918"/>
      <c r="CXU31" s="914"/>
      <c r="CXV31" s="912"/>
      <c r="CXW31" s="916"/>
      <c r="CXX31" s="917"/>
      <c r="CXY31" s="917"/>
      <c r="CXZ31" s="917"/>
      <c r="CYA31" s="917"/>
      <c r="CYB31" s="917"/>
      <c r="CYC31" s="917"/>
      <c r="CYD31" s="917"/>
      <c r="CYE31" s="918"/>
      <c r="CYF31" s="914"/>
      <c r="CYG31" s="912"/>
      <c r="CYH31" s="916"/>
      <c r="CYI31" s="917"/>
      <c r="CYJ31" s="917"/>
      <c r="CYK31" s="917"/>
      <c r="CYL31" s="917"/>
      <c r="CYM31" s="917"/>
      <c r="CYN31" s="917"/>
      <c r="CYO31" s="917"/>
      <c r="CYP31" s="918"/>
      <c r="CYQ31" s="914"/>
      <c r="CYR31" s="912"/>
      <c r="CYS31" s="916"/>
      <c r="CYT31" s="917"/>
      <c r="CYU31" s="917"/>
      <c r="CYV31" s="917"/>
      <c r="CYW31" s="917"/>
      <c r="CYX31" s="917"/>
      <c r="CYY31" s="917"/>
      <c r="CYZ31" s="917"/>
      <c r="CZA31" s="918"/>
      <c r="CZB31" s="914"/>
      <c r="CZC31" s="912"/>
      <c r="CZD31" s="916"/>
      <c r="CZE31" s="917"/>
      <c r="CZF31" s="917"/>
      <c r="CZG31" s="917"/>
      <c r="CZH31" s="917"/>
      <c r="CZI31" s="917"/>
      <c r="CZJ31" s="917"/>
      <c r="CZK31" s="917"/>
      <c r="CZL31" s="918"/>
      <c r="CZM31" s="914"/>
      <c r="CZN31" s="912"/>
      <c r="CZO31" s="916"/>
      <c r="CZP31" s="917"/>
      <c r="CZQ31" s="917"/>
      <c r="CZR31" s="917"/>
      <c r="CZS31" s="917"/>
      <c r="CZT31" s="917"/>
      <c r="CZU31" s="917"/>
      <c r="CZV31" s="917"/>
      <c r="CZW31" s="918"/>
      <c r="CZX31" s="914"/>
      <c r="CZY31" s="912"/>
      <c r="CZZ31" s="916"/>
      <c r="DAA31" s="917"/>
      <c r="DAB31" s="917"/>
      <c r="DAC31" s="917"/>
      <c r="DAD31" s="917"/>
      <c r="DAE31" s="917"/>
      <c r="DAF31" s="917"/>
      <c r="DAG31" s="917"/>
      <c r="DAH31" s="918"/>
      <c r="DAI31" s="914"/>
      <c r="DAJ31" s="912"/>
      <c r="DAK31" s="916"/>
      <c r="DAL31" s="917"/>
      <c r="DAM31" s="917"/>
      <c r="DAN31" s="917"/>
      <c r="DAO31" s="917"/>
      <c r="DAP31" s="917"/>
      <c r="DAQ31" s="917"/>
      <c r="DAR31" s="917"/>
      <c r="DAS31" s="918"/>
      <c r="DAT31" s="914"/>
      <c r="DAU31" s="912"/>
      <c r="DAV31" s="916"/>
      <c r="DAW31" s="917"/>
      <c r="DAX31" s="917"/>
      <c r="DAY31" s="917"/>
      <c r="DAZ31" s="917"/>
      <c r="DBA31" s="917"/>
      <c r="DBB31" s="917"/>
      <c r="DBC31" s="917"/>
      <c r="DBD31" s="918"/>
      <c r="DBE31" s="914"/>
      <c r="DBF31" s="912"/>
      <c r="DBG31" s="916"/>
      <c r="DBH31" s="917"/>
      <c r="DBI31" s="917"/>
      <c r="DBJ31" s="917"/>
      <c r="DBK31" s="917"/>
      <c r="DBL31" s="917"/>
      <c r="DBM31" s="917"/>
      <c r="DBN31" s="917"/>
      <c r="DBO31" s="918"/>
      <c r="DBP31" s="914"/>
      <c r="DBQ31" s="912"/>
      <c r="DBR31" s="916"/>
      <c r="DBS31" s="917"/>
      <c r="DBT31" s="917"/>
      <c r="DBU31" s="917"/>
      <c r="DBV31" s="917"/>
      <c r="DBW31" s="917"/>
      <c r="DBX31" s="917"/>
      <c r="DBY31" s="917"/>
      <c r="DBZ31" s="918"/>
      <c r="DCA31" s="914"/>
      <c r="DCB31" s="912"/>
      <c r="DCC31" s="916"/>
      <c r="DCD31" s="917"/>
      <c r="DCE31" s="917"/>
      <c r="DCF31" s="917"/>
      <c r="DCG31" s="917"/>
      <c r="DCH31" s="917"/>
      <c r="DCI31" s="917"/>
      <c r="DCJ31" s="917"/>
      <c r="DCK31" s="918"/>
      <c r="DCL31" s="914"/>
      <c r="DCM31" s="912"/>
      <c r="DCN31" s="916"/>
      <c r="DCO31" s="917"/>
      <c r="DCP31" s="917"/>
      <c r="DCQ31" s="917"/>
      <c r="DCR31" s="917"/>
      <c r="DCS31" s="917"/>
      <c r="DCT31" s="917"/>
      <c r="DCU31" s="917"/>
      <c r="DCV31" s="918"/>
      <c r="DCW31" s="914"/>
      <c r="DCX31" s="912"/>
      <c r="DCY31" s="916"/>
      <c r="DCZ31" s="917"/>
      <c r="DDA31" s="917"/>
      <c r="DDB31" s="917"/>
      <c r="DDC31" s="917"/>
      <c r="DDD31" s="917"/>
      <c r="DDE31" s="917"/>
      <c r="DDF31" s="917"/>
      <c r="DDG31" s="918"/>
      <c r="DDH31" s="914"/>
      <c r="DDI31" s="912"/>
      <c r="DDJ31" s="916"/>
      <c r="DDK31" s="917"/>
      <c r="DDL31" s="917"/>
      <c r="DDM31" s="917"/>
      <c r="DDN31" s="917"/>
      <c r="DDO31" s="917"/>
      <c r="DDP31" s="917"/>
      <c r="DDQ31" s="917"/>
      <c r="DDR31" s="918"/>
      <c r="DDS31" s="914"/>
      <c r="DDT31" s="912"/>
      <c r="DDU31" s="916"/>
      <c r="DDV31" s="917"/>
      <c r="DDW31" s="917"/>
      <c r="DDX31" s="917"/>
      <c r="DDY31" s="917"/>
      <c r="DDZ31" s="917"/>
      <c r="DEA31" s="917"/>
      <c r="DEB31" s="917"/>
      <c r="DEC31" s="918"/>
      <c r="DED31" s="914"/>
      <c r="DEE31" s="912"/>
      <c r="DEF31" s="916"/>
      <c r="DEG31" s="917"/>
      <c r="DEH31" s="917"/>
      <c r="DEI31" s="917"/>
      <c r="DEJ31" s="917"/>
      <c r="DEK31" s="917"/>
      <c r="DEL31" s="917"/>
      <c r="DEM31" s="917"/>
      <c r="DEN31" s="918"/>
      <c r="DEO31" s="914"/>
      <c r="DEP31" s="912"/>
      <c r="DEQ31" s="916"/>
      <c r="DER31" s="917"/>
      <c r="DES31" s="917"/>
      <c r="DET31" s="917"/>
      <c r="DEU31" s="917"/>
      <c r="DEV31" s="917"/>
      <c r="DEW31" s="917"/>
      <c r="DEX31" s="917"/>
      <c r="DEY31" s="918"/>
      <c r="DEZ31" s="914"/>
      <c r="DFA31" s="912"/>
      <c r="DFB31" s="916"/>
      <c r="DFC31" s="917"/>
      <c r="DFD31" s="917"/>
      <c r="DFE31" s="917"/>
      <c r="DFF31" s="917"/>
      <c r="DFG31" s="917"/>
      <c r="DFH31" s="917"/>
      <c r="DFI31" s="917"/>
      <c r="DFJ31" s="918"/>
      <c r="DFK31" s="914"/>
      <c r="DFL31" s="912"/>
      <c r="DFM31" s="916"/>
      <c r="DFN31" s="917"/>
      <c r="DFO31" s="917"/>
      <c r="DFP31" s="917"/>
      <c r="DFQ31" s="917"/>
      <c r="DFR31" s="917"/>
      <c r="DFS31" s="917"/>
      <c r="DFT31" s="917"/>
      <c r="DFU31" s="918"/>
      <c r="DFV31" s="914"/>
      <c r="DFW31" s="912"/>
      <c r="DFX31" s="916"/>
      <c r="DFY31" s="917"/>
      <c r="DFZ31" s="917"/>
      <c r="DGA31" s="917"/>
      <c r="DGB31" s="917"/>
      <c r="DGC31" s="917"/>
      <c r="DGD31" s="917"/>
      <c r="DGE31" s="917"/>
      <c r="DGF31" s="918"/>
      <c r="DGG31" s="914"/>
      <c r="DGH31" s="912"/>
      <c r="DGI31" s="916"/>
      <c r="DGJ31" s="917"/>
      <c r="DGK31" s="917"/>
      <c r="DGL31" s="917"/>
      <c r="DGM31" s="917"/>
      <c r="DGN31" s="917"/>
      <c r="DGO31" s="917"/>
      <c r="DGP31" s="917"/>
      <c r="DGQ31" s="918"/>
      <c r="DGR31" s="914"/>
      <c r="DGS31" s="912"/>
      <c r="DGT31" s="916"/>
      <c r="DGU31" s="917"/>
      <c r="DGV31" s="917"/>
      <c r="DGW31" s="917"/>
      <c r="DGX31" s="917"/>
      <c r="DGY31" s="917"/>
      <c r="DGZ31" s="917"/>
      <c r="DHA31" s="917"/>
      <c r="DHB31" s="918"/>
      <c r="DHC31" s="914"/>
      <c r="DHD31" s="912"/>
      <c r="DHE31" s="916"/>
      <c r="DHF31" s="917"/>
      <c r="DHG31" s="917"/>
      <c r="DHH31" s="917"/>
      <c r="DHI31" s="917"/>
      <c r="DHJ31" s="917"/>
      <c r="DHK31" s="917"/>
      <c r="DHL31" s="917"/>
      <c r="DHM31" s="918"/>
      <c r="DHN31" s="914"/>
      <c r="DHO31" s="912"/>
      <c r="DHP31" s="916"/>
      <c r="DHQ31" s="917"/>
      <c r="DHR31" s="917"/>
      <c r="DHS31" s="917"/>
      <c r="DHT31" s="917"/>
      <c r="DHU31" s="917"/>
      <c r="DHV31" s="917"/>
      <c r="DHW31" s="917"/>
      <c r="DHX31" s="918"/>
      <c r="DHY31" s="914"/>
      <c r="DHZ31" s="912"/>
      <c r="DIA31" s="916"/>
      <c r="DIB31" s="917"/>
      <c r="DIC31" s="917"/>
      <c r="DID31" s="917"/>
      <c r="DIE31" s="917"/>
      <c r="DIF31" s="917"/>
      <c r="DIG31" s="917"/>
      <c r="DIH31" s="917"/>
      <c r="DII31" s="918"/>
      <c r="DIJ31" s="914"/>
      <c r="DIK31" s="912"/>
      <c r="DIL31" s="916"/>
      <c r="DIM31" s="917"/>
      <c r="DIN31" s="917"/>
      <c r="DIO31" s="917"/>
      <c r="DIP31" s="917"/>
      <c r="DIQ31" s="917"/>
      <c r="DIR31" s="917"/>
      <c r="DIS31" s="917"/>
      <c r="DIT31" s="918"/>
      <c r="DIU31" s="914"/>
      <c r="DIV31" s="912"/>
      <c r="DIW31" s="916"/>
      <c r="DIX31" s="917"/>
      <c r="DIY31" s="917"/>
      <c r="DIZ31" s="917"/>
      <c r="DJA31" s="917"/>
      <c r="DJB31" s="917"/>
      <c r="DJC31" s="917"/>
      <c r="DJD31" s="917"/>
      <c r="DJE31" s="918"/>
      <c r="DJF31" s="914"/>
      <c r="DJG31" s="912"/>
      <c r="DJH31" s="916"/>
      <c r="DJI31" s="917"/>
      <c r="DJJ31" s="917"/>
      <c r="DJK31" s="917"/>
      <c r="DJL31" s="917"/>
      <c r="DJM31" s="917"/>
      <c r="DJN31" s="917"/>
      <c r="DJO31" s="917"/>
      <c r="DJP31" s="918"/>
      <c r="DJQ31" s="914"/>
      <c r="DJR31" s="912"/>
      <c r="DJS31" s="916"/>
      <c r="DJT31" s="917"/>
      <c r="DJU31" s="917"/>
      <c r="DJV31" s="917"/>
      <c r="DJW31" s="917"/>
      <c r="DJX31" s="917"/>
      <c r="DJY31" s="917"/>
      <c r="DJZ31" s="917"/>
      <c r="DKA31" s="918"/>
      <c r="DKB31" s="914"/>
      <c r="DKC31" s="912"/>
      <c r="DKD31" s="916"/>
      <c r="DKE31" s="917"/>
      <c r="DKF31" s="917"/>
      <c r="DKG31" s="917"/>
      <c r="DKH31" s="917"/>
      <c r="DKI31" s="917"/>
      <c r="DKJ31" s="917"/>
      <c r="DKK31" s="917"/>
      <c r="DKL31" s="918"/>
      <c r="DKM31" s="914"/>
      <c r="DKN31" s="912"/>
      <c r="DKO31" s="916"/>
      <c r="DKP31" s="917"/>
      <c r="DKQ31" s="917"/>
      <c r="DKR31" s="917"/>
      <c r="DKS31" s="917"/>
      <c r="DKT31" s="917"/>
      <c r="DKU31" s="917"/>
      <c r="DKV31" s="917"/>
      <c r="DKW31" s="918"/>
      <c r="DKX31" s="914"/>
      <c r="DKY31" s="912"/>
      <c r="DKZ31" s="916"/>
      <c r="DLA31" s="917"/>
      <c r="DLB31" s="917"/>
      <c r="DLC31" s="917"/>
      <c r="DLD31" s="917"/>
      <c r="DLE31" s="917"/>
      <c r="DLF31" s="917"/>
      <c r="DLG31" s="917"/>
      <c r="DLH31" s="918"/>
      <c r="DLI31" s="914"/>
      <c r="DLJ31" s="912"/>
      <c r="DLK31" s="916"/>
      <c r="DLL31" s="917"/>
      <c r="DLM31" s="917"/>
      <c r="DLN31" s="917"/>
      <c r="DLO31" s="917"/>
      <c r="DLP31" s="917"/>
      <c r="DLQ31" s="917"/>
      <c r="DLR31" s="917"/>
      <c r="DLS31" s="918"/>
      <c r="DLT31" s="914"/>
      <c r="DLU31" s="912"/>
      <c r="DLV31" s="916"/>
      <c r="DLW31" s="917"/>
      <c r="DLX31" s="917"/>
      <c r="DLY31" s="917"/>
      <c r="DLZ31" s="917"/>
      <c r="DMA31" s="917"/>
      <c r="DMB31" s="917"/>
      <c r="DMC31" s="917"/>
      <c r="DMD31" s="918"/>
      <c r="DME31" s="914"/>
      <c r="DMF31" s="912"/>
      <c r="DMG31" s="916"/>
      <c r="DMH31" s="917"/>
      <c r="DMI31" s="917"/>
      <c r="DMJ31" s="917"/>
      <c r="DMK31" s="917"/>
      <c r="DML31" s="917"/>
      <c r="DMM31" s="917"/>
      <c r="DMN31" s="917"/>
      <c r="DMO31" s="918"/>
      <c r="DMP31" s="914"/>
      <c r="DMQ31" s="912"/>
      <c r="DMR31" s="916"/>
      <c r="DMS31" s="917"/>
      <c r="DMT31" s="917"/>
      <c r="DMU31" s="917"/>
      <c r="DMV31" s="917"/>
      <c r="DMW31" s="917"/>
      <c r="DMX31" s="917"/>
      <c r="DMY31" s="917"/>
      <c r="DMZ31" s="918"/>
      <c r="DNA31" s="914"/>
      <c r="DNB31" s="912"/>
      <c r="DNC31" s="916"/>
      <c r="DND31" s="917"/>
      <c r="DNE31" s="917"/>
      <c r="DNF31" s="917"/>
      <c r="DNG31" s="917"/>
      <c r="DNH31" s="917"/>
      <c r="DNI31" s="917"/>
      <c r="DNJ31" s="917"/>
      <c r="DNK31" s="918"/>
      <c r="DNL31" s="914"/>
      <c r="DNM31" s="912"/>
      <c r="DNN31" s="916"/>
      <c r="DNO31" s="917"/>
      <c r="DNP31" s="917"/>
      <c r="DNQ31" s="917"/>
      <c r="DNR31" s="917"/>
      <c r="DNS31" s="917"/>
      <c r="DNT31" s="917"/>
      <c r="DNU31" s="917"/>
      <c r="DNV31" s="918"/>
      <c r="DNW31" s="914"/>
      <c r="DNX31" s="912"/>
      <c r="DNY31" s="916"/>
      <c r="DNZ31" s="917"/>
      <c r="DOA31" s="917"/>
      <c r="DOB31" s="917"/>
      <c r="DOC31" s="917"/>
      <c r="DOD31" s="917"/>
      <c r="DOE31" s="917"/>
      <c r="DOF31" s="917"/>
      <c r="DOG31" s="918"/>
      <c r="DOH31" s="914"/>
      <c r="DOI31" s="912"/>
      <c r="DOJ31" s="916"/>
      <c r="DOK31" s="917"/>
      <c r="DOL31" s="917"/>
      <c r="DOM31" s="917"/>
      <c r="DON31" s="917"/>
      <c r="DOO31" s="917"/>
      <c r="DOP31" s="917"/>
      <c r="DOQ31" s="917"/>
      <c r="DOR31" s="918"/>
      <c r="DOS31" s="914"/>
      <c r="DOT31" s="912"/>
      <c r="DOU31" s="916"/>
      <c r="DOV31" s="917"/>
      <c r="DOW31" s="917"/>
      <c r="DOX31" s="917"/>
      <c r="DOY31" s="917"/>
      <c r="DOZ31" s="917"/>
      <c r="DPA31" s="917"/>
      <c r="DPB31" s="917"/>
      <c r="DPC31" s="918"/>
      <c r="DPD31" s="914"/>
      <c r="DPE31" s="912"/>
      <c r="DPF31" s="916"/>
      <c r="DPG31" s="917"/>
      <c r="DPH31" s="917"/>
      <c r="DPI31" s="917"/>
      <c r="DPJ31" s="917"/>
      <c r="DPK31" s="917"/>
      <c r="DPL31" s="917"/>
      <c r="DPM31" s="917"/>
      <c r="DPN31" s="918"/>
      <c r="DPO31" s="914"/>
      <c r="DPP31" s="912"/>
      <c r="DPQ31" s="916"/>
      <c r="DPR31" s="917"/>
      <c r="DPS31" s="917"/>
      <c r="DPT31" s="917"/>
      <c r="DPU31" s="917"/>
      <c r="DPV31" s="917"/>
      <c r="DPW31" s="917"/>
      <c r="DPX31" s="917"/>
      <c r="DPY31" s="918"/>
      <c r="DPZ31" s="914"/>
      <c r="DQA31" s="912"/>
      <c r="DQB31" s="916"/>
      <c r="DQC31" s="917"/>
      <c r="DQD31" s="917"/>
      <c r="DQE31" s="917"/>
      <c r="DQF31" s="917"/>
      <c r="DQG31" s="917"/>
      <c r="DQH31" s="917"/>
      <c r="DQI31" s="917"/>
      <c r="DQJ31" s="918"/>
      <c r="DQK31" s="914"/>
      <c r="DQL31" s="912"/>
      <c r="DQM31" s="916"/>
      <c r="DQN31" s="917"/>
      <c r="DQO31" s="917"/>
      <c r="DQP31" s="917"/>
      <c r="DQQ31" s="917"/>
      <c r="DQR31" s="917"/>
      <c r="DQS31" s="917"/>
      <c r="DQT31" s="917"/>
      <c r="DQU31" s="918"/>
      <c r="DQV31" s="914"/>
      <c r="DQW31" s="912"/>
      <c r="DQX31" s="916"/>
      <c r="DQY31" s="917"/>
      <c r="DQZ31" s="917"/>
      <c r="DRA31" s="917"/>
      <c r="DRB31" s="917"/>
      <c r="DRC31" s="917"/>
      <c r="DRD31" s="917"/>
      <c r="DRE31" s="917"/>
      <c r="DRF31" s="918"/>
      <c r="DRG31" s="914"/>
      <c r="DRH31" s="912"/>
      <c r="DRI31" s="916"/>
      <c r="DRJ31" s="917"/>
      <c r="DRK31" s="917"/>
      <c r="DRL31" s="917"/>
      <c r="DRM31" s="917"/>
      <c r="DRN31" s="917"/>
      <c r="DRO31" s="917"/>
      <c r="DRP31" s="917"/>
      <c r="DRQ31" s="918"/>
      <c r="DRR31" s="914"/>
      <c r="DRS31" s="912"/>
      <c r="DRT31" s="916"/>
      <c r="DRU31" s="917"/>
      <c r="DRV31" s="917"/>
      <c r="DRW31" s="917"/>
      <c r="DRX31" s="917"/>
      <c r="DRY31" s="917"/>
      <c r="DRZ31" s="917"/>
      <c r="DSA31" s="917"/>
      <c r="DSB31" s="918"/>
      <c r="DSC31" s="914"/>
      <c r="DSD31" s="912"/>
      <c r="DSE31" s="916"/>
      <c r="DSF31" s="917"/>
      <c r="DSG31" s="917"/>
      <c r="DSH31" s="917"/>
      <c r="DSI31" s="917"/>
      <c r="DSJ31" s="917"/>
      <c r="DSK31" s="917"/>
      <c r="DSL31" s="917"/>
      <c r="DSM31" s="918"/>
      <c r="DSN31" s="914"/>
      <c r="DSO31" s="912"/>
      <c r="DSP31" s="916"/>
      <c r="DSQ31" s="917"/>
      <c r="DSR31" s="917"/>
      <c r="DSS31" s="917"/>
      <c r="DST31" s="917"/>
      <c r="DSU31" s="917"/>
      <c r="DSV31" s="917"/>
      <c r="DSW31" s="917"/>
      <c r="DSX31" s="918"/>
      <c r="DSY31" s="914"/>
      <c r="DSZ31" s="912"/>
      <c r="DTA31" s="916"/>
      <c r="DTB31" s="917"/>
      <c r="DTC31" s="917"/>
      <c r="DTD31" s="917"/>
      <c r="DTE31" s="917"/>
      <c r="DTF31" s="917"/>
      <c r="DTG31" s="917"/>
      <c r="DTH31" s="917"/>
      <c r="DTI31" s="918"/>
      <c r="DTJ31" s="914"/>
      <c r="DTK31" s="912"/>
      <c r="DTL31" s="916"/>
      <c r="DTM31" s="917"/>
      <c r="DTN31" s="917"/>
      <c r="DTO31" s="917"/>
      <c r="DTP31" s="917"/>
      <c r="DTQ31" s="917"/>
      <c r="DTR31" s="917"/>
      <c r="DTS31" s="917"/>
      <c r="DTT31" s="918"/>
      <c r="DTU31" s="914"/>
      <c r="DTV31" s="912"/>
      <c r="DTW31" s="916"/>
      <c r="DTX31" s="917"/>
      <c r="DTY31" s="917"/>
      <c r="DTZ31" s="917"/>
      <c r="DUA31" s="917"/>
      <c r="DUB31" s="917"/>
      <c r="DUC31" s="917"/>
      <c r="DUD31" s="917"/>
      <c r="DUE31" s="918"/>
      <c r="DUF31" s="914"/>
      <c r="DUG31" s="912"/>
      <c r="DUH31" s="916"/>
      <c r="DUI31" s="917"/>
      <c r="DUJ31" s="917"/>
      <c r="DUK31" s="917"/>
      <c r="DUL31" s="917"/>
      <c r="DUM31" s="917"/>
      <c r="DUN31" s="917"/>
      <c r="DUO31" s="917"/>
      <c r="DUP31" s="918"/>
      <c r="DUQ31" s="914"/>
      <c r="DUR31" s="912"/>
      <c r="DUS31" s="916"/>
      <c r="DUT31" s="917"/>
      <c r="DUU31" s="917"/>
      <c r="DUV31" s="917"/>
      <c r="DUW31" s="917"/>
      <c r="DUX31" s="917"/>
      <c r="DUY31" s="917"/>
      <c r="DUZ31" s="917"/>
      <c r="DVA31" s="918"/>
      <c r="DVB31" s="914"/>
      <c r="DVC31" s="912"/>
      <c r="DVD31" s="916"/>
      <c r="DVE31" s="917"/>
      <c r="DVF31" s="917"/>
      <c r="DVG31" s="917"/>
      <c r="DVH31" s="917"/>
      <c r="DVI31" s="917"/>
      <c r="DVJ31" s="917"/>
      <c r="DVK31" s="917"/>
      <c r="DVL31" s="918"/>
      <c r="DVM31" s="914"/>
      <c r="DVN31" s="912"/>
      <c r="DVO31" s="916"/>
      <c r="DVP31" s="917"/>
      <c r="DVQ31" s="917"/>
      <c r="DVR31" s="917"/>
      <c r="DVS31" s="917"/>
      <c r="DVT31" s="917"/>
      <c r="DVU31" s="917"/>
      <c r="DVV31" s="917"/>
      <c r="DVW31" s="918"/>
      <c r="DVX31" s="914"/>
      <c r="DVY31" s="912"/>
      <c r="DVZ31" s="916"/>
      <c r="DWA31" s="917"/>
      <c r="DWB31" s="917"/>
      <c r="DWC31" s="917"/>
      <c r="DWD31" s="917"/>
      <c r="DWE31" s="917"/>
      <c r="DWF31" s="917"/>
      <c r="DWG31" s="917"/>
      <c r="DWH31" s="918"/>
      <c r="DWI31" s="914"/>
      <c r="DWJ31" s="912"/>
      <c r="DWK31" s="916"/>
      <c r="DWL31" s="917"/>
      <c r="DWM31" s="917"/>
      <c r="DWN31" s="917"/>
      <c r="DWO31" s="917"/>
      <c r="DWP31" s="917"/>
      <c r="DWQ31" s="917"/>
      <c r="DWR31" s="917"/>
      <c r="DWS31" s="918"/>
      <c r="DWT31" s="914"/>
      <c r="DWU31" s="912"/>
      <c r="DWV31" s="916"/>
      <c r="DWW31" s="917"/>
      <c r="DWX31" s="917"/>
      <c r="DWY31" s="917"/>
      <c r="DWZ31" s="917"/>
      <c r="DXA31" s="917"/>
      <c r="DXB31" s="917"/>
      <c r="DXC31" s="917"/>
      <c r="DXD31" s="918"/>
      <c r="DXE31" s="914"/>
      <c r="DXF31" s="912"/>
      <c r="DXG31" s="916"/>
      <c r="DXH31" s="917"/>
      <c r="DXI31" s="917"/>
      <c r="DXJ31" s="917"/>
      <c r="DXK31" s="917"/>
      <c r="DXL31" s="917"/>
      <c r="DXM31" s="917"/>
      <c r="DXN31" s="917"/>
      <c r="DXO31" s="918"/>
      <c r="DXP31" s="914"/>
      <c r="DXQ31" s="912"/>
      <c r="DXR31" s="916"/>
      <c r="DXS31" s="917"/>
      <c r="DXT31" s="917"/>
      <c r="DXU31" s="917"/>
      <c r="DXV31" s="917"/>
      <c r="DXW31" s="917"/>
      <c r="DXX31" s="917"/>
      <c r="DXY31" s="917"/>
      <c r="DXZ31" s="918"/>
      <c r="DYA31" s="914"/>
      <c r="DYB31" s="912"/>
      <c r="DYC31" s="916"/>
      <c r="DYD31" s="917"/>
      <c r="DYE31" s="917"/>
      <c r="DYF31" s="917"/>
      <c r="DYG31" s="917"/>
      <c r="DYH31" s="917"/>
      <c r="DYI31" s="917"/>
      <c r="DYJ31" s="917"/>
      <c r="DYK31" s="918"/>
      <c r="DYL31" s="914"/>
      <c r="DYM31" s="912"/>
      <c r="DYN31" s="916"/>
      <c r="DYO31" s="917"/>
      <c r="DYP31" s="917"/>
      <c r="DYQ31" s="917"/>
      <c r="DYR31" s="917"/>
      <c r="DYS31" s="917"/>
      <c r="DYT31" s="917"/>
      <c r="DYU31" s="917"/>
      <c r="DYV31" s="918"/>
      <c r="DYW31" s="914"/>
      <c r="DYX31" s="912"/>
      <c r="DYY31" s="916"/>
      <c r="DYZ31" s="917"/>
      <c r="DZA31" s="917"/>
      <c r="DZB31" s="917"/>
      <c r="DZC31" s="917"/>
      <c r="DZD31" s="917"/>
      <c r="DZE31" s="917"/>
      <c r="DZF31" s="917"/>
      <c r="DZG31" s="918"/>
      <c r="DZH31" s="914"/>
      <c r="DZI31" s="912"/>
      <c r="DZJ31" s="916"/>
      <c r="DZK31" s="917"/>
      <c r="DZL31" s="917"/>
      <c r="DZM31" s="917"/>
      <c r="DZN31" s="917"/>
      <c r="DZO31" s="917"/>
      <c r="DZP31" s="917"/>
      <c r="DZQ31" s="917"/>
      <c r="DZR31" s="918"/>
      <c r="DZS31" s="914"/>
      <c r="DZT31" s="912"/>
      <c r="DZU31" s="916"/>
      <c r="DZV31" s="917"/>
      <c r="DZW31" s="917"/>
      <c r="DZX31" s="917"/>
      <c r="DZY31" s="917"/>
      <c r="DZZ31" s="917"/>
      <c r="EAA31" s="917"/>
      <c r="EAB31" s="917"/>
      <c r="EAC31" s="918"/>
      <c r="EAD31" s="914"/>
      <c r="EAE31" s="912"/>
      <c r="EAF31" s="916"/>
      <c r="EAG31" s="917"/>
      <c r="EAH31" s="917"/>
      <c r="EAI31" s="917"/>
      <c r="EAJ31" s="917"/>
      <c r="EAK31" s="917"/>
      <c r="EAL31" s="917"/>
      <c r="EAM31" s="917"/>
      <c r="EAN31" s="918"/>
      <c r="EAO31" s="914"/>
      <c r="EAP31" s="912"/>
      <c r="EAQ31" s="916"/>
      <c r="EAR31" s="917"/>
      <c r="EAS31" s="917"/>
      <c r="EAT31" s="917"/>
      <c r="EAU31" s="917"/>
      <c r="EAV31" s="917"/>
      <c r="EAW31" s="917"/>
      <c r="EAX31" s="917"/>
      <c r="EAY31" s="918"/>
      <c r="EAZ31" s="914"/>
      <c r="EBA31" s="912"/>
      <c r="EBB31" s="916"/>
      <c r="EBC31" s="917"/>
      <c r="EBD31" s="917"/>
      <c r="EBE31" s="917"/>
      <c r="EBF31" s="917"/>
      <c r="EBG31" s="917"/>
      <c r="EBH31" s="917"/>
      <c r="EBI31" s="917"/>
      <c r="EBJ31" s="918"/>
      <c r="EBK31" s="914"/>
      <c r="EBL31" s="912"/>
      <c r="EBM31" s="916"/>
      <c r="EBN31" s="917"/>
      <c r="EBO31" s="917"/>
      <c r="EBP31" s="917"/>
      <c r="EBQ31" s="917"/>
      <c r="EBR31" s="917"/>
      <c r="EBS31" s="917"/>
      <c r="EBT31" s="917"/>
      <c r="EBU31" s="918"/>
      <c r="EBV31" s="914"/>
      <c r="EBW31" s="912"/>
      <c r="EBX31" s="916"/>
      <c r="EBY31" s="917"/>
      <c r="EBZ31" s="917"/>
      <c r="ECA31" s="917"/>
      <c r="ECB31" s="917"/>
      <c r="ECC31" s="917"/>
      <c r="ECD31" s="917"/>
      <c r="ECE31" s="917"/>
      <c r="ECF31" s="918"/>
      <c r="ECG31" s="914"/>
      <c r="ECH31" s="912"/>
      <c r="ECI31" s="916"/>
      <c r="ECJ31" s="917"/>
      <c r="ECK31" s="917"/>
      <c r="ECL31" s="917"/>
      <c r="ECM31" s="917"/>
      <c r="ECN31" s="917"/>
      <c r="ECO31" s="917"/>
      <c r="ECP31" s="917"/>
      <c r="ECQ31" s="918"/>
      <c r="ECR31" s="914"/>
      <c r="ECS31" s="912"/>
      <c r="ECT31" s="916"/>
      <c r="ECU31" s="917"/>
      <c r="ECV31" s="917"/>
      <c r="ECW31" s="917"/>
      <c r="ECX31" s="917"/>
      <c r="ECY31" s="917"/>
      <c r="ECZ31" s="917"/>
      <c r="EDA31" s="917"/>
      <c r="EDB31" s="918"/>
      <c r="EDC31" s="914"/>
      <c r="EDD31" s="912"/>
      <c r="EDE31" s="916"/>
      <c r="EDF31" s="917"/>
      <c r="EDG31" s="917"/>
      <c r="EDH31" s="917"/>
      <c r="EDI31" s="917"/>
      <c r="EDJ31" s="917"/>
      <c r="EDK31" s="917"/>
      <c r="EDL31" s="917"/>
      <c r="EDM31" s="918"/>
      <c r="EDN31" s="914"/>
      <c r="EDO31" s="912"/>
      <c r="EDP31" s="916"/>
      <c r="EDQ31" s="917"/>
      <c r="EDR31" s="917"/>
      <c r="EDS31" s="917"/>
      <c r="EDT31" s="917"/>
      <c r="EDU31" s="917"/>
      <c r="EDV31" s="917"/>
      <c r="EDW31" s="917"/>
      <c r="EDX31" s="918"/>
      <c r="EDY31" s="914"/>
      <c r="EDZ31" s="912"/>
      <c r="EEA31" s="916"/>
      <c r="EEB31" s="917"/>
      <c r="EEC31" s="917"/>
      <c r="EED31" s="917"/>
      <c r="EEE31" s="917"/>
      <c r="EEF31" s="917"/>
      <c r="EEG31" s="917"/>
      <c r="EEH31" s="917"/>
      <c r="EEI31" s="918"/>
      <c r="EEJ31" s="914"/>
      <c r="EEK31" s="912"/>
      <c r="EEL31" s="916"/>
      <c r="EEM31" s="917"/>
      <c r="EEN31" s="917"/>
      <c r="EEO31" s="917"/>
      <c r="EEP31" s="917"/>
      <c r="EEQ31" s="917"/>
      <c r="EER31" s="917"/>
      <c r="EES31" s="917"/>
      <c r="EET31" s="918"/>
      <c r="EEU31" s="914"/>
      <c r="EEV31" s="912"/>
      <c r="EEW31" s="916"/>
      <c r="EEX31" s="917"/>
      <c r="EEY31" s="917"/>
      <c r="EEZ31" s="917"/>
      <c r="EFA31" s="917"/>
      <c r="EFB31" s="917"/>
      <c r="EFC31" s="917"/>
      <c r="EFD31" s="917"/>
      <c r="EFE31" s="918"/>
      <c r="EFF31" s="914"/>
      <c r="EFG31" s="912"/>
      <c r="EFH31" s="916"/>
      <c r="EFI31" s="917"/>
      <c r="EFJ31" s="917"/>
      <c r="EFK31" s="917"/>
      <c r="EFL31" s="917"/>
      <c r="EFM31" s="917"/>
      <c r="EFN31" s="917"/>
      <c r="EFO31" s="917"/>
      <c r="EFP31" s="918"/>
      <c r="EFQ31" s="914"/>
      <c r="EFR31" s="912"/>
      <c r="EFS31" s="916"/>
      <c r="EFT31" s="917"/>
      <c r="EFU31" s="917"/>
      <c r="EFV31" s="917"/>
      <c r="EFW31" s="917"/>
      <c r="EFX31" s="917"/>
      <c r="EFY31" s="917"/>
      <c r="EFZ31" s="917"/>
      <c r="EGA31" s="918"/>
      <c r="EGB31" s="914"/>
      <c r="EGC31" s="912"/>
      <c r="EGD31" s="916"/>
      <c r="EGE31" s="917"/>
      <c r="EGF31" s="917"/>
      <c r="EGG31" s="917"/>
      <c r="EGH31" s="917"/>
      <c r="EGI31" s="917"/>
      <c r="EGJ31" s="917"/>
      <c r="EGK31" s="917"/>
      <c r="EGL31" s="918"/>
      <c r="EGM31" s="914"/>
      <c r="EGN31" s="912"/>
      <c r="EGO31" s="916"/>
      <c r="EGP31" s="917"/>
      <c r="EGQ31" s="917"/>
      <c r="EGR31" s="917"/>
      <c r="EGS31" s="917"/>
      <c r="EGT31" s="917"/>
      <c r="EGU31" s="917"/>
      <c r="EGV31" s="917"/>
      <c r="EGW31" s="918"/>
      <c r="EGX31" s="914"/>
      <c r="EGY31" s="912"/>
      <c r="EGZ31" s="916"/>
      <c r="EHA31" s="917"/>
      <c r="EHB31" s="917"/>
      <c r="EHC31" s="917"/>
      <c r="EHD31" s="917"/>
      <c r="EHE31" s="917"/>
      <c r="EHF31" s="917"/>
      <c r="EHG31" s="917"/>
      <c r="EHH31" s="918"/>
      <c r="EHI31" s="914"/>
      <c r="EHJ31" s="912"/>
      <c r="EHK31" s="916"/>
      <c r="EHL31" s="917"/>
      <c r="EHM31" s="917"/>
      <c r="EHN31" s="917"/>
      <c r="EHO31" s="917"/>
      <c r="EHP31" s="917"/>
      <c r="EHQ31" s="917"/>
      <c r="EHR31" s="917"/>
      <c r="EHS31" s="918"/>
      <c r="EHT31" s="914"/>
      <c r="EHU31" s="912"/>
      <c r="EHV31" s="916"/>
      <c r="EHW31" s="917"/>
      <c r="EHX31" s="917"/>
      <c r="EHY31" s="917"/>
      <c r="EHZ31" s="917"/>
      <c r="EIA31" s="917"/>
      <c r="EIB31" s="917"/>
      <c r="EIC31" s="917"/>
      <c r="EID31" s="918"/>
      <c r="EIE31" s="914"/>
      <c r="EIF31" s="912"/>
      <c r="EIG31" s="916"/>
      <c r="EIH31" s="917"/>
      <c r="EII31" s="917"/>
      <c r="EIJ31" s="917"/>
      <c r="EIK31" s="917"/>
      <c r="EIL31" s="917"/>
      <c r="EIM31" s="917"/>
      <c r="EIN31" s="917"/>
      <c r="EIO31" s="918"/>
      <c r="EIP31" s="914"/>
      <c r="EIQ31" s="912"/>
      <c r="EIR31" s="916"/>
      <c r="EIS31" s="917"/>
      <c r="EIT31" s="917"/>
      <c r="EIU31" s="917"/>
      <c r="EIV31" s="917"/>
      <c r="EIW31" s="917"/>
      <c r="EIX31" s="917"/>
      <c r="EIY31" s="917"/>
      <c r="EIZ31" s="918"/>
      <c r="EJA31" s="914"/>
      <c r="EJB31" s="912"/>
      <c r="EJC31" s="916"/>
      <c r="EJD31" s="917"/>
      <c r="EJE31" s="917"/>
      <c r="EJF31" s="917"/>
      <c r="EJG31" s="917"/>
      <c r="EJH31" s="917"/>
      <c r="EJI31" s="917"/>
      <c r="EJJ31" s="917"/>
      <c r="EJK31" s="918"/>
      <c r="EJL31" s="914"/>
      <c r="EJM31" s="912"/>
      <c r="EJN31" s="916"/>
      <c r="EJO31" s="917"/>
      <c r="EJP31" s="917"/>
      <c r="EJQ31" s="917"/>
      <c r="EJR31" s="917"/>
      <c r="EJS31" s="917"/>
      <c r="EJT31" s="917"/>
      <c r="EJU31" s="917"/>
      <c r="EJV31" s="918"/>
      <c r="EJW31" s="914"/>
      <c r="EJX31" s="912"/>
      <c r="EJY31" s="916"/>
      <c r="EJZ31" s="917"/>
      <c r="EKA31" s="917"/>
      <c r="EKB31" s="917"/>
      <c r="EKC31" s="917"/>
      <c r="EKD31" s="917"/>
      <c r="EKE31" s="917"/>
      <c r="EKF31" s="917"/>
      <c r="EKG31" s="918"/>
      <c r="EKH31" s="914"/>
      <c r="EKI31" s="912"/>
      <c r="EKJ31" s="916"/>
      <c r="EKK31" s="917"/>
      <c r="EKL31" s="917"/>
      <c r="EKM31" s="917"/>
      <c r="EKN31" s="917"/>
      <c r="EKO31" s="917"/>
      <c r="EKP31" s="917"/>
      <c r="EKQ31" s="917"/>
      <c r="EKR31" s="918"/>
      <c r="EKS31" s="914"/>
      <c r="EKT31" s="912"/>
      <c r="EKU31" s="916"/>
      <c r="EKV31" s="917"/>
      <c r="EKW31" s="917"/>
      <c r="EKX31" s="917"/>
      <c r="EKY31" s="917"/>
      <c r="EKZ31" s="917"/>
      <c r="ELA31" s="917"/>
      <c r="ELB31" s="917"/>
      <c r="ELC31" s="918"/>
      <c r="ELD31" s="914"/>
      <c r="ELE31" s="912"/>
      <c r="ELF31" s="916"/>
      <c r="ELG31" s="917"/>
      <c r="ELH31" s="917"/>
      <c r="ELI31" s="917"/>
      <c r="ELJ31" s="917"/>
      <c r="ELK31" s="917"/>
      <c r="ELL31" s="917"/>
      <c r="ELM31" s="917"/>
      <c r="ELN31" s="918"/>
      <c r="ELO31" s="914"/>
      <c r="ELP31" s="912"/>
      <c r="ELQ31" s="916"/>
      <c r="ELR31" s="917"/>
      <c r="ELS31" s="917"/>
      <c r="ELT31" s="917"/>
      <c r="ELU31" s="917"/>
      <c r="ELV31" s="917"/>
      <c r="ELW31" s="917"/>
      <c r="ELX31" s="917"/>
      <c r="ELY31" s="918"/>
      <c r="ELZ31" s="914"/>
      <c r="EMA31" s="912"/>
      <c r="EMB31" s="916"/>
      <c r="EMC31" s="917"/>
      <c r="EMD31" s="917"/>
      <c r="EME31" s="917"/>
      <c r="EMF31" s="917"/>
      <c r="EMG31" s="917"/>
      <c r="EMH31" s="917"/>
      <c r="EMI31" s="917"/>
      <c r="EMJ31" s="918"/>
      <c r="EMK31" s="914"/>
      <c r="EML31" s="912"/>
      <c r="EMM31" s="916"/>
      <c r="EMN31" s="917"/>
      <c r="EMO31" s="917"/>
      <c r="EMP31" s="917"/>
      <c r="EMQ31" s="917"/>
      <c r="EMR31" s="917"/>
      <c r="EMS31" s="917"/>
      <c r="EMT31" s="917"/>
      <c r="EMU31" s="918"/>
      <c r="EMV31" s="914"/>
      <c r="EMW31" s="912"/>
      <c r="EMX31" s="916"/>
      <c r="EMY31" s="917"/>
      <c r="EMZ31" s="917"/>
      <c r="ENA31" s="917"/>
      <c r="ENB31" s="917"/>
      <c r="ENC31" s="917"/>
      <c r="END31" s="917"/>
      <c r="ENE31" s="917"/>
      <c r="ENF31" s="918"/>
      <c r="ENG31" s="914"/>
      <c r="ENH31" s="912"/>
      <c r="ENI31" s="916"/>
      <c r="ENJ31" s="917"/>
      <c r="ENK31" s="917"/>
      <c r="ENL31" s="917"/>
      <c r="ENM31" s="917"/>
      <c r="ENN31" s="917"/>
      <c r="ENO31" s="917"/>
      <c r="ENP31" s="917"/>
      <c r="ENQ31" s="918"/>
      <c r="ENR31" s="914"/>
      <c r="ENS31" s="912"/>
      <c r="ENT31" s="916"/>
      <c r="ENU31" s="917"/>
      <c r="ENV31" s="917"/>
      <c r="ENW31" s="917"/>
      <c r="ENX31" s="917"/>
      <c r="ENY31" s="917"/>
      <c r="ENZ31" s="917"/>
      <c r="EOA31" s="917"/>
      <c r="EOB31" s="918"/>
      <c r="EOC31" s="914"/>
      <c r="EOD31" s="912"/>
      <c r="EOE31" s="916"/>
      <c r="EOF31" s="917"/>
      <c r="EOG31" s="917"/>
      <c r="EOH31" s="917"/>
      <c r="EOI31" s="917"/>
      <c r="EOJ31" s="917"/>
      <c r="EOK31" s="917"/>
      <c r="EOL31" s="917"/>
      <c r="EOM31" s="918"/>
      <c r="EON31" s="914"/>
      <c r="EOO31" s="912"/>
      <c r="EOP31" s="916"/>
      <c r="EOQ31" s="917"/>
      <c r="EOR31" s="917"/>
      <c r="EOS31" s="917"/>
      <c r="EOT31" s="917"/>
      <c r="EOU31" s="917"/>
      <c r="EOV31" s="917"/>
      <c r="EOW31" s="917"/>
      <c r="EOX31" s="918"/>
      <c r="EOY31" s="914"/>
      <c r="EOZ31" s="912"/>
      <c r="EPA31" s="916"/>
      <c r="EPB31" s="917"/>
      <c r="EPC31" s="917"/>
      <c r="EPD31" s="917"/>
      <c r="EPE31" s="917"/>
      <c r="EPF31" s="917"/>
      <c r="EPG31" s="917"/>
      <c r="EPH31" s="917"/>
      <c r="EPI31" s="918"/>
      <c r="EPJ31" s="914"/>
      <c r="EPK31" s="912"/>
      <c r="EPL31" s="916"/>
      <c r="EPM31" s="917"/>
      <c r="EPN31" s="917"/>
      <c r="EPO31" s="917"/>
      <c r="EPP31" s="917"/>
      <c r="EPQ31" s="917"/>
      <c r="EPR31" s="917"/>
      <c r="EPS31" s="917"/>
      <c r="EPT31" s="918"/>
      <c r="EPU31" s="914"/>
      <c r="EPV31" s="912"/>
      <c r="EPW31" s="916"/>
      <c r="EPX31" s="917"/>
      <c r="EPY31" s="917"/>
      <c r="EPZ31" s="917"/>
      <c r="EQA31" s="917"/>
      <c r="EQB31" s="917"/>
      <c r="EQC31" s="917"/>
      <c r="EQD31" s="917"/>
      <c r="EQE31" s="918"/>
      <c r="EQF31" s="914"/>
      <c r="EQG31" s="912"/>
      <c r="EQH31" s="916"/>
      <c r="EQI31" s="917"/>
      <c r="EQJ31" s="917"/>
      <c r="EQK31" s="917"/>
      <c r="EQL31" s="917"/>
      <c r="EQM31" s="917"/>
      <c r="EQN31" s="917"/>
      <c r="EQO31" s="917"/>
      <c r="EQP31" s="918"/>
      <c r="EQQ31" s="914"/>
      <c r="EQR31" s="912"/>
      <c r="EQS31" s="916"/>
      <c r="EQT31" s="917"/>
      <c r="EQU31" s="917"/>
      <c r="EQV31" s="917"/>
      <c r="EQW31" s="917"/>
      <c r="EQX31" s="917"/>
      <c r="EQY31" s="917"/>
      <c r="EQZ31" s="917"/>
      <c r="ERA31" s="918"/>
      <c r="ERB31" s="914"/>
      <c r="ERC31" s="912"/>
      <c r="ERD31" s="916"/>
      <c r="ERE31" s="917"/>
      <c r="ERF31" s="917"/>
      <c r="ERG31" s="917"/>
      <c r="ERH31" s="917"/>
      <c r="ERI31" s="917"/>
      <c r="ERJ31" s="917"/>
      <c r="ERK31" s="917"/>
      <c r="ERL31" s="918"/>
      <c r="ERM31" s="914"/>
      <c r="ERN31" s="912"/>
      <c r="ERO31" s="916"/>
      <c r="ERP31" s="917"/>
      <c r="ERQ31" s="917"/>
      <c r="ERR31" s="917"/>
      <c r="ERS31" s="917"/>
      <c r="ERT31" s="917"/>
      <c r="ERU31" s="917"/>
      <c r="ERV31" s="917"/>
      <c r="ERW31" s="918"/>
      <c r="ERX31" s="914"/>
      <c r="ERY31" s="912"/>
      <c r="ERZ31" s="916"/>
      <c r="ESA31" s="917"/>
      <c r="ESB31" s="917"/>
      <c r="ESC31" s="917"/>
      <c r="ESD31" s="917"/>
      <c r="ESE31" s="917"/>
      <c r="ESF31" s="917"/>
      <c r="ESG31" s="917"/>
      <c r="ESH31" s="918"/>
      <c r="ESI31" s="914"/>
      <c r="ESJ31" s="912"/>
      <c r="ESK31" s="916"/>
      <c r="ESL31" s="917"/>
      <c r="ESM31" s="917"/>
      <c r="ESN31" s="917"/>
      <c r="ESO31" s="917"/>
      <c r="ESP31" s="917"/>
      <c r="ESQ31" s="917"/>
      <c r="ESR31" s="917"/>
      <c r="ESS31" s="918"/>
      <c r="EST31" s="914"/>
      <c r="ESU31" s="912"/>
      <c r="ESV31" s="916"/>
      <c r="ESW31" s="917"/>
      <c r="ESX31" s="917"/>
      <c r="ESY31" s="917"/>
      <c r="ESZ31" s="917"/>
      <c r="ETA31" s="917"/>
      <c r="ETB31" s="917"/>
      <c r="ETC31" s="917"/>
      <c r="ETD31" s="918"/>
      <c r="ETE31" s="914"/>
      <c r="ETF31" s="912"/>
      <c r="ETG31" s="916"/>
      <c r="ETH31" s="917"/>
      <c r="ETI31" s="917"/>
      <c r="ETJ31" s="917"/>
      <c r="ETK31" s="917"/>
      <c r="ETL31" s="917"/>
      <c r="ETM31" s="917"/>
      <c r="ETN31" s="917"/>
      <c r="ETO31" s="918"/>
      <c r="ETP31" s="914"/>
      <c r="ETQ31" s="912"/>
      <c r="ETR31" s="916"/>
      <c r="ETS31" s="917"/>
      <c r="ETT31" s="917"/>
      <c r="ETU31" s="917"/>
      <c r="ETV31" s="917"/>
      <c r="ETW31" s="917"/>
      <c r="ETX31" s="917"/>
      <c r="ETY31" s="917"/>
      <c r="ETZ31" s="918"/>
      <c r="EUA31" s="914"/>
      <c r="EUB31" s="912"/>
      <c r="EUC31" s="916"/>
      <c r="EUD31" s="917"/>
      <c r="EUE31" s="917"/>
      <c r="EUF31" s="917"/>
      <c r="EUG31" s="917"/>
      <c r="EUH31" s="917"/>
      <c r="EUI31" s="917"/>
      <c r="EUJ31" s="917"/>
      <c r="EUK31" s="918"/>
      <c r="EUL31" s="914"/>
      <c r="EUM31" s="912"/>
      <c r="EUN31" s="916"/>
      <c r="EUO31" s="917"/>
      <c r="EUP31" s="917"/>
      <c r="EUQ31" s="917"/>
      <c r="EUR31" s="917"/>
      <c r="EUS31" s="917"/>
      <c r="EUT31" s="917"/>
      <c r="EUU31" s="917"/>
      <c r="EUV31" s="918"/>
      <c r="EUW31" s="914"/>
      <c r="EUX31" s="912"/>
      <c r="EUY31" s="916"/>
      <c r="EUZ31" s="917"/>
      <c r="EVA31" s="917"/>
      <c r="EVB31" s="917"/>
      <c r="EVC31" s="917"/>
      <c r="EVD31" s="917"/>
      <c r="EVE31" s="917"/>
      <c r="EVF31" s="917"/>
      <c r="EVG31" s="918"/>
      <c r="EVH31" s="914"/>
      <c r="EVI31" s="912"/>
      <c r="EVJ31" s="916"/>
      <c r="EVK31" s="917"/>
      <c r="EVL31" s="917"/>
      <c r="EVM31" s="917"/>
      <c r="EVN31" s="917"/>
      <c r="EVO31" s="917"/>
      <c r="EVP31" s="917"/>
      <c r="EVQ31" s="917"/>
      <c r="EVR31" s="918"/>
      <c r="EVS31" s="914"/>
      <c r="EVT31" s="912"/>
      <c r="EVU31" s="916"/>
      <c r="EVV31" s="917"/>
      <c r="EVW31" s="917"/>
      <c r="EVX31" s="917"/>
      <c r="EVY31" s="917"/>
      <c r="EVZ31" s="917"/>
      <c r="EWA31" s="917"/>
      <c r="EWB31" s="917"/>
      <c r="EWC31" s="918"/>
      <c r="EWD31" s="914"/>
      <c r="EWE31" s="912"/>
      <c r="EWF31" s="916"/>
      <c r="EWG31" s="917"/>
      <c r="EWH31" s="917"/>
      <c r="EWI31" s="917"/>
      <c r="EWJ31" s="917"/>
      <c r="EWK31" s="917"/>
      <c r="EWL31" s="917"/>
      <c r="EWM31" s="917"/>
      <c r="EWN31" s="918"/>
      <c r="EWO31" s="914"/>
      <c r="EWP31" s="912"/>
      <c r="EWQ31" s="916"/>
      <c r="EWR31" s="917"/>
      <c r="EWS31" s="917"/>
      <c r="EWT31" s="917"/>
      <c r="EWU31" s="917"/>
      <c r="EWV31" s="917"/>
      <c r="EWW31" s="917"/>
      <c r="EWX31" s="917"/>
      <c r="EWY31" s="918"/>
      <c r="EWZ31" s="914"/>
      <c r="EXA31" s="912"/>
      <c r="EXB31" s="916"/>
      <c r="EXC31" s="917"/>
      <c r="EXD31" s="917"/>
      <c r="EXE31" s="917"/>
      <c r="EXF31" s="917"/>
      <c r="EXG31" s="917"/>
      <c r="EXH31" s="917"/>
      <c r="EXI31" s="917"/>
      <c r="EXJ31" s="918"/>
      <c r="EXK31" s="914"/>
      <c r="EXL31" s="912"/>
      <c r="EXM31" s="916"/>
      <c r="EXN31" s="917"/>
      <c r="EXO31" s="917"/>
      <c r="EXP31" s="917"/>
      <c r="EXQ31" s="917"/>
      <c r="EXR31" s="917"/>
      <c r="EXS31" s="917"/>
      <c r="EXT31" s="917"/>
      <c r="EXU31" s="918"/>
      <c r="EXV31" s="914"/>
      <c r="EXW31" s="912"/>
      <c r="EXX31" s="916"/>
      <c r="EXY31" s="917"/>
      <c r="EXZ31" s="917"/>
      <c r="EYA31" s="917"/>
      <c r="EYB31" s="917"/>
      <c r="EYC31" s="917"/>
      <c r="EYD31" s="917"/>
      <c r="EYE31" s="917"/>
      <c r="EYF31" s="918"/>
      <c r="EYG31" s="914"/>
      <c r="EYH31" s="912"/>
      <c r="EYI31" s="916"/>
      <c r="EYJ31" s="917"/>
      <c r="EYK31" s="917"/>
      <c r="EYL31" s="917"/>
      <c r="EYM31" s="917"/>
      <c r="EYN31" s="917"/>
      <c r="EYO31" s="917"/>
      <c r="EYP31" s="917"/>
      <c r="EYQ31" s="918"/>
      <c r="EYR31" s="914"/>
      <c r="EYS31" s="912"/>
      <c r="EYT31" s="916"/>
      <c r="EYU31" s="917"/>
      <c r="EYV31" s="917"/>
      <c r="EYW31" s="917"/>
      <c r="EYX31" s="917"/>
      <c r="EYY31" s="917"/>
      <c r="EYZ31" s="917"/>
      <c r="EZA31" s="917"/>
      <c r="EZB31" s="918"/>
      <c r="EZC31" s="914"/>
      <c r="EZD31" s="912"/>
      <c r="EZE31" s="916"/>
      <c r="EZF31" s="917"/>
      <c r="EZG31" s="917"/>
      <c r="EZH31" s="917"/>
      <c r="EZI31" s="917"/>
      <c r="EZJ31" s="917"/>
      <c r="EZK31" s="917"/>
      <c r="EZL31" s="917"/>
      <c r="EZM31" s="918"/>
      <c r="EZN31" s="914"/>
      <c r="EZO31" s="912"/>
      <c r="EZP31" s="916"/>
      <c r="EZQ31" s="917"/>
      <c r="EZR31" s="917"/>
      <c r="EZS31" s="917"/>
      <c r="EZT31" s="917"/>
      <c r="EZU31" s="917"/>
      <c r="EZV31" s="917"/>
      <c r="EZW31" s="917"/>
      <c r="EZX31" s="918"/>
      <c r="EZY31" s="914"/>
      <c r="EZZ31" s="912"/>
      <c r="FAA31" s="916"/>
      <c r="FAB31" s="917"/>
      <c r="FAC31" s="917"/>
      <c r="FAD31" s="917"/>
      <c r="FAE31" s="917"/>
      <c r="FAF31" s="917"/>
      <c r="FAG31" s="917"/>
      <c r="FAH31" s="917"/>
      <c r="FAI31" s="918"/>
      <c r="FAJ31" s="914"/>
      <c r="FAK31" s="912"/>
      <c r="FAL31" s="916"/>
      <c r="FAM31" s="917"/>
      <c r="FAN31" s="917"/>
      <c r="FAO31" s="917"/>
      <c r="FAP31" s="917"/>
      <c r="FAQ31" s="917"/>
      <c r="FAR31" s="917"/>
      <c r="FAS31" s="917"/>
      <c r="FAT31" s="918"/>
      <c r="FAU31" s="914"/>
      <c r="FAV31" s="912"/>
      <c r="FAW31" s="916"/>
      <c r="FAX31" s="917"/>
      <c r="FAY31" s="917"/>
      <c r="FAZ31" s="917"/>
      <c r="FBA31" s="917"/>
      <c r="FBB31" s="917"/>
      <c r="FBC31" s="917"/>
      <c r="FBD31" s="917"/>
      <c r="FBE31" s="918"/>
      <c r="FBF31" s="914"/>
      <c r="FBG31" s="912"/>
      <c r="FBH31" s="916"/>
      <c r="FBI31" s="917"/>
      <c r="FBJ31" s="917"/>
      <c r="FBK31" s="917"/>
      <c r="FBL31" s="917"/>
      <c r="FBM31" s="917"/>
      <c r="FBN31" s="917"/>
      <c r="FBO31" s="917"/>
      <c r="FBP31" s="918"/>
      <c r="FBQ31" s="914"/>
      <c r="FBR31" s="912"/>
      <c r="FBS31" s="916"/>
      <c r="FBT31" s="917"/>
      <c r="FBU31" s="917"/>
      <c r="FBV31" s="917"/>
      <c r="FBW31" s="917"/>
      <c r="FBX31" s="917"/>
      <c r="FBY31" s="917"/>
      <c r="FBZ31" s="917"/>
      <c r="FCA31" s="918"/>
      <c r="FCB31" s="914"/>
      <c r="FCC31" s="912"/>
      <c r="FCD31" s="916"/>
      <c r="FCE31" s="917"/>
      <c r="FCF31" s="917"/>
      <c r="FCG31" s="917"/>
      <c r="FCH31" s="917"/>
      <c r="FCI31" s="917"/>
      <c r="FCJ31" s="917"/>
      <c r="FCK31" s="917"/>
      <c r="FCL31" s="918"/>
      <c r="FCM31" s="914"/>
      <c r="FCN31" s="912"/>
      <c r="FCO31" s="916"/>
      <c r="FCP31" s="917"/>
      <c r="FCQ31" s="917"/>
      <c r="FCR31" s="917"/>
      <c r="FCS31" s="917"/>
      <c r="FCT31" s="917"/>
      <c r="FCU31" s="917"/>
      <c r="FCV31" s="917"/>
      <c r="FCW31" s="918"/>
      <c r="FCX31" s="914"/>
      <c r="FCY31" s="912"/>
      <c r="FCZ31" s="916"/>
      <c r="FDA31" s="917"/>
      <c r="FDB31" s="917"/>
      <c r="FDC31" s="917"/>
      <c r="FDD31" s="917"/>
      <c r="FDE31" s="917"/>
      <c r="FDF31" s="917"/>
      <c r="FDG31" s="917"/>
      <c r="FDH31" s="918"/>
      <c r="FDI31" s="914"/>
      <c r="FDJ31" s="912"/>
      <c r="FDK31" s="916"/>
      <c r="FDL31" s="917"/>
      <c r="FDM31" s="917"/>
      <c r="FDN31" s="917"/>
      <c r="FDO31" s="917"/>
      <c r="FDP31" s="917"/>
      <c r="FDQ31" s="917"/>
      <c r="FDR31" s="917"/>
      <c r="FDS31" s="918"/>
      <c r="FDT31" s="914"/>
      <c r="FDU31" s="912"/>
      <c r="FDV31" s="916"/>
      <c r="FDW31" s="917"/>
      <c r="FDX31" s="917"/>
      <c r="FDY31" s="917"/>
      <c r="FDZ31" s="917"/>
      <c r="FEA31" s="917"/>
      <c r="FEB31" s="917"/>
      <c r="FEC31" s="917"/>
      <c r="FED31" s="918"/>
      <c r="FEE31" s="914"/>
      <c r="FEF31" s="912"/>
      <c r="FEG31" s="916"/>
      <c r="FEH31" s="917"/>
      <c r="FEI31" s="917"/>
      <c r="FEJ31" s="917"/>
      <c r="FEK31" s="917"/>
      <c r="FEL31" s="917"/>
      <c r="FEM31" s="917"/>
      <c r="FEN31" s="917"/>
      <c r="FEO31" s="918"/>
      <c r="FEP31" s="914"/>
      <c r="FEQ31" s="912"/>
      <c r="FER31" s="916"/>
      <c r="FES31" s="917"/>
      <c r="FET31" s="917"/>
      <c r="FEU31" s="917"/>
      <c r="FEV31" s="917"/>
      <c r="FEW31" s="917"/>
      <c r="FEX31" s="917"/>
      <c r="FEY31" s="917"/>
      <c r="FEZ31" s="918"/>
      <c r="FFA31" s="914"/>
      <c r="FFB31" s="912"/>
      <c r="FFC31" s="916"/>
      <c r="FFD31" s="917"/>
      <c r="FFE31" s="917"/>
      <c r="FFF31" s="917"/>
      <c r="FFG31" s="917"/>
      <c r="FFH31" s="917"/>
      <c r="FFI31" s="917"/>
      <c r="FFJ31" s="917"/>
      <c r="FFK31" s="918"/>
      <c r="FFL31" s="914"/>
      <c r="FFM31" s="912"/>
      <c r="FFN31" s="916"/>
      <c r="FFO31" s="917"/>
      <c r="FFP31" s="917"/>
      <c r="FFQ31" s="917"/>
      <c r="FFR31" s="917"/>
      <c r="FFS31" s="917"/>
      <c r="FFT31" s="917"/>
      <c r="FFU31" s="917"/>
      <c r="FFV31" s="918"/>
      <c r="FFW31" s="914"/>
      <c r="FFX31" s="912"/>
      <c r="FFY31" s="916"/>
      <c r="FFZ31" s="917"/>
      <c r="FGA31" s="917"/>
      <c r="FGB31" s="917"/>
      <c r="FGC31" s="917"/>
      <c r="FGD31" s="917"/>
      <c r="FGE31" s="917"/>
      <c r="FGF31" s="917"/>
      <c r="FGG31" s="918"/>
      <c r="FGH31" s="914"/>
      <c r="FGI31" s="912"/>
      <c r="FGJ31" s="916"/>
      <c r="FGK31" s="917"/>
      <c r="FGL31" s="917"/>
      <c r="FGM31" s="917"/>
      <c r="FGN31" s="917"/>
      <c r="FGO31" s="917"/>
      <c r="FGP31" s="917"/>
      <c r="FGQ31" s="917"/>
      <c r="FGR31" s="918"/>
      <c r="FGS31" s="914"/>
      <c r="FGT31" s="912"/>
      <c r="FGU31" s="916"/>
      <c r="FGV31" s="917"/>
      <c r="FGW31" s="917"/>
      <c r="FGX31" s="917"/>
      <c r="FGY31" s="917"/>
      <c r="FGZ31" s="917"/>
      <c r="FHA31" s="917"/>
      <c r="FHB31" s="917"/>
      <c r="FHC31" s="918"/>
      <c r="FHD31" s="914"/>
      <c r="FHE31" s="912"/>
      <c r="FHF31" s="916"/>
      <c r="FHG31" s="917"/>
      <c r="FHH31" s="917"/>
      <c r="FHI31" s="917"/>
      <c r="FHJ31" s="917"/>
      <c r="FHK31" s="917"/>
      <c r="FHL31" s="917"/>
      <c r="FHM31" s="917"/>
      <c r="FHN31" s="918"/>
      <c r="FHO31" s="914"/>
      <c r="FHP31" s="912"/>
      <c r="FHQ31" s="916"/>
      <c r="FHR31" s="917"/>
      <c r="FHS31" s="917"/>
      <c r="FHT31" s="917"/>
      <c r="FHU31" s="917"/>
      <c r="FHV31" s="917"/>
      <c r="FHW31" s="917"/>
      <c r="FHX31" s="917"/>
      <c r="FHY31" s="918"/>
      <c r="FHZ31" s="914"/>
      <c r="FIA31" s="912"/>
      <c r="FIB31" s="916"/>
      <c r="FIC31" s="917"/>
      <c r="FID31" s="917"/>
      <c r="FIE31" s="917"/>
      <c r="FIF31" s="917"/>
      <c r="FIG31" s="917"/>
      <c r="FIH31" s="917"/>
      <c r="FII31" s="917"/>
      <c r="FIJ31" s="918"/>
      <c r="FIK31" s="914"/>
      <c r="FIL31" s="912"/>
      <c r="FIM31" s="916"/>
      <c r="FIN31" s="917"/>
      <c r="FIO31" s="917"/>
      <c r="FIP31" s="917"/>
      <c r="FIQ31" s="917"/>
      <c r="FIR31" s="917"/>
      <c r="FIS31" s="917"/>
      <c r="FIT31" s="917"/>
      <c r="FIU31" s="918"/>
      <c r="FIV31" s="914"/>
      <c r="FIW31" s="912"/>
      <c r="FIX31" s="916"/>
      <c r="FIY31" s="917"/>
      <c r="FIZ31" s="917"/>
      <c r="FJA31" s="917"/>
      <c r="FJB31" s="917"/>
      <c r="FJC31" s="917"/>
      <c r="FJD31" s="917"/>
      <c r="FJE31" s="917"/>
      <c r="FJF31" s="918"/>
      <c r="FJG31" s="914"/>
      <c r="FJH31" s="912"/>
      <c r="FJI31" s="916"/>
      <c r="FJJ31" s="917"/>
      <c r="FJK31" s="917"/>
      <c r="FJL31" s="917"/>
      <c r="FJM31" s="917"/>
      <c r="FJN31" s="917"/>
      <c r="FJO31" s="917"/>
      <c r="FJP31" s="917"/>
      <c r="FJQ31" s="918"/>
      <c r="FJR31" s="914"/>
      <c r="FJS31" s="912"/>
      <c r="FJT31" s="916"/>
      <c r="FJU31" s="917"/>
      <c r="FJV31" s="917"/>
      <c r="FJW31" s="917"/>
      <c r="FJX31" s="917"/>
      <c r="FJY31" s="917"/>
      <c r="FJZ31" s="917"/>
      <c r="FKA31" s="917"/>
      <c r="FKB31" s="918"/>
      <c r="FKC31" s="914"/>
      <c r="FKD31" s="912"/>
      <c r="FKE31" s="916"/>
      <c r="FKF31" s="917"/>
      <c r="FKG31" s="917"/>
      <c r="FKH31" s="917"/>
      <c r="FKI31" s="917"/>
      <c r="FKJ31" s="917"/>
      <c r="FKK31" s="917"/>
      <c r="FKL31" s="917"/>
      <c r="FKM31" s="918"/>
      <c r="FKN31" s="914"/>
      <c r="FKO31" s="912"/>
      <c r="FKP31" s="916"/>
      <c r="FKQ31" s="917"/>
      <c r="FKR31" s="917"/>
      <c r="FKS31" s="917"/>
      <c r="FKT31" s="917"/>
      <c r="FKU31" s="917"/>
      <c r="FKV31" s="917"/>
      <c r="FKW31" s="917"/>
      <c r="FKX31" s="918"/>
      <c r="FKY31" s="914"/>
      <c r="FKZ31" s="912"/>
      <c r="FLA31" s="916"/>
      <c r="FLB31" s="917"/>
      <c r="FLC31" s="917"/>
      <c r="FLD31" s="917"/>
      <c r="FLE31" s="917"/>
      <c r="FLF31" s="917"/>
      <c r="FLG31" s="917"/>
      <c r="FLH31" s="917"/>
      <c r="FLI31" s="918"/>
      <c r="FLJ31" s="914"/>
      <c r="FLK31" s="912"/>
      <c r="FLL31" s="916"/>
      <c r="FLM31" s="917"/>
      <c r="FLN31" s="917"/>
      <c r="FLO31" s="917"/>
      <c r="FLP31" s="917"/>
      <c r="FLQ31" s="917"/>
      <c r="FLR31" s="917"/>
      <c r="FLS31" s="917"/>
      <c r="FLT31" s="918"/>
      <c r="FLU31" s="914"/>
      <c r="FLV31" s="912"/>
      <c r="FLW31" s="916"/>
      <c r="FLX31" s="917"/>
      <c r="FLY31" s="917"/>
      <c r="FLZ31" s="917"/>
      <c r="FMA31" s="917"/>
      <c r="FMB31" s="917"/>
      <c r="FMC31" s="917"/>
      <c r="FMD31" s="917"/>
      <c r="FME31" s="918"/>
      <c r="FMF31" s="914"/>
      <c r="FMG31" s="912"/>
      <c r="FMH31" s="916"/>
      <c r="FMI31" s="917"/>
      <c r="FMJ31" s="917"/>
      <c r="FMK31" s="917"/>
      <c r="FML31" s="917"/>
      <c r="FMM31" s="917"/>
      <c r="FMN31" s="917"/>
      <c r="FMO31" s="917"/>
      <c r="FMP31" s="918"/>
      <c r="FMQ31" s="914"/>
      <c r="FMR31" s="912"/>
      <c r="FMS31" s="916"/>
      <c r="FMT31" s="917"/>
      <c r="FMU31" s="917"/>
      <c r="FMV31" s="917"/>
      <c r="FMW31" s="917"/>
      <c r="FMX31" s="917"/>
      <c r="FMY31" s="917"/>
      <c r="FMZ31" s="917"/>
      <c r="FNA31" s="918"/>
      <c r="FNB31" s="914"/>
      <c r="FNC31" s="912"/>
      <c r="FND31" s="916"/>
      <c r="FNE31" s="917"/>
      <c r="FNF31" s="917"/>
      <c r="FNG31" s="917"/>
      <c r="FNH31" s="917"/>
      <c r="FNI31" s="917"/>
      <c r="FNJ31" s="917"/>
      <c r="FNK31" s="917"/>
      <c r="FNL31" s="918"/>
      <c r="FNM31" s="914"/>
      <c r="FNN31" s="912"/>
      <c r="FNO31" s="916"/>
      <c r="FNP31" s="917"/>
      <c r="FNQ31" s="917"/>
      <c r="FNR31" s="917"/>
      <c r="FNS31" s="917"/>
      <c r="FNT31" s="917"/>
      <c r="FNU31" s="917"/>
      <c r="FNV31" s="917"/>
      <c r="FNW31" s="918"/>
      <c r="FNX31" s="914"/>
      <c r="FNY31" s="912"/>
      <c r="FNZ31" s="916"/>
      <c r="FOA31" s="917"/>
      <c r="FOB31" s="917"/>
      <c r="FOC31" s="917"/>
      <c r="FOD31" s="917"/>
      <c r="FOE31" s="917"/>
      <c r="FOF31" s="917"/>
      <c r="FOG31" s="917"/>
      <c r="FOH31" s="918"/>
      <c r="FOI31" s="914"/>
      <c r="FOJ31" s="912"/>
      <c r="FOK31" s="916"/>
      <c r="FOL31" s="917"/>
      <c r="FOM31" s="917"/>
      <c r="FON31" s="917"/>
      <c r="FOO31" s="917"/>
      <c r="FOP31" s="917"/>
      <c r="FOQ31" s="917"/>
      <c r="FOR31" s="917"/>
      <c r="FOS31" s="918"/>
      <c r="FOT31" s="914"/>
      <c r="FOU31" s="912"/>
      <c r="FOV31" s="916"/>
      <c r="FOW31" s="917"/>
      <c r="FOX31" s="917"/>
      <c r="FOY31" s="917"/>
      <c r="FOZ31" s="917"/>
      <c r="FPA31" s="917"/>
      <c r="FPB31" s="917"/>
      <c r="FPC31" s="917"/>
      <c r="FPD31" s="918"/>
      <c r="FPE31" s="914"/>
      <c r="FPF31" s="912"/>
      <c r="FPG31" s="916"/>
      <c r="FPH31" s="917"/>
      <c r="FPI31" s="917"/>
      <c r="FPJ31" s="917"/>
      <c r="FPK31" s="917"/>
      <c r="FPL31" s="917"/>
      <c r="FPM31" s="917"/>
      <c r="FPN31" s="917"/>
      <c r="FPO31" s="918"/>
      <c r="FPP31" s="914"/>
      <c r="FPQ31" s="912"/>
      <c r="FPR31" s="916"/>
      <c r="FPS31" s="917"/>
      <c r="FPT31" s="917"/>
      <c r="FPU31" s="917"/>
      <c r="FPV31" s="917"/>
      <c r="FPW31" s="917"/>
      <c r="FPX31" s="917"/>
      <c r="FPY31" s="917"/>
      <c r="FPZ31" s="918"/>
      <c r="FQA31" s="914"/>
      <c r="FQB31" s="912"/>
      <c r="FQC31" s="916"/>
      <c r="FQD31" s="917"/>
      <c r="FQE31" s="917"/>
      <c r="FQF31" s="917"/>
      <c r="FQG31" s="917"/>
      <c r="FQH31" s="917"/>
      <c r="FQI31" s="917"/>
      <c r="FQJ31" s="917"/>
      <c r="FQK31" s="918"/>
      <c r="FQL31" s="914"/>
      <c r="FQM31" s="912"/>
      <c r="FQN31" s="916"/>
      <c r="FQO31" s="917"/>
      <c r="FQP31" s="917"/>
      <c r="FQQ31" s="917"/>
      <c r="FQR31" s="917"/>
      <c r="FQS31" s="917"/>
      <c r="FQT31" s="917"/>
      <c r="FQU31" s="917"/>
      <c r="FQV31" s="918"/>
      <c r="FQW31" s="914"/>
      <c r="FQX31" s="912"/>
      <c r="FQY31" s="916"/>
      <c r="FQZ31" s="917"/>
      <c r="FRA31" s="917"/>
      <c r="FRB31" s="917"/>
      <c r="FRC31" s="917"/>
      <c r="FRD31" s="917"/>
      <c r="FRE31" s="917"/>
      <c r="FRF31" s="917"/>
      <c r="FRG31" s="918"/>
      <c r="FRH31" s="914"/>
      <c r="FRI31" s="912"/>
      <c r="FRJ31" s="916"/>
      <c r="FRK31" s="917"/>
      <c r="FRL31" s="917"/>
      <c r="FRM31" s="917"/>
      <c r="FRN31" s="917"/>
      <c r="FRO31" s="917"/>
      <c r="FRP31" s="917"/>
      <c r="FRQ31" s="917"/>
      <c r="FRR31" s="918"/>
      <c r="FRS31" s="914"/>
      <c r="FRT31" s="912"/>
      <c r="FRU31" s="916"/>
      <c r="FRV31" s="917"/>
      <c r="FRW31" s="917"/>
      <c r="FRX31" s="917"/>
      <c r="FRY31" s="917"/>
      <c r="FRZ31" s="917"/>
      <c r="FSA31" s="917"/>
      <c r="FSB31" s="917"/>
      <c r="FSC31" s="918"/>
      <c r="FSD31" s="914"/>
      <c r="FSE31" s="912"/>
      <c r="FSF31" s="916"/>
      <c r="FSG31" s="917"/>
      <c r="FSH31" s="917"/>
      <c r="FSI31" s="917"/>
      <c r="FSJ31" s="917"/>
      <c r="FSK31" s="917"/>
      <c r="FSL31" s="917"/>
      <c r="FSM31" s="917"/>
      <c r="FSN31" s="918"/>
      <c r="FSO31" s="914"/>
      <c r="FSP31" s="912"/>
      <c r="FSQ31" s="916"/>
      <c r="FSR31" s="917"/>
      <c r="FSS31" s="917"/>
      <c r="FST31" s="917"/>
      <c r="FSU31" s="917"/>
      <c r="FSV31" s="917"/>
      <c r="FSW31" s="917"/>
      <c r="FSX31" s="917"/>
      <c r="FSY31" s="918"/>
      <c r="FSZ31" s="914"/>
      <c r="FTA31" s="912"/>
      <c r="FTB31" s="916"/>
      <c r="FTC31" s="917"/>
      <c r="FTD31" s="917"/>
      <c r="FTE31" s="917"/>
      <c r="FTF31" s="917"/>
      <c r="FTG31" s="917"/>
      <c r="FTH31" s="917"/>
      <c r="FTI31" s="917"/>
      <c r="FTJ31" s="918"/>
      <c r="FTK31" s="914"/>
      <c r="FTL31" s="912"/>
      <c r="FTM31" s="916"/>
      <c r="FTN31" s="917"/>
      <c r="FTO31" s="917"/>
      <c r="FTP31" s="917"/>
      <c r="FTQ31" s="917"/>
      <c r="FTR31" s="917"/>
      <c r="FTS31" s="917"/>
      <c r="FTT31" s="917"/>
      <c r="FTU31" s="918"/>
      <c r="FTV31" s="914"/>
      <c r="FTW31" s="912"/>
      <c r="FTX31" s="916"/>
      <c r="FTY31" s="917"/>
      <c r="FTZ31" s="917"/>
      <c r="FUA31" s="917"/>
      <c r="FUB31" s="917"/>
      <c r="FUC31" s="917"/>
      <c r="FUD31" s="917"/>
      <c r="FUE31" s="917"/>
      <c r="FUF31" s="918"/>
      <c r="FUG31" s="914"/>
      <c r="FUH31" s="912"/>
      <c r="FUI31" s="916"/>
      <c r="FUJ31" s="917"/>
      <c r="FUK31" s="917"/>
      <c r="FUL31" s="917"/>
      <c r="FUM31" s="917"/>
      <c r="FUN31" s="917"/>
      <c r="FUO31" s="917"/>
      <c r="FUP31" s="917"/>
      <c r="FUQ31" s="918"/>
      <c r="FUR31" s="914"/>
      <c r="FUS31" s="912"/>
      <c r="FUT31" s="916"/>
      <c r="FUU31" s="917"/>
      <c r="FUV31" s="917"/>
      <c r="FUW31" s="917"/>
      <c r="FUX31" s="917"/>
      <c r="FUY31" s="917"/>
      <c r="FUZ31" s="917"/>
      <c r="FVA31" s="917"/>
      <c r="FVB31" s="918"/>
      <c r="FVC31" s="914"/>
      <c r="FVD31" s="912"/>
      <c r="FVE31" s="916"/>
      <c r="FVF31" s="917"/>
      <c r="FVG31" s="917"/>
      <c r="FVH31" s="917"/>
      <c r="FVI31" s="917"/>
      <c r="FVJ31" s="917"/>
      <c r="FVK31" s="917"/>
      <c r="FVL31" s="917"/>
      <c r="FVM31" s="918"/>
      <c r="FVN31" s="914"/>
      <c r="FVO31" s="912"/>
      <c r="FVP31" s="916"/>
      <c r="FVQ31" s="917"/>
      <c r="FVR31" s="917"/>
      <c r="FVS31" s="917"/>
      <c r="FVT31" s="917"/>
      <c r="FVU31" s="917"/>
      <c r="FVV31" s="917"/>
      <c r="FVW31" s="917"/>
      <c r="FVX31" s="918"/>
      <c r="FVY31" s="914"/>
      <c r="FVZ31" s="912"/>
      <c r="FWA31" s="916"/>
      <c r="FWB31" s="917"/>
      <c r="FWC31" s="917"/>
      <c r="FWD31" s="917"/>
      <c r="FWE31" s="917"/>
      <c r="FWF31" s="917"/>
      <c r="FWG31" s="917"/>
      <c r="FWH31" s="917"/>
      <c r="FWI31" s="918"/>
      <c r="FWJ31" s="914"/>
      <c r="FWK31" s="912"/>
      <c r="FWL31" s="916"/>
      <c r="FWM31" s="917"/>
      <c r="FWN31" s="917"/>
      <c r="FWO31" s="917"/>
      <c r="FWP31" s="917"/>
      <c r="FWQ31" s="917"/>
      <c r="FWR31" s="917"/>
      <c r="FWS31" s="917"/>
      <c r="FWT31" s="918"/>
      <c r="FWU31" s="914"/>
      <c r="FWV31" s="912"/>
      <c r="FWW31" s="916"/>
      <c r="FWX31" s="917"/>
      <c r="FWY31" s="917"/>
      <c r="FWZ31" s="917"/>
      <c r="FXA31" s="917"/>
      <c r="FXB31" s="917"/>
      <c r="FXC31" s="917"/>
      <c r="FXD31" s="917"/>
      <c r="FXE31" s="918"/>
      <c r="FXF31" s="914"/>
      <c r="FXG31" s="912"/>
      <c r="FXH31" s="916"/>
      <c r="FXI31" s="917"/>
      <c r="FXJ31" s="917"/>
      <c r="FXK31" s="917"/>
      <c r="FXL31" s="917"/>
      <c r="FXM31" s="917"/>
      <c r="FXN31" s="917"/>
      <c r="FXO31" s="917"/>
      <c r="FXP31" s="918"/>
      <c r="FXQ31" s="914"/>
      <c r="FXR31" s="912"/>
      <c r="FXS31" s="916"/>
      <c r="FXT31" s="917"/>
      <c r="FXU31" s="917"/>
      <c r="FXV31" s="917"/>
      <c r="FXW31" s="917"/>
      <c r="FXX31" s="917"/>
      <c r="FXY31" s="917"/>
      <c r="FXZ31" s="917"/>
      <c r="FYA31" s="918"/>
      <c r="FYB31" s="914"/>
      <c r="FYC31" s="912"/>
      <c r="FYD31" s="916"/>
      <c r="FYE31" s="917"/>
      <c r="FYF31" s="917"/>
      <c r="FYG31" s="917"/>
      <c r="FYH31" s="917"/>
      <c r="FYI31" s="917"/>
      <c r="FYJ31" s="917"/>
      <c r="FYK31" s="917"/>
      <c r="FYL31" s="918"/>
      <c r="FYM31" s="914"/>
      <c r="FYN31" s="912"/>
      <c r="FYO31" s="916"/>
      <c r="FYP31" s="917"/>
      <c r="FYQ31" s="917"/>
      <c r="FYR31" s="917"/>
      <c r="FYS31" s="917"/>
      <c r="FYT31" s="917"/>
      <c r="FYU31" s="917"/>
      <c r="FYV31" s="917"/>
      <c r="FYW31" s="918"/>
      <c r="FYX31" s="914"/>
      <c r="FYY31" s="912"/>
      <c r="FYZ31" s="916"/>
      <c r="FZA31" s="917"/>
      <c r="FZB31" s="917"/>
      <c r="FZC31" s="917"/>
      <c r="FZD31" s="917"/>
      <c r="FZE31" s="917"/>
      <c r="FZF31" s="917"/>
      <c r="FZG31" s="917"/>
      <c r="FZH31" s="918"/>
      <c r="FZI31" s="914"/>
      <c r="FZJ31" s="912"/>
      <c r="FZK31" s="916"/>
      <c r="FZL31" s="917"/>
      <c r="FZM31" s="917"/>
      <c r="FZN31" s="917"/>
      <c r="FZO31" s="917"/>
      <c r="FZP31" s="917"/>
      <c r="FZQ31" s="917"/>
      <c r="FZR31" s="917"/>
      <c r="FZS31" s="918"/>
      <c r="FZT31" s="914"/>
      <c r="FZU31" s="912"/>
      <c r="FZV31" s="916"/>
      <c r="FZW31" s="917"/>
      <c r="FZX31" s="917"/>
      <c r="FZY31" s="917"/>
      <c r="FZZ31" s="917"/>
      <c r="GAA31" s="917"/>
      <c r="GAB31" s="917"/>
      <c r="GAC31" s="917"/>
      <c r="GAD31" s="918"/>
      <c r="GAE31" s="914"/>
      <c r="GAF31" s="912"/>
      <c r="GAG31" s="916"/>
      <c r="GAH31" s="917"/>
      <c r="GAI31" s="917"/>
      <c r="GAJ31" s="917"/>
      <c r="GAK31" s="917"/>
      <c r="GAL31" s="917"/>
      <c r="GAM31" s="917"/>
      <c r="GAN31" s="917"/>
      <c r="GAO31" s="918"/>
      <c r="GAP31" s="914"/>
      <c r="GAQ31" s="912"/>
      <c r="GAR31" s="916"/>
      <c r="GAS31" s="917"/>
      <c r="GAT31" s="917"/>
      <c r="GAU31" s="917"/>
      <c r="GAV31" s="917"/>
      <c r="GAW31" s="917"/>
      <c r="GAX31" s="917"/>
      <c r="GAY31" s="917"/>
      <c r="GAZ31" s="918"/>
      <c r="GBA31" s="914"/>
      <c r="GBB31" s="912"/>
      <c r="GBC31" s="916"/>
      <c r="GBD31" s="917"/>
      <c r="GBE31" s="917"/>
      <c r="GBF31" s="917"/>
      <c r="GBG31" s="917"/>
      <c r="GBH31" s="917"/>
      <c r="GBI31" s="917"/>
      <c r="GBJ31" s="917"/>
      <c r="GBK31" s="918"/>
      <c r="GBL31" s="914"/>
      <c r="GBM31" s="912"/>
      <c r="GBN31" s="916"/>
      <c r="GBO31" s="917"/>
      <c r="GBP31" s="917"/>
      <c r="GBQ31" s="917"/>
      <c r="GBR31" s="917"/>
      <c r="GBS31" s="917"/>
      <c r="GBT31" s="917"/>
      <c r="GBU31" s="917"/>
      <c r="GBV31" s="918"/>
      <c r="GBW31" s="914"/>
      <c r="GBX31" s="912"/>
      <c r="GBY31" s="916"/>
      <c r="GBZ31" s="917"/>
      <c r="GCA31" s="917"/>
      <c r="GCB31" s="917"/>
      <c r="GCC31" s="917"/>
      <c r="GCD31" s="917"/>
      <c r="GCE31" s="917"/>
      <c r="GCF31" s="917"/>
      <c r="GCG31" s="918"/>
      <c r="GCH31" s="914"/>
      <c r="GCI31" s="912"/>
      <c r="GCJ31" s="916"/>
      <c r="GCK31" s="917"/>
      <c r="GCL31" s="917"/>
      <c r="GCM31" s="917"/>
      <c r="GCN31" s="917"/>
      <c r="GCO31" s="917"/>
      <c r="GCP31" s="917"/>
      <c r="GCQ31" s="917"/>
      <c r="GCR31" s="918"/>
      <c r="GCS31" s="914"/>
      <c r="GCT31" s="912"/>
      <c r="GCU31" s="916"/>
      <c r="GCV31" s="917"/>
      <c r="GCW31" s="917"/>
      <c r="GCX31" s="917"/>
      <c r="GCY31" s="917"/>
      <c r="GCZ31" s="917"/>
      <c r="GDA31" s="917"/>
      <c r="GDB31" s="917"/>
      <c r="GDC31" s="918"/>
      <c r="GDD31" s="914"/>
      <c r="GDE31" s="912"/>
      <c r="GDF31" s="916"/>
      <c r="GDG31" s="917"/>
      <c r="GDH31" s="917"/>
      <c r="GDI31" s="917"/>
      <c r="GDJ31" s="917"/>
      <c r="GDK31" s="917"/>
      <c r="GDL31" s="917"/>
      <c r="GDM31" s="917"/>
      <c r="GDN31" s="918"/>
      <c r="GDO31" s="914"/>
      <c r="GDP31" s="912"/>
      <c r="GDQ31" s="916"/>
      <c r="GDR31" s="917"/>
      <c r="GDS31" s="917"/>
      <c r="GDT31" s="917"/>
      <c r="GDU31" s="917"/>
      <c r="GDV31" s="917"/>
      <c r="GDW31" s="917"/>
      <c r="GDX31" s="917"/>
      <c r="GDY31" s="918"/>
      <c r="GDZ31" s="914"/>
      <c r="GEA31" s="912"/>
      <c r="GEB31" s="916"/>
      <c r="GEC31" s="917"/>
      <c r="GED31" s="917"/>
      <c r="GEE31" s="917"/>
      <c r="GEF31" s="917"/>
      <c r="GEG31" s="917"/>
      <c r="GEH31" s="917"/>
      <c r="GEI31" s="917"/>
      <c r="GEJ31" s="918"/>
      <c r="GEK31" s="914"/>
      <c r="GEL31" s="912"/>
      <c r="GEM31" s="916"/>
      <c r="GEN31" s="917"/>
      <c r="GEO31" s="917"/>
      <c r="GEP31" s="917"/>
      <c r="GEQ31" s="917"/>
      <c r="GER31" s="917"/>
      <c r="GES31" s="917"/>
      <c r="GET31" s="917"/>
      <c r="GEU31" s="918"/>
      <c r="GEV31" s="914"/>
      <c r="GEW31" s="912"/>
      <c r="GEX31" s="916"/>
      <c r="GEY31" s="917"/>
      <c r="GEZ31" s="917"/>
      <c r="GFA31" s="917"/>
      <c r="GFB31" s="917"/>
      <c r="GFC31" s="917"/>
      <c r="GFD31" s="917"/>
      <c r="GFE31" s="917"/>
      <c r="GFF31" s="918"/>
      <c r="GFG31" s="914"/>
      <c r="GFH31" s="912"/>
      <c r="GFI31" s="916"/>
      <c r="GFJ31" s="917"/>
      <c r="GFK31" s="917"/>
      <c r="GFL31" s="917"/>
      <c r="GFM31" s="917"/>
      <c r="GFN31" s="917"/>
      <c r="GFO31" s="917"/>
      <c r="GFP31" s="917"/>
      <c r="GFQ31" s="918"/>
      <c r="GFR31" s="914"/>
      <c r="GFS31" s="912"/>
      <c r="GFT31" s="916"/>
      <c r="GFU31" s="917"/>
      <c r="GFV31" s="917"/>
      <c r="GFW31" s="917"/>
      <c r="GFX31" s="917"/>
      <c r="GFY31" s="917"/>
      <c r="GFZ31" s="917"/>
      <c r="GGA31" s="917"/>
      <c r="GGB31" s="918"/>
      <c r="GGC31" s="914"/>
      <c r="GGD31" s="912"/>
      <c r="GGE31" s="916"/>
      <c r="GGF31" s="917"/>
      <c r="GGG31" s="917"/>
      <c r="GGH31" s="917"/>
      <c r="GGI31" s="917"/>
      <c r="GGJ31" s="917"/>
      <c r="GGK31" s="917"/>
      <c r="GGL31" s="917"/>
      <c r="GGM31" s="918"/>
      <c r="GGN31" s="914"/>
      <c r="GGO31" s="912"/>
      <c r="GGP31" s="916"/>
      <c r="GGQ31" s="917"/>
      <c r="GGR31" s="917"/>
      <c r="GGS31" s="917"/>
      <c r="GGT31" s="917"/>
      <c r="GGU31" s="917"/>
      <c r="GGV31" s="917"/>
      <c r="GGW31" s="917"/>
      <c r="GGX31" s="918"/>
      <c r="GGY31" s="914"/>
      <c r="GGZ31" s="912"/>
      <c r="GHA31" s="916"/>
      <c r="GHB31" s="917"/>
      <c r="GHC31" s="917"/>
      <c r="GHD31" s="917"/>
      <c r="GHE31" s="917"/>
      <c r="GHF31" s="917"/>
      <c r="GHG31" s="917"/>
      <c r="GHH31" s="917"/>
      <c r="GHI31" s="918"/>
      <c r="GHJ31" s="914"/>
      <c r="GHK31" s="912"/>
      <c r="GHL31" s="916"/>
      <c r="GHM31" s="917"/>
      <c r="GHN31" s="917"/>
      <c r="GHO31" s="917"/>
      <c r="GHP31" s="917"/>
      <c r="GHQ31" s="917"/>
      <c r="GHR31" s="917"/>
      <c r="GHS31" s="917"/>
      <c r="GHT31" s="918"/>
      <c r="GHU31" s="914"/>
      <c r="GHV31" s="912"/>
      <c r="GHW31" s="916"/>
      <c r="GHX31" s="917"/>
      <c r="GHY31" s="917"/>
      <c r="GHZ31" s="917"/>
      <c r="GIA31" s="917"/>
      <c r="GIB31" s="917"/>
      <c r="GIC31" s="917"/>
      <c r="GID31" s="917"/>
      <c r="GIE31" s="918"/>
      <c r="GIF31" s="914"/>
      <c r="GIG31" s="912"/>
      <c r="GIH31" s="916"/>
      <c r="GII31" s="917"/>
      <c r="GIJ31" s="917"/>
      <c r="GIK31" s="917"/>
      <c r="GIL31" s="917"/>
      <c r="GIM31" s="917"/>
      <c r="GIN31" s="917"/>
      <c r="GIO31" s="917"/>
      <c r="GIP31" s="918"/>
      <c r="GIQ31" s="914"/>
      <c r="GIR31" s="912"/>
      <c r="GIS31" s="916"/>
      <c r="GIT31" s="917"/>
      <c r="GIU31" s="917"/>
      <c r="GIV31" s="917"/>
      <c r="GIW31" s="917"/>
      <c r="GIX31" s="917"/>
      <c r="GIY31" s="917"/>
      <c r="GIZ31" s="917"/>
      <c r="GJA31" s="918"/>
      <c r="GJB31" s="914"/>
      <c r="GJC31" s="912"/>
      <c r="GJD31" s="916"/>
      <c r="GJE31" s="917"/>
      <c r="GJF31" s="917"/>
      <c r="GJG31" s="917"/>
      <c r="GJH31" s="917"/>
      <c r="GJI31" s="917"/>
      <c r="GJJ31" s="917"/>
      <c r="GJK31" s="917"/>
      <c r="GJL31" s="918"/>
      <c r="GJM31" s="914"/>
      <c r="GJN31" s="912"/>
      <c r="GJO31" s="916"/>
      <c r="GJP31" s="917"/>
      <c r="GJQ31" s="917"/>
      <c r="GJR31" s="917"/>
      <c r="GJS31" s="917"/>
      <c r="GJT31" s="917"/>
      <c r="GJU31" s="917"/>
      <c r="GJV31" s="917"/>
      <c r="GJW31" s="918"/>
      <c r="GJX31" s="914"/>
      <c r="GJY31" s="912"/>
      <c r="GJZ31" s="916"/>
      <c r="GKA31" s="917"/>
      <c r="GKB31" s="917"/>
      <c r="GKC31" s="917"/>
      <c r="GKD31" s="917"/>
      <c r="GKE31" s="917"/>
      <c r="GKF31" s="917"/>
      <c r="GKG31" s="917"/>
      <c r="GKH31" s="918"/>
      <c r="GKI31" s="914"/>
      <c r="GKJ31" s="912"/>
      <c r="GKK31" s="916"/>
      <c r="GKL31" s="917"/>
      <c r="GKM31" s="917"/>
      <c r="GKN31" s="917"/>
      <c r="GKO31" s="917"/>
      <c r="GKP31" s="917"/>
      <c r="GKQ31" s="917"/>
      <c r="GKR31" s="917"/>
      <c r="GKS31" s="918"/>
      <c r="GKT31" s="914"/>
      <c r="GKU31" s="912"/>
      <c r="GKV31" s="916"/>
      <c r="GKW31" s="917"/>
      <c r="GKX31" s="917"/>
      <c r="GKY31" s="917"/>
      <c r="GKZ31" s="917"/>
      <c r="GLA31" s="917"/>
      <c r="GLB31" s="917"/>
      <c r="GLC31" s="917"/>
      <c r="GLD31" s="918"/>
      <c r="GLE31" s="914"/>
      <c r="GLF31" s="912"/>
      <c r="GLG31" s="916"/>
      <c r="GLH31" s="917"/>
      <c r="GLI31" s="917"/>
      <c r="GLJ31" s="917"/>
      <c r="GLK31" s="917"/>
      <c r="GLL31" s="917"/>
      <c r="GLM31" s="917"/>
      <c r="GLN31" s="917"/>
      <c r="GLO31" s="918"/>
      <c r="GLP31" s="914"/>
      <c r="GLQ31" s="912"/>
      <c r="GLR31" s="916"/>
      <c r="GLS31" s="917"/>
      <c r="GLT31" s="917"/>
      <c r="GLU31" s="917"/>
      <c r="GLV31" s="917"/>
      <c r="GLW31" s="917"/>
      <c r="GLX31" s="917"/>
      <c r="GLY31" s="917"/>
      <c r="GLZ31" s="918"/>
      <c r="GMA31" s="914"/>
      <c r="GMB31" s="912"/>
      <c r="GMC31" s="916"/>
      <c r="GMD31" s="917"/>
      <c r="GME31" s="917"/>
      <c r="GMF31" s="917"/>
      <c r="GMG31" s="917"/>
      <c r="GMH31" s="917"/>
      <c r="GMI31" s="917"/>
      <c r="GMJ31" s="917"/>
      <c r="GMK31" s="918"/>
      <c r="GML31" s="914"/>
      <c r="GMM31" s="912"/>
      <c r="GMN31" s="916"/>
      <c r="GMO31" s="917"/>
      <c r="GMP31" s="917"/>
      <c r="GMQ31" s="917"/>
      <c r="GMR31" s="917"/>
      <c r="GMS31" s="917"/>
      <c r="GMT31" s="917"/>
      <c r="GMU31" s="917"/>
      <c r="GMV31" s="918"/>
      <c r="GMW31" s="914"/>
      <c r="GMX31" s="912"/>
      <c r="GMY31" s="916"/>
      <c r="GMZ31" s="917"/>
      <c r="GNA31" s="917"/>
      <c r="GNB31" s="917"/>
      <c r="GNC31" s="917"/>
      <c r="GND31" s="917"/>
      <c r="GNE31" s="917"/>
      <c r="GNF31" s="917"/>
      <c r="GNG31" s="918"/>
      <c r="GNH31" s="914"/>
      <c r="GNI31" s="912"/>
      <c r="GNJ31" s="916"/>
      <c r="GNK31" s="917"/>
      <c r="GNL31" s="917"/>
      <c r="GNM31" s="917"/>
      <c r="GNN31" s="917"/>
      <c r="GNO31" s="917"/>
      <c r="GNP31" s="917"/>
      <c r="GNQ31" s="917"/>
      <c r="GNR31" s="918"/>
      <c r="GNS31" s="914"/>
      <c r="GNT31" s="912"/>
      <c r="GNU31" s="916"/>
      <c r="GNV31" s="917"/>
      <c r="GNW31" s="917"/>
      <c r="GNX31" s="917"/>
      <c r="GNY31" s="917"/>
      <c r="GNZ31" s="917"/>
      <c r="GOA31" s="917"/>
      <c r="GOB31" s="917"/>
      <c r="GOC31" s="918"/>
      <c r="GOD31" s="914"/>
      <c r="GOE31" s="912"/>
      <c r="GOF31" s="916"/>
      <c r="GOG31" s="917"/>
      <c r="GOH31" s="917"/>
      <c r="GOI31" s="917"/>
      <c r="GOJ31" s="917"/>
      <c r="GOK31" s="917"/>
      <c r="GOL31" s="917"/>
      <c r="GOM31" s="917"/>
      <c r="GON31" s="918"/>
      <c r="GOO31" s="914"/>
      <c r="GOP31" s="912"/>
      <c r="GOQ31" s="916"/>
      <c r="GOR31" s="917"/>
      <c r="GOS31" s="917"/>
      <c r="GOT31" s="917"/>
      <c r="GOU31" s="917"/>
      <c r="GOV31" s="917"/>
      <c r="GOW31" s="917"/>
      <c r="GOX31" s="917"/>
      <c r="GOY31" s="918"/>
      <c r="GOZ31" s="914"/>
      <c r="GPA31" s="912"/>
      <c r="GPB31" s="916"/>
      <c r="GPC31" s="917"/>
      <c r="GPD31" s="917"/>
      <c r="GPE31" s="917"/>
      <c r="GPF31" s="917"/>
      <c r="GPG31" s="917"/>
      <c r="GPH31" s="917"/>
      <c r="GPI31" s="917"/>
      <c r="GPJ31" s="918"/>
      <c r="GPK31" s="914"/>
      <c r="GPL31" s="912"/>
      <c r="GPM31" s="916"/>
      <c r="GPN31" s="917"/>
      <c r="GPO31" s="917"/>
      <c r="GPP31" s="917"/>
      <c r="GPQ31" s="917"/>
      <c r="GPR31" s="917"/>
      <c r="GPS31" s="917"/>
      <c r="GPT31" s="917"/>
      <c r="GPU31" s="918"/>
      <c r="GPV31" s="914"/>
      <c r="GPW31" s="912"/>
      <c r="GPX31" s="916"/>
      <c r="GPY31" s="917"/>
      <c r="GPZ31" s="917"/>
      <c r="GQA31" s="917"/>
      <c r="GQB31" s="917"/>
      <c r="GQC31" s="917"/>
      <c r="GQD31" s="917"/>
      <c r="GQE31" s="917"/>
      <c r="GQF31" s="918"/>
      <c r="GQG31" s="914"/>
      <c r="GQH31" s="912"/>
      <c r="GQI31" s="916"/>
      <c r="GQJ31" s="917"/>
      <c r="GQK31" s="917"/>
      <c r="GQL31" s="917"/>
      <c r="GQM31" s="917"/>
      <c r="GQN31" s="917"/>
      <c r="GQO31" s="917"/>
      <c r="GQP31" s="917"/>
      <c r="GQQ31" s="918"/>
      <c r="GQR31" s="914"/>
      <c r="GQS31" s="912"/>
      <c r="GQT31" s="916"/>
      <c r="GQU31" s="917"/>
      <c r="GQV31" s="917"/>
      <c r="GQW31" s="917"/>
      <c r="GQX31" s="917"/>
      <c r="GQY31" s="917"/>
      <c r="GQZ31" s="917"/>
      <c r="GRA31" s="917"/>
      <c r="GRB31" s="918"/>
      <c r="GRC31" s="914"/>
      <c r="GRD31" s="912"/>
      <c r="GRE31" s="916"/>
      <c r="GRF31" s="917"/>
      <c r="GRG31" s="917"/>
      <c r="GRH31" s="917"/>
      <c r="GRI31" s="917"/>
      <c r="GRJ31" s="917"/>
      <c r="GRK31" s="917"/>
      <c r="GRL31" s="917"/>
      <c r="GRM31" s="918"/>
      <c r="GRN31" s="914"/>
      <c r="GRO31" s="912"/>
      <c r="GRP31" s="916"/>
      <c r="GRQ31" s="917"/>
      <c r="GRR31" s="917"/>
      <c r="GRS31" s="917"/>
      <c r="GRT31" s="917"/>
      <c r="GRU31" s="917"/>
      <c r="GRV31" s="917"/>
      <c r="GRW31" s="917"/>
      <c r="GRX31" s="918"/>
      <c r="GRY31" s="914"/>
      <c r="GRZ31" s="912"/>
      <c r="GSA31" s="916"/>
      <c r="GSB31" s="917"/>
      <c r="GSC31" s="917"/>
      <c r="GSD31" s="917"/>
      <c r="GSE31" s="917"/>
      <c r="GSF31" s="917"/>
      <c r="GSG31" s="917"/>
      <c r="GSH31" s="917"/>
      <c r="GSI31" s="918"/>
      <c r="GSJ31" s="914"/>
      <c r="GSK31" s="912"/>
      <c r="GSL31" s="916"/>
      <c r="GSM31" s="917"/>
      <c r="GSN31" s="917"/>
      <c r="GSO31" s="917"/>
      <c r="GSP31" s="917"/>
      <c r="GSQ31" s="917"/>
      <c r="GSR31" s="917"/>
      <c r="GSS31" s="917"/>
      <c r="GST31" s="918"/>
      <c r="GSU31" s="914"/>
      <c r="GSV31" s="912"/>
      <c r="GSW31" s="916"/>
      <c r="GSX31" s="917"/>
      <c r="GSY31" s="917"/>
      <c r="GSZ31" s="917"/>
      <c r="GTA31" s="917"/>
      <c r="GTB31" s="917"/>
      <c r="GTC31" s="917"/>
      <c r="GTD31" s="917"/>
      <c r="GTE31" s="918"/>
      <c r="GTF31" s="914"/>
      <c r="GTG31" s="912"/>
      <c r="GTH31" s="916"/>
      <c r="GTI31" s="917"/>
      <c r="GTJ31" s="917"/>
      <c r="GTK31" s="917"/>
      <c r="GTL31" s="917"/>
      <c r="GTM31" s="917"/>
      <c r="GTN31" s="917"/>
      <c r="GTO31" s="917"/>
      <c r="GTP31" s="918"/>
      <c r="GTQ31" s="914"/>
      <c r="GTR31" s="912"/>
      <c r="GTS31" s="916"/>
      <c r="GTT31" s="917"/>
      <c r="GTU31" s="917"/>
      <c r="GTV31" s="917"/>
      <c r="GTW31" s="917"/>
      <c r="GTX31" s="917"/>
      <c r="GTY31" s="917"/>
      <c r="GTZ31" s="917"/>
      <c r="GUA31" s="918"/>
      <c r="GUB31" s="914"/>
      <c r="GUC31" s="912"/>
      <c r="GUD31" s="916"/>
      <c r="GUE31" s="917"/>
      <c r="GUF31" s="917"/>
      <c r="GUG31" s="917"/>
      <c r="GUH31" s="917"/>
      <c r="GUI31" s="917"/>
      <c r="GUJ31" s="917"/>
      <c r="GUK31" s="917"/>
      <c r="GUL31" s="918"/>
      <c r="GUM31" s="914"/>
      <c r="GUN31" s="912"/>
      <c r="GUO31" s="916"/>
      <c r="GUP31" s="917"/>
      <c r="GUQ31" s="917"/>
      <c r="GUR31" s="917"/>
      <c r="GUS31" s="917"/>
      <c r="GUT31" s="917"/>
      <c r="GUU31" s="917"/>
      <c r="GUV31" s="917"/>
      <c r="GUW31" s="918"/>
      <c r="GUX31" s="914"/>
      <c r="GUY31" s="912"/>
      <c r="GUZ31" s="916"/>
      <c r="GVA31" s="917"/>
      <c r="GVB31" s="917"/>
      <c r="GVC31" s="917"/>
      <c r="GVD31" s="917"/>
      <c r="GVE31" s="917"/>
      <c r="GVF31" s="917"/>
      <c r="GVG31" s="917"/>
      <c r="GVH31" s="918"/>
      <c r="GVI31" s="914"/>
      <c r="GVJ31" s="912"/>
      <c r="GVK31" s="916"/>
      <c r="GVL31" s="917"/>
      <c r="GVM31" s="917"/>
      <c r="GVN31" s="917"/>
      <c r="GVO31" s="917"/>
      <c r="GVP31" s="917"/>
      <c r="GVQ31" s="917"/>
      <c r="GVR31" s="917"/>
      <c r="GVS31" s="918"/>
      <c r="GVT31" s="914"/>
      <c r="GVU31" s="912"/>
      <c r="GVV31" s="916"/>
      <c r="GVW31" s="917"/>
      <c r="GVX31" s="917"/>
      <c r="GVY31" s="917"/>
      <c r="GVZ31" s="917"/>
      <c r="GWA31" s="917"/>
      <c r="GWB31" s="917"/>
      <c r="GWC31" s="917"/>
      <c r="GWD31" s="918"/>
      <c r="GWE31" s="914"/>
      <c r="GWF31" s="912"/>
      <c r="GWG31" s="916"/>
      <c r="GWH31" s="917"/>
      <c r="GWI31" s="917"/>
      <c r="GWJ31" s="917"/>
      <c r="GWK31" s="917"/>
      <c r="GWL31" s="917"/>
      <c r="GWM31" s="917"/>
      <c r="GWN31" s="917"/>
      <c r="GWO31" s="918"/>
      <c r="GWP31" s="914"/>
      <c r="GWQ31" s="912"/>
      <c r="GWR31" s="916"/>
      <c r="GWS31" s="917"/>
      <c r="GWT31" s="917"/>
      <c r="GWU31" s="917"/>
      <c r="GWV31" s="917"/>
      <c r="GWW31" s="917"/>
      <c r="GWX31" s="917"/>
      <c r="GWY31" s="917"/>
      <c r="GWZ31" s="918"/>
      <c r="GXA31" s="914"/>
      <c r="GXB31" s="912"/>
      <c r="GXC31" s="916"/>
      <c r="GXD31" s="917"/>
      <c r="GXE31" s="917"/>
      <c r="GXF31" s="917"/>
      <c r="GXG31" s="917"/>
      <c r="GXH31" s="917"/>
      <c r="GXI31" s="917"/>
      <c r="GXJ31" s="917"/>
      <c r="GXK31" s="918"/>
      <c r="GXL31" s="914"/>
      <c r="GXM31" s="912"/>
      <c r="GXN31" s="916"/>
      <c r="GXO31" s="917"/>
      <c r="GXP31" s="917"/>
      <c r="GXQ31" s="917"/>
      <c r="GXR31" s="917"/>
      <c r="GXS31" s="917"/>
      <c r="GXT31" s="917"/>
      <c r="GXU31" s="917"/>
      <c r="GXV31" s="918"/>
      <c r="GXW31" s="914"/>
      <c r="GXX31" s="912"/>
      <c r="GXY31" s="916"/>
      <c r="GXZ31" s="917"/>
      <c r="GYA31" s="917"/>
      <c r="GYB31" s="917"/>
      <c r="GYC31" s="917"/>
      <c r="GYD31" s="917"/>
      <c r="GYE31" s="917"/>
      <c r="GYF31" s="917"/>
      <c r="GYG31" s="918"/>
      <c r="GYH31" s="914"/>
      <c r="GYI31" s="912"/>
      <c r="GYJ31" s="916"/>
      <c r="GYK31" s="917"/>
      <c r="GYL31" s="917"/>
      <c r="GYM31" s="917"/>
      <c r="GYN31" s="917"/>
      <c r="GYO31" s="917"/>
      <c r="GYP31" s="917"/>
      <c r="GYQ31" s="917"/>
      <c r="GYR31" s="918"/>
      <c r="GYS31" s="914"/>
      <c r="GYT31" s="912"/>
      <c r="GYU31" s="916"/>
      <c r="GYV31" s="917"/>
      <c r="GYW31" s="917"/>
      <c r="GYX31" s="917"/>
      <c r="GYY31" s="917"/>
      <c r="GYZ31" s="917"/>
      <c r="GZA31" s="917"/>
      <c r="GZB31" s="917"/>
      <c r="GZC31" s="918"/>
      <c r="GZD31" s="914"/>
      <c r="GZE31" s="912"/>
      <c r="GZF31" s="916"/>
      <c r="GZG31" s="917"/>
      <c r="GZH31" s="917"/>
      <c r="GZI31" s="917"/>
      <c r="GZJ31" s="917"/>
      <c r="GZK31" s="917"/>
      <c r="GZL31" s="917"/>
      <c r="GZM31" s="917"/>
      <c r="GZN31" s="918"/>
      <c r="GZO31" s="914"/>
      <c r="GZP31" s="912"/>
      <c r="GZQ31" s="916"/>
      <c r="GZR31" s="917"/>
      <c r="GZS31" s="917"/>
      <c r="GZT31" s="917"/>
      <c r="GZU31" s="917"/>
      <c r="GZV31" s="917"/>
      <c r="GZW31" s="917"/>
      <c r="GZX31" s="917"/>
      <c r="GZY31" s="918"/>
      <c r="GZZ31" s="914"/>
      <c r="HAA31" s="912"/>
      <c r="HAB31" s="916"/>
      <c r="HAC31" s="917"/>
      <c r="HAD31" s="917"/>
      <c r="HAE31" s="917"/>
      <c r="HAF31" s="917"/>
      <c r="HAG31" s="917"/>
      <c r="HAH31" s="917"/>
      <c r="HAI31" s="917"/>
      <c r="HAJ31" s="918"/>
      <c r="HAK31" s="914"/>
      <c r="HAL31" s="912"/>
      <c r="HAM31" s="916"/>
      <c r="HAN31" s="917"/>
      <c r="HAO31" s="917"/>
      <c r="HAP31" s="917"/>
      <c r="HAQ31" s="917"/>
      <c r="HAR31" s="917"/>
      <c r="HAS31" s="917"/>
      <c r="HAT31" s="917"/>
      <c r="HAU31" s="918"/>
      <c r="HAV31" s="914"/>
      <c r="HAW31" s="912"/>
      <c r="HAX31" s="916"/>
      <c r="HAY31" s="917"/>
      <c r="HAZ31" s="917"/>
      <c r="HBA31" s="917"/>
      <c r="HBB31" s="917"/>
      <c r="HBC31" s="917"/>
      <c r="HBD31" s="917"/>
      <c r="HBE31" s="917"/>
      <c r="HBF31" s="918"/>
      <c r="HBG31" s="914"/>
      <c r="HBH31" s="912"/>
      <c r="HBI31" s="916"/>
      <c r="HBJ31" s="917"/>
      <c r="HBK31" s="917"/>
      <c r="HBL31" s="917"/>
      <c r="HBM31" s="917"/>
      <c r="HBN31" s="917"/>
      <c r="HBO31" s="917"/>
      <c r="HBP31" s="917"/>
      <c r="HBQ31" s="918"/>
      <c r="HBR31" s="914"/>
      <c r="HBS31" s="912"/>
      <c r="HBT31" s="916"/>
      <c r="HBU31" s="917"/>
      <c r="HBV31" s="917"/>
      <c r="HBW31" s="917"/>
      <c r="HBX31" s="917"/>
      <c r="HBY31" s="917"/>
      <c r="HBZ31" s="917"/>
      <c r="HCA31" s="917"/>
      <c r="HCB31" s="918"/>
      <c r="HCC31" s="914"/>
      <c r="HCD31" s="912"/>
      <c r="HCE31" s="916"/>
      <c r="HCF31" s="917"/>
      <c r="HCG31" s="917"/>
      <c r="HCH31" s="917"/>
      <c r="HCI31" s="917"/>
      <c r="HCJ31" s="917"/>
      <c r="HCK31" s="917"/>
      <c r="HCL31" s="917"/>
      <c r="HCM31" s="918"/>
      <c r="HCN31" s="914"/>
      <c r="HCO31" s="912"/>
      <c r="HCP31" s="916"/>
      <c r="HCQ31" s="917"/>
      <c r="HCR31" s="917"/>
      <c r="HCS31" s="917"/>
      <c r="HCT31" s="917"/>
      <c r="HCU31" s="917"/>
      <c r="HCV31" s="917"/>
      <c r="HCW31" s="917"/>
      <c r="HCX31" s="918"/>
      <c r="HCY31" s="914"/>
      <c r="HCZ31" s="912"/>
      <c r="HDA31" s="916"/>
      <c r="HDB31" s="917"/>
      <c r="HDC31" s="917"/>
      <c r="HDD31" s="917"/>
      <c r="HDE31" s="917"/>
      <c r="HDF31" s="917"/>
      <c r="HDG31" s="917"/>
      <c r="HDH31" s="917"/>
      <c r="HDI31" s="918"/>
      <c r="HDJ31" s="914"/>
      <c r="HDK31" s="912"/>
      <c r="HDL31" s="916"/>
      <c r="HDM31" s="917"/>
      <c r="HDN31" s="917"/>
      <c r="HDO31" s="917"/>
      <c r="HDP31" s="917"/>
      <c r="HDQ31" s="917"/>
      <c r="HDR31" s="917"/>
      <c r="HDS31" s="917"/>
      <c r="HDT31" s="918"/>
      <c r="HDU31" s="914"/>
      <c r="HDV31" s="912"/>
      <c r="HDW31" s="916"/>
      <c r="HDX31" s="917"/>
      <c r="HDY31" s="917"/>
      <c r="HDZ31" s="917"/>
      <c r="HEA31" s="917"/>
      <c r="HEB31" s="917"/>
      <c r="HEC31" s="917"/>
      <c r="HED31" s="917"/>
      <c r="HEE31" s="918"/>
      <c r="HEF31" s="914"/>
      <c r="HEG31" s="912"/>
      <c r="HEH31" s="916"/>
      <c r="HEI31" s="917"/>
      <c r="HEJ31" s="917"/>
      <c r="HEK31" s="917"/>
      <c r="HEL31" s="917"/>
      <c r="HEM31" s="917"/>
      <c r="HEN31" s="917"/>
      <c r="HEO31" s="917"/>
      <c r="HEP31" s="918"/>
      <c r="HEQ31" s="914"/>
      <c r="HER31" s="912"/>
      <c r="HES31" s="916"/>
      <c r="HET31" s="917"/>
      <c r="HEU31" s="917"/>
      <c r="HEV31" s="917"/>
      <c r="HEW31" s="917"/>
      <c r="HEX31" s="917"/>
      <c r="HEY31" s="917"/>
      <c r="HEZ31" s="917"/>
      <c r="HFA31" s="918"/>
      <c r="HFB31" s="914"/>
      <c r="HFC31" s="912"/>
      <c r="HFD31" s="916"/>
      <c r="HFE31" s="917"/>
      <c r="HFF31" s="917"/>
      <c r="HFG31" s="917"/>
      <c r="HFH31" s="917"/>
      <c r="HFI31" s="917"/>
      <c r="HFJ31" s="917"/>
      <c r="HFK31" s="917"/>
      <c r="HFL31" s="918"/>
      <c r="HFM31" s="914"/>
      <c r="HFN31" s="912"/>
      <c r="HFO31" s="916"/>
      <c r="HFP31" s="917"/>
      <c r="HFQ31" s="917"/>
      <c r="HFR31" s="917"/>
      <c r="HFS31" s="917"/>
      <c r="HFT31" s="917"/>
      <c r="HFU31" s="917"/>
      <c r="HFV31" s="917"/>
      <c r="HFW31" s="918"/>
      <c r="HFX31" s="914"/>
      <c r="HFY31" s="912"/>
      <c r="HFZ31" s="916"/>
      <c r="HGA31" s="917"/>
      <c r="HGB31" s="917"/>
      <c r="HGC31" s="917"/>
      <c r="HGD31" s="917"/>
      <c r="HGE31" s="917"/>
      <c r="HGF31" s="917"/>
      <c r="HGG31" s="917"/>
      <c r="HGH31" s="918"/>
      <c r="HGI31" s="914"/>
      <c r="HGJ31" s="912"/>
      <c r="HGK31" s="916"/>
      <c r="HGL31" s="917"/>
      <c r="HGM31" s="917"/>
      <c r="HGN31" s="917"/>
      <c r="HGO31" s="917"/>
      <c r="HGP31" s="917"/>
      <c r="HGQ31" s="917"/>
      <c r="HGR31" s="917"/>
      <c r="HGS31" s="918"/>
      <c r="HGT31" s="914"/>
      <c r="HGU31" s="912"/>
      <c r="HGV31" s="916"/>
      <c r="HGW31" s="917"/>
      <c r="HGX31" s="917"/>
      <c r="HGY31" s="917"/>
      <c r="HGZ31" s="917"/>
      <c r="HHA31" s="917"/>
      <c r="HHB31" s="917"/>
      <c r="HHC31" s="917"/>
      <c r="HHD31" s="918"/>
      <c r="HHE31" s="914"/>
      <c r="HHF31" s="912"/>
      <c r="HHG31" s="916"/>
      <c r="HHH31" s="917"/>
      <c r="HHI31" s="917"/>
      <c r="HHJ31" s="917"/>
      <c r="HHK31" s="917"/>
      <c r="HHL31" s="917"/>
      <c r="HHM31" s="917"/>
      <c r="HHN31" s="917"/>
      <c r="HHO31" s="918"/>
      <c r="HHP31" s="914"/>
      <c r="HHQ31" s="912"/>
      <c r="HHR31" s="916"/>
      <c r="HHS31" s="917"/>
      <c r="HHT31" s="917"/>
      <c r="HHU31" s="917"/>
      <c r="HHV31" s="917"/>
      <c r="HHW31" s="917"/>
      <c r="HHX31" s="917"/>
      <c r="HHY31" s="917"/>
      <c r="HHZ31" s="918"/>
      <c r="HIA31" s="914"/>
      <c r="HIB31" s="912"/>
      <c r="HIC31" s="916"/>
      <c r="HID31" s="917"/>
      <c r="HIE31" s="917"/>
      <c r="HIF31" s="917"/>
      <c r="HIG31" s="917"/>
      <c r="HIH31" s="917"/>
      <c r="HII31" s="917"/>
      <c r="HIJ31" s="917"/>
      <c r="HIK31" s="918"/>
      <c r="HIL31" s="914"/>
      <c r="HIM31" s="912"/>
      <c r="HIN31" s="916"/>
      <c r="HIO31" s="917"/>
      <c r="HIP31" s="917"/>
      <c r="HIQ31" s="917"/>
      <c r="HIR31" s="917"/>
      <c r="HIS31" s="917"/>
      <c r="HIT31" s="917"/>
      <c r="HIU31" s="917"/>
      <c r="HIV31" s="918"/>
      <c r="HIW31" s="914"/>
      <c r="HIX31" s="912"/>
      <c r="HIY31" s="916"/>
      <c r="HIZ31" s="917"/>
      <c r="HJA31" s="917"/>
      <c r="HJB31" s="917"/>
      <c r="HJC31" s="917"/>
      <c r="HJD31" s="917"/>
      <c r="HJE31" s="917"/>
      <c r="HJF31" s="917"/>
      <c r="HJG31" s="918"/>
      <c r="HJH31" s="914"/>
      <c r="HJI31" s="912"/>
      <c r="HJJ31" s="916"/>
      <c r="HJK31" s="917"/>
      <c r="HJL31" s="917"/>
      <c r="HJM31" s="917"/>
      <c r="HJN31" s="917"/>
      <c r="HJO31" s="917"/>
      <c r="HJP31" s="917"/>
      <c r="HJQ31" s="917"/>
      <c r="HJR31" s="918"/>
      <c r="HJS31" s="914"/>
      <c r="HJT31" s="912"/>
      <c r="HJU31" s="916"/>
      <c r="HJV31" s="917"/>
      <c r="HJW31" s="917"/>
      <c r="HJX31" s="917"/>
      <c r="HJY31" s="917"/>
      <c r="HJZ31" s="917"/>
      <c r="HKA31" s="917"/>
      <c r="HKB31" s="917"/>
      <c r="HKC31" s="918"/>
      <c r="HKD31" s="914"/>
      <c r="HKE31" s="912"/>
      <c r="HKF31" s="916"/>
      <c r="HKG31" s="917"/>
      <c r="HKH31" s="917"/>
      <c r="HKI31" s="917"/>
      <c r="HKJ31" s="917"/>
      <c r="HKK31" s="917"/>
      <c r="HKL31" s="917"/>
      <c r="HKM31" s="917"/>
      <c r="HKN31" s="918"/>
      <c r="HKO31" s="914"/>
      <c r="HKP31" s="912"/>
      <c r="HKQ31" s="916"/>
      <c r="HKR31" s="917"/>
      <c r="HKS31" s="917"/>
      <c r="HKT31" s="917"/>
      <c r="HKU31" s="917"/>
      <c r="HKV31" s="917"/>
      <c r="HKW31" s="917"/>
      <c r="HKX31" s="917"/>
      <c r="HKY31" s="918"/>
      <c r="HKZ31" s="914"/>
      <c r="HLA31" s="912"/>
      <c r="HLB31" s="916"/>
      <c r="HLC31" s="917"/>
      <c r="HLD31" s="917"/>
      <c r="HLE31" s="917"/>
      <c r="HLF31" s="917"/>
      <c r="HLG31" s="917"/>
      <c r="HLH31" s="917"/>
      <c r="HLI31" s="917"/>
      <c r="HLJ31" s="918"/>
      <c r="HLK31" s="914"/>
      <c r="HLL31" s="912"/>
      <c r="HLM31" s="916"/>
      <c r="HLN31" s="917"/>
      <c r="HLO31" s="917"/>
      <c r="HLP31" s="917"/>
      <c r="HLQ31" s="917"/>
      <c r="HLR31" s="917"/>
      <c r="HLS31" s="917"/>
      <c r="HLT31" s="917"/>
      <c r="HLU31" s="918"/>
      <c r="HLV31" s="914"/>
      <c r="HLW31" s="912"/>
      <c r="HLX31" s="916"/>
      <c r="HLY31" s="917"/>
      <c r="HLZ31" s="917"/>
      <c r="HMA31" s="917"/>
      <c r="HMB31" s="917"/>
      <c r="HMC31" s="917"/>
      <c r="HMD31" s="917"/>
      <c r="HME31" s="917"/>
      <c r="HMF31" s="918"/>
      <c r="HMG31" s="914"/>
      <c r="HMH31" s="912"/>
      <c r="HMI31" s="916"/>
      <c r="HMJ31" s="917"/>
      <c r="HMK31" s="917"/>
      <c r="HML31" s="917"/>
      <c r="HMM31" s="917"/>
      <c r="HMN31" s="917"/>
      <c r="HMO31" s="917"/>
      <c r="HMP31" s="917"/>
      <c r="HMQ31" s="918"/>
      <c r="HMR31" s="914"/>
      <c r="HMS31" s="912"/>
      <c r="HMT31" s="916"/>
      <c r="HMU31" s="917"/>
      <c r="HMV31" s="917"/>
      <c r="HMW31" s="917"/>
      <c r="HMX31" s="917"/>
      <c r="HMY31" s="917"/>
      <c r="HMZ31" s="917"/>
      <c r="HNA31" s="917"/>
      <c r="HNB31" s="918"/>
      <c r="HNC31" s="914"/>
      <c r="HND31" s="912"/>
      <c r="HNE31" s="916"/>
      <c r="HNF31" s="917"/>
      <c r="HNG31" s="917"/>
      <c r="HNH31" s="917"/>
      <c r="HNI31" s="917"/>
      <c r="HNJ31" s="917"/>
      <c r="HNK31" s="917"/>
      <c r="HNL31" s="917"/>
      <c r="HNM31" s="918"/>
      <c r="HNN31" s="914"/>
      <c r="HNO31" s="912"/>
      <c r="HNP31" s="916"/>
      <c r="HNQ31" s="917"/>
      <c r="HNR31" s="917"/>
      <c r="HNS31" s="917"/>
      <c r="HNT31" s="917"/>
      <c r="HNU31" s="917"/>
      <c r="HNV31" s="917"/>
      <c r="HNW31" s="917"/>
      <c r="HNX31" s="918"/>
      <c r="HNY31" s="914"/>
      <c r="HNZ31" s="912"/>
      <c r="HOA31" s="916"/>
      <c r="HOB31" s="917"/>
      <c r="HOC31" s="917"/>
      <c r="HOD31" s="917"/>
      <c r="HOE31" s="917"/>
      <c r="HOF31" s="917"/>
      <c r="HOG31" s="917"/>
      <c r="HOH31" s="917"/>
      <c r="HOI31" s="918"/>
      <c r="HOJ31" s="914"/>
      <c r="HOK31" s="912"/>
      <c r="HOL31" s="916"/>
      <c r="HOM31" s="917"/>
      <c r="HON31" s="917"/>
      <c r="HOO31" s="917"/>
      <c r="HOP31" s="917"/>
      <c r="HOQ31" s="917"/>
      <c r="HOR31" s="917"/>
      <c r="HOS31" s="917"/>
      <c r="HOT31" s="918"/>
      <c r="HOU31" s="914"/>
      <c r="HOV31" s="912"/>
      <c r="HOW31" s="916"/>
      <c r="HOX31" s="917"/>
      <c r="HOY31" s="917"/>
      <c r="HOZ31" s="917"/>
      <c r="HPA31" s="917"/>
      <c r="HPB31" s="917"/>
      <c r="HPC31" s="917"/>
      <c r="HPD31" s="917"/>
      <c r="HPE31" s="918"/>
      <c r="HPF31" s="914"/>
      <c r="HPG31" s="912"/>
      <c r="HPH31" s="916"/>
      <c r="HPI31" s="917"/>
      <c r="HPJ31" s="917"/>
      <c r="HPK31" s="917"/>
      <c r="HPL31" s="917"/>
      <c r="HPM31" s="917"/>
      <c r="HPN31" s="917"/>
      <c r="HPO31" s="917"/>
      <c r="HPP31" s="918"/>
      <c r="HPQ31" s="914"/>
      <c r="HPR31" s="912"/>
      <c r="HPS31" s="916"/>
      <c r="HPT31" s="917"/>
      <c r="HPU31" s="917"/>
      <c r="HPV31" s="917"/>
      <c r="HPW31" s="917"/>
      <c r="HPX31" s="917"/>
      <c r="HPY31" s="917"/>
      <c r="HPZ31" s="917"/>
      <c r="HQA31" s="918"/>
      <c r="HQB31" s="914"/>
      <c r="HQC31" s="912"/>
      <c r="HQD31" s="916"/>
      <c r="HQE31" s="917"/>
      <c r="HQF31" s="917"/>
      <c r="HQG31" s="917"/>
      <c r="HQH31" s="917"/>
      <c r="HQI31" s="917"/>
      <c r="HQJ31" s="917"/>
      <c r="HQK31" s="917"/>
      <c r="HQL31" s="918"/>
      <c r="HQM31" s="914"/>
      <c r="HQN31" s="912"/>
      <c r="HQO31" s="916"/>
      <c r="HQP31" s="917"/>
      <c r="HQQ31" s="917"/>
      <c r="HQR31" s="917"/>
      <c r="HQS31" s="917"/>
      <c r="HQT31" s="917"/>
      <c r="HQU31" s="917"/>
      <c r="HQV31" s="917"/>
      <c r="HQW31" s="918"/>
      <c r="HQX31" s="914"/>
      <c r="HQY31" s="912"/>
      <c r="HQZ31" s="916"/>
      <c r="HRA31" s="917"/>
      <c r="HRB31" s="917"/>
      <c r="HRC31" s="917"/>
      <c r="HRD31" s="917"/>
      <c r="HRE31" s="917"/>
      <c r="HRF31" s="917"/>
      <c r="HRG31" s="917"/>
      <c r="HRH31" s="918"/>
      <c r="HRI31" s="914"/>
      <c r="HRJ31" s="912"/>
      <c r="HRK31" s="916"/>
      <c r="HRL31" s="917"/>
      <c r="HRM31" s="917"/>
      <c r="HRN31" s="917"/>
      <c r="HRO31" s="917"/>
      <c r="HRP31" s="917"/>
      <c r="HRQ31" s="917"/>
      <c r="HRR31" s="917"/>
      <c r="HRS31" s="918"/>
      <c r="HRT31" s="914"/>
      <c r="HRU31" s="912"/>
      <c r="HRV31" s="916"/>
      <c r="HRW31" s="917"/>
      <c r="HRX31" s="917"/>
      <c r="HRY31" s="917"/>
      <c r="HRZ31" s="917"/>
      <c r="HSA31" s="917"/>
      <c r="HSB31" s="917"/>
      <c r="HSC31" s="917"/>
      <c r="HSD31" s="918"/>
      <c r="HSE31" s="914"/>
      <c r="HSF31" s="912"/>
      <c r="HSG31" s="916"/>
      <c r="HSH31" s="917"/>
      <c r="HSI31" s="917"/>
      <c r="HSJ31" s="917"/>
      <c r="HSK31" s="917"/>
      <c r="HSL31" s="917"/>
      <c r="HSM31" s="917"/>
      <c r="HSN31" s="917"/>
      <c r="HSO31" s="918"/>
      <c r="HSP31" s="914"/>
      <c r="HSQ31" s="912"/>
      <c r="HSR31" s="916"/>
      <c r="HSS31" s="917"/>
      <c r="HST31" s="917"/>
      <c r="HSU31" s="917"/>
      <c r="HSV31" s="917"/>
      <c r="HSW31" s="917"/>
      <c r="HSX31" s="917"/>
      <c r="HSY31" s="917"/>
      <c r="HSZ31" s="918"/>
      <c r="HTA31" s="914"/>
      <c r="HTB31" s="912"/>
      <c r="HTC31" s="916"/>
      <c r="HTD31" s="917"/>
      <c r="HTE31" s="917"/>
      <c r="HTF31" s="917"/>
      <c r="HTG31" s="917"/>
      <c r="HTH31" s="917"/>
      <c r="HTI31" s="917"/>
      <c r="HTJ31" s="917"/>
      <c r="HTK31" s="918"/>
      <c r="HTL31" s="914"/>
      <c r="HTM31" s="912"/>
      <c r="HTN31" s="916"/>
      <c r="HTO31" s="917"/>
      <c r="HTP31" s="917"/>
      <c r="HTQ31" s="917"/>
      <c r="HTR31" s="917"/>
      <c r="HTS31" s="917"/>
      <c r="HTT31" s="917"/>
      <c r="HTU31" s="917"/>
      <c r="HTV31" s="918"/>
      <c r="HTW31" s="914"/>
      <c r="HTX31" s="912"/>
      <c r="HTY31" s="916"/>
      <c r="HTZ31" s="917"/>
      <c r="HUA31" s="917"/>
      <c r="HUB31" s="917"/>
      <c r="HUC31" s="917"/>
      <c r="HUD31" s="917"/>
      <c r="HUE31" s="917"/>
      <c r="HUF31" s="917"/>
      <c r="HUG31" s="918"/>
      <c r="HUH31" s="914"/>
      <c r="HUI31" s="912"/>
      <c r="HUJ31" s="916"/>
      <c r="HUK31" s="917"/>
      <c r="HUL31" s="917"/>
      <c r="HUM31" s="917"/>
      <c r="HUN31" s="917"/>
      <c r="HUO31" s="917"/>
      <c r="HUP31" s="917"/>
      <c r="HUQ31" s="917"/>
      <c r="HUR31" s="918"/>
      <c r="HUS31" s="914"/>
      <c r="HUT31" s="912"/>
      <c r="HUU31" s="916"/>
      <c r="HUV31" s="917"/>
      <c r="HUW31" s="917"/>
      <c r="HUX31" s="917"/>
      <c r="HUY31" s="917"/>
      <c r="HUZ31" s="917"/>
      <c r="HVA31" s="917"/>
      <c r="HVB31" s="917"/>
      <c r="HVC31" s="918"/>
      <c r="HVD31" s="914"/>
      <c r="HVE31" s="912"/>
      <c r="HVF31" s="916"/>
      <c r="HVG31" s="917"/>
      <c r="HVH31" s="917"/>
      <c r="HVI31" s="917"/>
      <c r="HVJ31" s="917"/>
      <c r="HVK31" s="917"/>
      <c r="HVL31" s="917"/>
      <c r="HVM31" s="917"/>
      <c r="HVN31" s="918"/>
      <c r="HVO31" s="914"/>
      <c r="HVP31" s="912"/>
      <c r="HVQ31" s="916"/>
      <c r="HVR31" s="917"/>
      <c r="HVS31" s="917"/>
      <c r="HVT31" s="917"/>
      <c r="HVU31" s="917"/>
      <c r="HVV31" s="917"/>
      <c r="HVW31" s="917"/>
      <c r="HVX31" s="917"/>
      <c r="HVY31" s="918"/>
      <c r="HVZ31" s="914"/>
      <c r="HWA31" s="912"/>
      <c r="HWB31" s="916"/>
      <c r="HWC31" s="917"/>
      <c r="HWD31" s="917"/>
      <c r="HWE31" s="917"/>
      <c r="HWF31" s="917"/>
      <c r="HWG31" s="917"/>
      <c r="HWH31" s="917"/>
      <c r="HWI31" s="917"/>
      <c r="HWJ31" s="918"/>
      <c r="HWK31" s="914"/>
      <c r="HWL31" s="912"/>
      <c r="HWM31" s="916"/>
      <c r="HWN31" s="917"/>
      <c r="HWO31" s="917"/>
      <c r="HWP31" s="917"/>
      <c r="HWQ31" s="917"/>
      <c r="HWR31" s="917"/>
      <c r="HWS31" s="917"/>
      <c r="HWT31" s="917"/>
      <c r="HWU31" s="918"/>
      <c r="HWV31" s="914"/>
      <c r="HWW31" s="912"/>
      <c r="HWX31" s="916"/>
      <c r="HWY31" s="917"/>
      <c r="HWZ31" s="917"/>
      <c r="HXA31" s="917"/>
      <c r="HXB31" s="917"/>
      <c r="HXC31" s="917"/>
      <c r="HXD31" s="917"/>
      <c r="HXE31" s="917"/>
      <c r="HXF31" s="918"/>
      <c r="HXG31" s="914"/>
      <c r="HXH31" s="912"/>
      <c r="HXI31" s="916"/>
      <c r="HXJ31" s="917"/>
      <c r="HXK31" s="917"/>
      <c r="HXL31" s="917"/>
      <c r="HXM31" s="917"/>
      <c r="HXN31" s="917"/>
      <c r="HXO31" s="917"/>
      <c r="HXP31" s="917"/>
      <c r="HXQ31" s="918"/>
      <c r="HXR31" s="914"/>
      <c r="HXS31" s="912"/>
      <c r="HXT31" s="916"/>
      <c r="HXU31" s="917"/>
      <c r="HXV31" s="917"/>
      <c r="HXW31" s="917"/>
      <c r="HXX31" s="917"/>
      <c r="HXY31" s="917"/>
      <c r="HXZ31" s="917"/>
      <c r="HYA31" s="917"/>
      <c r="HYB31" s="918"/>
      <c r="HYC31" s="914"/>
      <c r="HYD31" s="912"/>
      <c r="HYE31" s="916"/>
      <c r="HYF31" s="917"/>
      <c r="HYG31" s="917"/>
      <c r="HYH31" s="917"/>
      <c r="HYI31" s="917"/>
      <c r="HYJ31" s="917"/>
      <c r="HYK31" s="917"/>
      <c r="HYL31" s="917"/>
      <c r="HYM31" s="918"/>
      <c r="HYN31" s="914"/>
      <c r="HYO31" s="912"/>
      <c r="HYP31" s="916"/>
      <c r="HYQ31" s="917"/>
      <c r="HYR31" s="917"/>
      <c r="HYS31" s="917"/>
      <c r="HYT31" s="917"/>
      <c r="HYU31" s="917"/>
      <c r="HYV31" s="917"/>
      <c r="HYW31" s="917"/>
      <c r="HYX31" s="918"/>
      <c r="HYY31" s="914"/>
      <c r="HYZ31" s="912"/>
      <c r="HZA31" s="916"/>
      <c r="HZB31" s="917"/>
      <c r="HZC31" s="917"/>
      <c r="HZD31" s="917"/>
      <c r="HZE31" s="917"/>
      <c r="HZF31" s="917"/>
      <c r="HZG31" s="917"/>
      <c r="HZH31" s="917"/>
      <c r="HZI31" s="918"/>
      <c r="HZJ31" s="914"/>
      <c r="HZK31" s="912"/>
      <c r="HZL31" s="916"/>
      <c r="HZM31" s="917"/>
      <c r="HZN31" s="917"/>
      <c r="HZO31" s="917"/>
      <c r="HZP31" s="917"/>
      <c r="HZQ31" s="917"/>
      <c r="HZR31" s="917"/>
      <c r="HZS31" s="917"/>
      <c r="HZT31" s="918"/>
      <c r="HZU31" s="914"/>
      <c r="HZV31" s="912"/>
      <c r="HZW31" s="916"/>
      <c r="HZX31" s="917"/>
      <c r="HZY31" s="917"/>
      <c r="HZZ31" s="917"/>
      <c r="IAA31" s="917"/>
      <c r="IAB31" s="917"/>
      <c r="IAC31" s="917"/>
      <c r="IAD31" s="917"/>
      <c r="IAE31" s="918"/>
      <c r="IAF31" s="914"/>
      <c r="IAG31" s="912"/>
      <c r="IAH31" s="916"/>
      <c r="IAI31" s="917"/>
      <c r="IAJ31" s="917"/>
      <c r="IAK31" s="917"/>
      <c r="IAL31" s="917"/>
      <c r="IAM31" s="917"/>
      <c r="IAN31" s="917"/>
      <c r="IAO31" s="917"/>
      <c r="IAP31" s="918"/>
      <c r="IAQ31" s="914"/>
      <c r="IAR31" s="912"/>
      <c r="IAS31" s="916"/>
      <c r="IAT31" s="917"/>
      <c r="IAU31" s="917"/>
      <c r="IAV31" s="917"/>
      <c r="IAW31" s="917"/>
      <c r="IAX31" s="917"/>
      <c r="IAY31" s="917"/>
      <c r="IAZ31" s="917"/>
      <c r="IBA31" s="918"/>
      <c r="IBB31" s="914"/>
      <c r="IBC31" s="912"/>
      <c r="IBD31" s="916"/>
      <c r="IBE31" s="917"/>
      <c r="IBF31" s="917"/>
      <c r="IBG31" s="917"/>
      <c r="IBH31" s="917"/>
      <c r="IBI31" s="917"/>
      <c r="IBJ31" s="917"/>
      <c r="IBK31" s="917"/>
      <c r="IBL31" s="918"/>
      <c r="IBM31" s="914"/>
      <c r="IBN31" s="912"/>
      <c r="IBO31" s="916"/>
      <c r="IBP31" s="917"/>
      <c r="IBQ31" s="917"/>
      <c r="IBR31" s="917"/>
      <c r="IBS31" s="917"/>
      <c r="IBT31" s="917"/>
      <c r="IBU31" s="917"/>
      <c r="IBV31" s="917"/>
      <c r="IBW31" s="918"/>
      <c r="IBX31" s="914"/>
      <c r="IBY31" s="912"/>
      <c r="IBZ31" s="916"/>
      <c r="ICA31" s="917"/>
      <c r="ICB31" s="917"/>
      <c r="ICC31" s="917"/>
      <c r="ICD31" s="917"/>
      <c r="ICE31" s="917"/>
      <c r="ICF31" s="917"/>
      <c r="ICG31" s="917"/>
      <c r="ICH31" s="918"/>
      <c r="ICI31" s="914"/>
      <c r="ICJ31" s="912"/>
      <c r="ICK31" s="916"/>
      <c r="ICL31" s="917"/>
      <c r="ICM31" s="917"/>
      <c r="ICN31" s="917"/>
      <c r="ICO31" s="917"/>
      <c r="ICP31" s="917"/>
      <c r="ICQ31" s="917"/>
      <c r="ICR31" s="917"/>
      <c r="ICS31" s="918"/>
      <c r="ICT31" s="914"/>
      <c r="ICU31" s="912"/>
      <c r="ICV31" s="916"/>
      <c r="ICW31" s="917"/>
      <c r="ICX31" s="917"/>
      <c r="ICY31" s="917"/>
      <c r="ICZ31" s="917"/>
      <c r="IDA31" s="917"/>
      <c r="IDB31" s="917"/>
      <c r="IDC31" s="917"/>
      <c r="IDD31" s="918"/>
      <c r="IDE31" s="914"/>
      <c r="IDF31" s="912"/>
      <c r="IDG31" s="916"/>
      <c r="IDH31" s="917"/>
      <c r="IDI31" s="917"/>
      <c r="IDJ31" s="917"/>
      <c r="IDK31" s="917"/>
      <c r="IDL31" s="917"/>
      <c r="IDM31" s="917"/>
      <c r="IDN31" s="917"/>
      <c r="IDO31" s="918"/>
      <c r="IDP31" s="914"/>
      <c r="IDQ31" s="912"/>
      <c r="IDR31" s="916"/>
      <c r="IDS31" s="917"/>
      <c r="IDT31" s="917"/>
      <c r="IDU31" s="917"/>
      <c r="IDV31" s="917"/>
      <c r="IDW31" s="917"/>
      <c r="IDX31" s="917"/>
      <c r="IDY31" s="917"/>
      <c r="IDZ31" s="918"/>
      <c r="IEA31" s="914"/>
      <c r="IEB31" s="912"/>
      <c r="IEC31" s="916"/>
      <c r="IED31" s="917"/>
      <c r="IEE31" s="917"/>
      <c r="IEF31" s="917"/>
      <c r="IEG31" s="917"/>
      <c r="IEH31" s="917"/>
      <c r="IEI31" s="917"/>
      <c r="IEJ31" s="917"/>
      <c r="IEK31" s="918"/>
      <c r="IEL31" s="914"/>
      <c r="IEM31" s="912"/>
      <c r="IEN31" s="916"/>
      <c r="IEO31" s="917"/>
      <c r="IEP31" s="917"/>
      <c r="IEQ31" s="917"/>
      <c r="IER31" s="917"/>
      <c r="IES31" s="917"/>
      <c r="IET31" s="917"/>
      <c r="IEU31" s="917"/>
      <c r="IEV31" s="918"/>
      <c r="IEW31" s="914"/>
      <c r="IEX31" s="912"/>
      <c r="IEY31" s="916"/>
      <c r="IEZ31" s="917"/>
      <c r="IFA31" s="917"/>
      <c r="IFB31" s="917"/>
      <c r="IFC31" s="917"/>
      <c r="IFD31" s="917"/>
      <c r="IFE31" s="917"/>
      <c r="IFF31" s="917"/>
      <c r="IFG31" s="918"/>
      <c r="IFH31" s="914"/>
      <c r="IFI31" s="912"/>
      <c r="IFJ31" s="916"/>
      <c r="IFK31" s="917"/>
      <c r="IFL31" s="917"/>
      <c r="IFM31" s="917"/>
      <c r="IFN31" s="917"/>
      <c r="IFO31" s="917"/>
      <c r="IFP31" s="917"/>
      <c r="IFQ31" s="917"/>
      <c r="IFR31" s="918"/>
      <c r="IFS31" s="914"/>
      <c r="IFT31" s="912"/>
      <c r="IFU31" s="916"/>
      <c r="IFV31" s="917"/>
      <c r="IFW31" s="917"/>
      <c r="IFX31" s="917"/>
      <c r="IFY31" s="917"/>
      <c r="IFZ31" s="917"/>
      <c r="IGA31" s="917"/>
      <c r="IGB31" s="917"/>
      <c r="IGC31" s="918"/>
      <c r="IGD31" s="914"/>
      <c r="IGE31" s="912"/>
      <c r="IGF31" s="916"/>
      <c r="IGG31" s="917"/>
      <c r="IGH31" s="917"/>
      <c r="IGI31" s="917"/>
      <c r="IGJ31" s="917"/>
      <c r="IGK31" s="917"/>
      <c r="IGL31" s="917"/>
      <c r="IGM31" s="917"/>
      <c r="IGN31" s="918"/>
      <c r="IGO31" s="914"/>
      <c r="IGP31" s="912"/>
      <c r="IGQ31" s="916"/>
      <c r="IGR31" s="917"/>
      <c r="IGS31" s="917"/>
      <c r="IGT31" s="917"/>
      <c r="IGU31" s="917"/>
      <c r="IGV31" s="917"/>
      <c r="IGW31" s="917"/>
      <c r="IGX31" s="917"/>
      <c r="IGY31" s="918"/>
      <c r="IGZ31" s="914"/>
      <c r="IHA31" s="912"/>
      <c r="IHB31" s="916"/>
      <c r="IHC31" s="917"/>
      <c r="IHD31" s="917"/>
      <c r="IHE31" s="917"/>
      <c r="IHF31" s="917"/>
      <c r="IHG31" s="917"/>
      <c r="IHH31" s="917"/>
      <c r="IHI31" s="917"/>
      <c r="IHJ31" s="918"/>
      <c r="IHK31" s="914"/>
      <c r="IHL31" s="912"/>
      <c r="IHM31" s="916"/>
      <c r="IHN31" s="917"/>
      <c r="IHO31" s="917"/>
      <c r="IHP31" s="917"/>
      <c r="IHQ31" s="917"/>
      <c r="IHR31" s="917"/>
      <c r="IHS31" s="917"/>
      <c r="IHT31" s="917"/>
      <c r="IHU31" s="918"/>
      <c r="IHV31" s="914"/>
      <c r="IHW31" s="912"/>
      <c r="IHX31" s="916"/>
      <c r="IHY31" s="917"/>
      <c r="IHZ31" s="917"/>
      <c r="IIA31" s="917"/>
      <c r="IIB31" s="917"/>
      <c r="IIC31" s="917"/>
      <c r="IID31" s="917"/>
      <c r="IIE31" s="917"/>
      <c r="IIF31" s="918"/>
      <c r="IIG31" s="914"/>
      <c r="IIH31" s="912"/>
      <c r="III31" s="916"/>
      <c r="IIJ31" s="917"/>
      <c r="IIK31" s="917"/>
      <c r="IIL31" s="917"/>
      <c r="IIM31" s="917"/>
      <c r="IIN31" s="917"/>
      <c r="IIO31" s="917"/>
      <c r="IIP31" s="917"/>
      <c r="IIQ31" s="918"/>
      <c r="IIR31" s="914"/>
      <c r="IIS31" s="912"/>
      <c r="IIT31" s="916"/>
      <c r="IIU31" s="917"/>
      <c r="IIV31" s="917"/>
      <c r="IIW31" s="917"/>
      <c r="IIX31" s="917"/>
      <c r="IIY31" s="917"/>
      <c r="IIZ31" s="917"/>
      <c r="IJA31" s="917"/>
      <c r="IJB31" s="918"/>
      <c r="IJC31" s="914"/>
      <c r="IJD31" s="912"/>
      <c r="IJE31" s="916"/>
      <c r="IJF31" s="917"/>
      <c r="IJG31" s="917"/>
      <c r="IJH31" s="917"/>
      <c r="IJI31" s="917"/>
      <c r="IJJ31" s="917"/>
      <c r="IJK31" s="917"/>
      <c r="IJL31" s="917"/>
      <c r="IJM31" s="918"/>
      <c r="IJN31" s="914"/>
      <c r="IJO31" s="912"/>
      <c r="IJP31" s="916"/>
      <c r="IJQ31" s="917"/>
      <c r="IJR31" s="917"/>
      <c r="IJS31" s="917"/>
      <c r="IJT31" s="917"/>
      <c r="IJU31" s="917"/>
      <c r="IJV31" s="917"/>
      <c r="IJW31" s="917"/>
      <c r="IJX31" s="918"/>
      <c r="IJY31" s="914"/>
      <c r="IJZ31" s="912"/>
      <c r="IKA31" s="916"/>
      <c r="IKB31" s="917"/>
      <c r="IKC31" s="917"/>
      <c r="IKD31" s="917"/>
      <c r="IKE31" s="917"/>
      <c r="IKF31" s="917"/>
      <c r="IKG31" s="917"/>
      <c r="IKH31" s="917"/>
      <c r="IKI31" s="918"/>
      <c r="IKJ31" s="914"/>
      <c r="IKK31" s="912"/>
      <c r="IKL31" s="916"/>
      <c r="IKM31" s="917"/>
      <c r="IKN31" s="917"/>
      <c r="IKO31" s="917"/>
      <c r="IKP31" s="917"/>
      <c r="IKQ31" s="917"/>
      <c r="IKR31" s="917"/>
      <c r="IKS31" s="917"/>
      <c r="IKT31" s="918"/>
      <c r="IKU31" s="914"/>
      <c r="IKV31" s="912"/>
      <c r="IKW31" s="916"/>
      <c r="IKX31" s="917"/>
      <c r="IKY31" s="917"/>
      <c r="IKZ31" s="917"/>
      <c r="ILA31" s="917"/>
      <c r="ILB31" s="917"/>
      <c r="ILC31" s="917"/>
      <c r="ILD31" s="917"/>
      <c r="ILE31" s="918"/>
      <c r="ILF31" s="914"/>
      <c r="ILG31" s="912"/>
      <c r="ILH31" s="916"/>
      <c r="ILI31" s="917"/>
      <c r="ILJ31" s="917"/>
      <c r="ILK31" s="917"/>
      <c r="ILL31" s="917"/>
      <c r="ILM31" s="917"/>
      <c r="ILN31" s="917"/>
      <c r="ILO31" s="917"/>
      <c r="ILP31" s="918"/>
      <c r="ILQ31" s="914"/>
      <c r="ILR31" s="912"/>
      <c r="ILS31" s="916"/>
      <c r="ILT31" s="917"/>
      <c r="ILU31" s="917"/>
      <c r="ILV31" s="917"/>
      <c r="ILW31" s="917"/>
      <c r="ILX31" s="917"/>
      <c r="ILY31" s="917"/>
      <c r="ILZ31" s="917"/>
      <c r="IMA31" s="918"/>
      <c r="IMB31" s="914"/>
      <c r="IMC31" s="912"/>
      <c r="IMD31" s="916"/>
      <c r="IME31" s="917"/>
      <c r="IMF31" s="917"/>
      <c r="IMG31" s="917"/>
      <c r="IMH31" s="917"/>
      <c r="IMI31" s="917"/>
      <c r="IMJ31" s="917"/>
      <c r="IMK31" s="917"/>
      <c r="IML31" s="918"/>
      <c r="IMM31" s="914"/>
      <c r="IMN31" s="912"/>
      <c r="IMO31" s="916"/>
      <c r="IMP31" s="917"/>
      <c r="IMQ31" s="917"/>
      <c r="IMR31" s="917"/>
      <c r="IMS31" s="917"/>
      <c r="IMT31" s="917"/>
      <c r="IMU31" s="917"/>
      <c r="IMV31" s="917"/>
      <c r="IMW31" s="918"/>
      <c r="IMX31" s="914"/>
      <c r="IMY31" s="912"/>
      <c r="IMZ31" s="916"/>
      <c r="INA31" s="917"/>
      <c r="INB31" s="917"/>
      <c r="INC31" s="917"/>
      <c r="IND31" s="917"/>
      <c r="INE31" s="917"/>
      <c r="INF31" s="917"/>
      <c r="ING31" s="917"/>
      <c r="INH31" s="918"/>
      <c r="INI31" s="914"/>
      <c r="INJ31" s="912"/>
      <c r="INK31" s="916"/>
      <c r="INL31" s="917"/>
      <c r="INM31" s="917"/>
      <c r="INN31" s="917"/>
      <c r="INO31" s="917"/>
      <c r="INP31" s="917"/>
      <c r="INQ31" s="917"/>
      <c r="INR31" s="917"/>
      <c r="INS31" s="918"/>
      <c r="INT31" s="914"/>
      <c r="INU31" s="912"/>
      <c r="INV31" s="916"/>
      <c r="INW31" s="917"/>
      <c r="INX31" s="917"/>
      <c r="INY31" s="917"/>
      <c r="INZ31" s="917"/>
      <c r="IOA31" s="917"/>
      <c r="IOB31" s="917"/>
      <c r="IOC31" s="917"/>
      <c r="IOD31" s="918"/>
      <c r="IOE31" s="914"/>
      <c r="IOF31" s="912"/>
      <c r="IOG31" s="916"/>
      <c r="IOH31" s="917"/>
      <c r="IOI31" s="917"/>
      <c r="IOJ31" s="917"/>
      <c r="IOK31" s="917"/>
      <c r="IOL31" s="917"/>
      <c r="IOM31" s="917"/>
      <c r="ION31" s="917"/>
      <c r="IOO31" s="918"/>
      <c r="IOP31" s="914"/>
      <c r="IOQ31" s="912"/>
      <c r="IOR31" s="916"/>
      <c r="IOS31" s="917"/>
      <c r="IOT31" s="917"/>
      <c r="IOU31" s="917"/>
      <c r="IOV31" s="917"/>
      <c r="IOW31" s="917"/>
      <c r="IOX31" s="917"/>
      <c r="IOY31" s="917"/>
      <c r="IOZ31" s="918"/>
      <c r="IPA31" s="914"/>
      <c r="IPB31" s="912"/>
      <c r="IPC31" s="916"/>
      <c r="IPD31" s="917"/>
      <c r="IPE31" s="917"/>
      <c r="IPF31" s="917"/>
      <c r="IPG31" s="917"/>
      <c r="IPH31" s="917"/>
      <c r="IPI31" s="917"/>
      <c r="IPJ31" s="917"/>
      <c r="IPK31" s="918"/>
      <c r="IPL31" s="914"/>
      <c r="IPM31" s="912"/>
      <c r="IPN31" s="916"/>
      <c r="IPO31" s="917"/>
      <c r="IPP31" s="917"/>
      <c r="IPQ31" s="917"/>
      <c r="IPR31" s="917"/>
      <c r="IPS31" s="917"/>
      <c r="IPT31" s="917"/>
      <c r="IPU31" s="917"/>
      <c r="IPV31" s="918"/>
      <c r="IPW31" s="914"/>
      <c r="IPX31" s="912"/>
      <c r="IPY31" s="916"/>
      <c r="IPZ31" s="917"/>
      <c r="IQA31" s="917"/>
      <c r="IQB31" s="917"/>
      <c r="IQC31" s="917"/>
      <c r="IQD31" s="917"/>
      <c r="IQE31" s="917"/>
      <c r="IQF31" s="917"/>
      <c r="IQG31" s="918"/>
      <c r="IQH31" s="914"/>
      <c r="IQI31" s="912"/>
      <c r="IQJ31" s="916"/>
      <c r="IQK31" s="917"/>
      <c r="IQL31" s="917"/>
      <c r="IQM31" s="917"/>
      <c r="IQN31" s="917"/>
      <c r="IQO31" s="917"/>
      <c r="IQP31" s="917"/>
      <c r="IQQ31" s="917"/>
      <c r="IQR31" s="918"/>
      <c r="IQS31" s="914"/>
      <c r="IQT31" s="912"/>
      <c r="IQU31" s="916"/>
      <c r="IQV31" s="917"/>
      <c r="IQW31" s="917"/>
      <c r="IQX31" s="917"/>
      <c r="IQY31" s="917"/>
      <c r="IQZ31" s="917"/>
      <c r="IRA31" s="917"/>
      <c r="IRB31" s="917"/>
      <c r="IRC31" s="918"/>
      <c r="IRD31" s="914"/>
      <c r="IRE31" s="912"/>
      <c r="IRF31" s="916"/>
      <c r="IRG31" s="917"/>
      <c r="IRH31" s="917"/>
      <c r="IRI31" s="917"/>
      <c r="IRJ31" s="917"/>
      <c r="IRK31" s="917"/>
      <c r="IRL31" s="917"/>
      <c r="IRM31" s="917"/>
      <c r="IRN31" s="918"/>
      <c r="IRO31" s="914"/>
      <c r="IRP31" s="912"/>
      <c r="IRQ31" s="916"/>
      <c r="IRR31" s="917"/>
      <c r="IRS31" s="917"/>
      <c r="IRT31" s="917"/>
      <c r="IRU31" s="917"/>
      <c r="IRV31" s="917"/>
      <c r="IRW31" s="917"/>
      <c r="IRX31" s="917"/>
      <c r="IRY31" s="918"/>
      <c r="IRZ31" s="914"/>
      <c r="ISA31" s="912"/>
      <c r="ISB31" s="916"/>
      <c r="ISC31" s="917"/>
      <c r="ISD31" s="917"/>
      <c r="ISE31" s="917"/>
      <c r="ISF31" s="917"/>
      <c r="ISG31" s="917"/>
      <c r="ISH31" s="917"/>
      <c r="ISI31" s="917"/>
      <c r="ISJ31" s="918"/>
      <c r="ISK31" s="914"/>
      <c r="ISL31" s="912"/>
      <c r="ISM31" s="916"/>
      <c r="ISN31" s="917"/>
      <c r="ISO31" s="917"/>
      <c r="ISP31" s="917"/>
      <c r="ISQ31" s="917"/>
      <c r="ISR31" s="917"/>
      <c r="ISS31" s="917"/>
      <c r="IST31" s="917"/>
      <c r="ISU31" s="918"/>
      <c r="ISV31" s="914"/>
      <c r="ISW31" s="912"/>
      <c r="ISX31" s="916"/>
      <c r="ISY31" s="917"/>
      <c r="ISZ31" s="917"/>
      <c r="ITA31" s="917"/>
      <c r="ITB31" s="917"/>
      <c r="ITC31" s="917"/>
      <c r="ITD31" s="917"/>
      <c r="ITE31" s="917"/>
      <c r="ITF31" s="918"/>
      <c r="ITG31" s="914"/>
      <c r="ITH31" s="912"/>
      <c r="ITI31" s="916"/>
      <c r="ITJ31" s="917"/>
      <c r="ITK31" s="917"/>
      <c r="ITL31" s="917"/>
      <c r="ITM31" s="917"/>
      <c r="ITN31" s="917"/>
      <c r="ITO31" s="917"/>
      <c r="ITP31" s="917"/>
      <c r="ITQ31" s="918"/>
      <c r="ITR31" s="914"/>
      <c r="ITS31" s="912"/>
      <c r="ITT31" s="916"/>
      <c r="ITU31" s="917"/>
      <c r="ITV31" s="917"/>
      <c r="ITW31" s="917"/>
      <c r="ITX31" s="917"/>
      <c r="ITY31" s="917"/>
      <c r="ITZ31" s="917"/>
      <c r="IUA31" s="917"/>
      <c r="IUB31" s="918"/>
      <c r="IUC31" s="914"/>
      <c r="IUD31" s="912"/>
      <c r="IUE31" s="916"/>
      <c r="IUF31" s="917"/>
      <c r="IUG31" s="917"/>
      <c r="IUH31" s="917"/>
      <c r="IUI31" s="917"/>
      <c r="IUJ31" s="917"/>
      <c r="IUK31" s="917"/>
      <c r="IUL31" s="917"/>
      <c r="IUM31" s="918"/>
      <c r="IUN31" s="914"/>
      <c r="IUO31" s="912"/>
      <c r="IUP31" s="916"/>
      <c r="IUQ31" s="917"/>
      <c r="IUR31" s="917"/>
      <c r="IUS31" s="917"/>
      <c r="IUT31" s="917"/>
      <c r="IUU31" s="917"/>
      <c r="IUV31" s="917"/>
      <c r="IUW31" s="917"/>
      <c r="IUX31" s="918"/>
      <c r="IUY31" s="914"/>
      <c r="IUZ31" s="912"/>
      <c r="IVA31" s="916"/>
      <c r="IVB31" s="917"/>
      <c r="IVC31" s="917"/>
      <c r="IVD31" s="917"/>
      <c r="IVE31" s="917"/>
      <c r="IVF31" s="917"/>
      <c r="IVG31" s="917"/>
      <c r="IVH31" s="917"/>
      <c r="IVI31" s="918"/>
      <c r="IVJ31" s="914"/>
      <c r="IVK31" s="912"/>
      <c r="IVL31" s="916"/>
      <c r="IVM31" s="917"/>
      <c r="IVN31" s="917"/>
      <c r="IVO31" s="917"/>
      <c r="IVP31" s="917"/>
      <c r="IVQ31" s="917"/>
      <c r="IVR31" s="917"/>
      <c r="IVS31" s="917"/>
      <c r="IVT31" s="918"/>
      <c r="IVU31" s="914"/>
      <c r="IVV31" s="912"/>
      <c r="IVW31" s="916"/>
      <c r="IVX31" s="917"/>
      <c r="IVY31" s="917"/>
      <c r="IVZ31" s="917"/>
      <c r="IWA31" s="917"/>
      <c r="IWB31" s="917"/>
      <c r="IWC31" s="917"/>
      <c r="IWD31" s="917"/>
      <c r="IWE31" s="918"/>
      <c r="IWF31" s="914"/>
      <c r="IWG31" s="912"/>
      <c r="IWH31" s="916"/>
      <c r="IWI31" s="917"/>
      <c r="IWJ31" s="917"/>
      <c r="IWK31" s="917"/>
      <c r="IWL31" s="917"/>
      <c r="IWM31" s="917"/>
      <c r="IWN31" s="917"/>
      <c r="IWO31" s="917"/>
      <c r="IWP31" s="918"/>
      <c r="IWQ31" s="914"/>
      <c r="IWR31" s="912"/>
      <c r="IWS31" s="916"/>
      <c r="IWT31" s="917"/>
      <c r="IWU31" s="917"/>
      <c r="IWV31" s="917"/>
      <c r="IWW31" s="917"/>
      <c r="IWX31" s="917"/>
      <c r="IWY31" s="917"/>
      <c r="IWZ31" s="917"/>
      <c r="IXA31" s="918"/>
      <c r="IXB31" s="914"/>
      <c r="IXC31" s="912"/>
      <c r="IXD31" s="916"/>
      <c r="IXE31" s="917"/>
      <c r="IXF31" s="917"/>
      <c r="IXG31" s="917"/>
      <c r="IXH31" s="917"/>
      <c r="IXI31" s="917"/>
      <c r="IXJ31" s="917"/>
      <c r="IXK31" s="917"/>
      <c r="IXL31" s="918"/>
      <c r="IXM31" s="914"/>
      <c r="IXN31" s="912"/>
      <c r="IXO31" s="916"/>
      <c r="IXP31" s="917"/>
      <c r="IXQ31" s="917"/>
      <c r="IXR31" s="917"/>
      <c r="IXS31" s="917"/>
      <c r="IXT31" s="917"/>
      <c r="IXU31" s="917"/>
      <c r="IXV31" s="917"/>
      <c r="IXW31" s="918"/>
      <c r="IXX31" s="914"/>
      <c r="IXY31" s="912"/>
      <c r="IXZ31" s="916"/>
      <c r="IYA31" s="917"/>
      <c r="IYB31" s="917"/>
      <c r="IYC31" s="917"/>
      <c r="IYD31" s="917"/>
      <c r="IYE31" s="917"/>
      <c r="IYF31" s="917"/>
      <c r="IYG31" s="917"/>
      <c r="IYH31" s="918"/>
      <c r="IYI31" s="914"/>
      <c r="IYJ31" s="912"/>
      <c r="IYK31" s="916"/>
      <c r="IYL31" s="917"/>
      <c r="IYM31" s="917"/>
      <c r="IYN31" s="917"/>
      <c r="IYO31" s="917"/>
      <c r="IYP31" s="917"/>
      <c r="IYQ31" s="917"/>
      <c r="IYR31" s="917"/>
      <c r="IYS31" s="918"/>
      <c r="IYT31" s="914"/>
      <c r="IYU31" s="912"/>
      <c r="IYV31" s="916"/>
      <c r="IYW31" s="917"/>
      <c r="IYX31" s="917"/>
      <c r="IYY31" s="917"/>
      <c r="IYZ31" s="917"/>
      <c r="IZA31" s="917"/>
      <c r="IZB31" s="917"/>
      <c r="IZC31" s="917"/>
      <c r="IZD31" s="918"/>
      <c r="IZE31" s="914"/>
      <c r="IZF31" s="912"/>
      <c r="IZG31" s="916"/>
      <c r="IZH31" s="917"/>
      <c r="IZI31" s="917"/>
      <c r="IZJ31" s="917"/>
      <c r="IZK31" s="917"/>
      <c r="IZL31" s="917"/>
      <c r="IZM31" s="917"/>
      <c r="IZN31" s="917"/>
      <c r="IZO31" s="918"/>
      <c r="IZP31" s="914"/>
      <c r="IZQ31" s="912"/>
      <c r="IZR31" s="916"/>
      <c r="IZS31" s="917"/>
      <c r="IZT31" s="917"/>
      <c r="IZU31" s="917"/>
      <c r="IZV31" s="917"/>
      <c r="IZW31" s="917"/>
      <c r="IZX31" s="917"/>
      <c r="IZY31" s="917"/>
      <c r="IZZ31" s="918"/>
      <c r="JAA31" s="914"/>
      <c r="JAB31" s="912"/>
      <c r="JAC31" s="916"/>
      <c r="JAD31" s="917"/>
      <c r="JAE31" s="917"/>
      <c r="JAF31" s="917"/>
      <c r="JAG31" s="917"/>
      <c r="JAH31" s="917"/>
      <c r="JAI31" s="917"/>
      <c r="JAJ31" s="917"/>
      <c r="JAK31" s="918"/>
      <c r="JAL31" s="914"/>
      <c r="JAM31" s="912"/>
      <c r="JAN31" s="916"/>
      <c r="JAO31" s="917"/>
      <c r="JAP31" s="917"/>
      <c r="JAQ31" s="917"/>
      <c r="JAR31" s="917"/>
      <c r="JAS31" s="917"/>
      <c r="JAT31" s="917"/>
      <c r="JAU31" s="917"/>
      <c r="JAV31" s="918"/>
      <c r="JAW31" s="914"/>
      <c r="JAX31" s="912"/>
      <c r="JAY31" s="916"/>
      <c r="JAZ31" s="917"/>
      <c r="JBA31" s="917"/>
      <c r="JBB31" s="917"/>
      <c r="JBC31" s="917"/>
      <c r="JBD31" s="917"/>
      <c r="JBE31" s="917"/>
      <c r="JBF31" s="917"/>
      <c r="JBG31" s="918"/>
      <c r="JBH31" s="914"/>
      <c r="JBI31" s="912"/>
      <c r="JBJ31" s="916"/>
      <c r="JBK31" s="917"/>
      <c r="JBL31" s="917"/>
      <c r="JBM31" s="917"/>
      <c r="JBN31" s="917"/>
      <c r="JBO31" s="917"/>
      <c r="JBP31" s="917"/>
      <c r="JBQ31" s="917"/>
      <c r="JBR31" s="918"/>
      <c r="JBS31" s="914"/>
      <c r="JBT31" s="912"/>
      <c r="JBU31" s="916"/>
      <c r="JBV31" s="917"/>
      <c r="JBW31" s="917"/>
      <c r="JBX31" s="917"/>
      <c r="JBY31" s="917"/>
      <c r="JBZ31" s="917"/>
      <c r="JCA31" s="917"/>
      <c r="JCB31" s="917"/>
      <c r="JCC31" s="918"/>
      <c r="JCD31" s="914"/>
      <c r="JCE31" s="912"/>
      <c r="JCF31" s="916"/>
      <c r="JCG31" s="917"/>
      <c r="JCH31" s="917"/>
      <c r="JCI31" s="917"/>
      <c r="JCJ31" s="917"/>
      <c r="JCK31" s="917"/>
      <c r="JCL31" s="917"/>
      <c r="JCM31" s="917"/>
      <c r="JCN31" s="918"/>
      <c r="JCO31" s="914"/>
      <c r="JCP31" s="912"/>
      <c r="JCQ31" s="916"/>
      <c r="JCR31" s="917"/>
      <c r="JCS31" s="917"/>
      <c r="JCT31" s="917"/>
      <c r="JCU31" s="917"/>
      <c r="JCV31" s="917"/>
      <c r="JCW31" s="917"/>
      <c r="JCX31" s="917"/>
      <c r="JCY31" s="918"/>
      <c r="JCZ31" s="914"/>
      <c r="JDA31" s="912"/>
      <c r="JDB31" s="916"/>
      <c r="JDC31" s="917"/>
      <c r="JDD31" s="917"/>
      <c r="JDE31" s="917"/>
      <c r="JDF31" s="917"/>
      <c r="JDG31" s="917"/>
      <c r="JDH31" s="917"/>
      <c r="JDI31" s="917"/>
      <c r="JDJ31" s="918"/>
      <c r="JDK31" s="914"/>
      <c r="JDL31" s="912"/>
      <c r="JDM31" s="916"/>
      <c r="JDN31" s="917"/>
      <c r="JDO31" s="917"/>
      <c r="JDP31" s="917"/>
      <c r="JDQ31" s="917"/>
      <c r="JDR31" s="917"/>
      <c r="JDS31" s="917"/>
      <c r="JDT31" s="917"/>
      <c r="JDU31" s="918"/>
      <c r="JDV31" s="914"/>
      <c r="JDW31" s="912"/>
      <c r="JDX31" s="916"/>
      <c r="JDY31" s="917"/>
      <c r="JDZ31" s="917"/>
      <c r="JEA31" s="917"/>
      <c r="JEB31" s="917"/>
      <c r="JEC31" s="917"/>
      <c r="JED31" s="917"/>
      <c r="JEE31" s="917"/>
      <c r="JEF31" s="918"/>
      <c r="JEG31" s="914"/>
      <c r="JEH31" s="912"/>
      <c r="JEI31" s="916"/>
      <c r="JEJ31" s="917"/>
      <c r="JEK31" s="917"/>
      <c r="JEL31" s="917"/>
      <c r="JEM31" s="917"/>
      <c r="JEN31" s="917"/>
      <c r="JEO31" s="917"/>
      <c r="JEP31" s="917"/>
      <c r="JEQ31" s="918"/>
      <c r="JER31" s="914"/>
      <c r="JES31" s="912"/>
      <c r="JET31" s="916"/>
      <c r="JEU31" s="917"/>
      <c r="JEV31" s="917"/>
      <c r="JEW31" s="917"/>
      <c r="JEX31" s="917"/>
      <c r="JEY31" s="917"/>
      <c r="JEZ31" s="917"/>
      <c r="JFA31" s="917"/>
      <c r="JFB31" s="918"/>
      <c r="JFC31" s="914"/>
      <c r="JFD31" s="912"/>
      <c r="JFE31" s="916"/>
      <c r="JFF31" s="917"/>
      <c r="JFG31" s="917"/>
      <c r="JFH31" s="917"/>
      <c r="JFI31" s="917"/>
      <c r="JFJ31" s="917"/>
      <c r="JFK31" s="917"/>
      <c r="JFL31" s="917"/>
      <c r="JFM31" s="918"/>
      <c r="JFN31" s="914"/>
      <c r="JFO31" s="912"/>
      <c r="JFP31" s="916"/>
      <c r="JFQ31" s="917"/>
      <c r="JFR31" s="917"/>
      <c r="JFS31" s="917"/>
      <c r="JFT31" s="917"/>
      <c r="JFU31" s="917"/>
      <c r="JFV31" s="917"/>
      <c r="JFW31" s="917"/>
      <c r="JFX31" s="918"/>
      <c r="JFY31" s="914"/>
      <c r="JFZ31" s="912"/>
      <c r="JGA31" s="916"/>
      <c r="JGB31" s="917"/>
      <c r="JGC31" s="917"/>
      <c r="JGD31" s="917"/>
      <c r="JGE31" s="917"/>
      <c r="JGF31" s="917"/>
      <c r="JGG31" s="917"/>
      <c r="JGH31" s="917"/>
      <c r="JGI31" s="918"/>
      <c r="JGJ31" s="914"/>
      <c r="JGK31" s="912"/>
      <c r="JGL31" s="916"/>
      <c r="JGM31" s="917"/>
      <c r="JGN31" s="917"/>
      <c r="JGO31" s="917"/>
      <c r="JGP31" s="917"/>
      <c r="JGQ31" s="917"/>
      <c r="JGR31" s="917"/>
      <c r="JGS31" s="917"/>
      <c r="JGT31" s="918"/>
      <c r="JGU31" s="914"/>
      <c r="JGV31" s="912"/>
      <c r="JGW31" s="916"/>
      <c r="JGX31" s="917"/>
      <c r="JGY31" s="917"/>
      <c r="JGZ31" s="917"/>
      <c r="JHA31" s="917"/>
      <c r="JHB31" s="917"/>
      <c r="JHC31" s="917"/>
      <c r="JHD31" s="917"/>
      <c r="JHE31" s="918"/>
      <c r="JHF31" s="914"/>
      <c r="JHG31" s="912"/>
      <c r="JHH31" s="916"/>
      <c r="JHI31" s="917"/>
      <c r="JHJ31" s="917"/>
      <c r="JHK31" s="917"/>
      <c r="JHL31" s="917"/>
      <c r="JHM31" s="917"/>
      <c r="JHN31" s="917"/>
      <c r="JHO31" s="917"/>
      <c r="JHP31" s="918"/>
      <c r="JHQ31" s="914"/>
      <c r="JHR31" s="912"/>
      <c r="JHS31" s="916"/>
      <c r="JHT31" s="917"/>
      <c r="JHU31" s="917"/>
      <c r="JHV31" s="917"/>
      <c r="JHW31" s="917"/>
      <c r="JHX31" s="917"/>
      <c r="JHY31" s="917"/>
      <c r="JHZ31" s="917"/>
      <c r="JIA31" s="918"/>
      <c r="JIB31" s="914"/>
      <c r="JIC31" s="912"/>
      <c r="JID31" s="916"/>
      <c r="JIE31" s="917"/>
      <c r="JIF31" s="917"/>
      <c r="JIG31" s="917"/>
      <c r="JIH31" s="917"/>
      <c r="JII31" s="917"/>
      <c r="JIJ31" s="917"/>
      <c r="JIK31" s="917"/>
      <c r="JIL31" s="918"/>
      <c r="JIM31" s="914"/>
      <c r="JIN31" s="912"/>
      <c r="JIO31" s="916"/>
      <c r="JIP31" s="917"/>
      <c r="JIQ31" s="917"/>
      <c r="JIR31" s="917"/>
      <c r="JIS31" s="917"/>
      <c r="JIT31" s="917"/>
      <c r="JIU31" s="917"/>
      <c r="JIV31" s="917"/>
      <c r="JIW31" s="918"/>
      <c r="JIX31" s="914"/>
      <c r="JIY31" s="912"/>
      <c r="JIZ31" s="916"/>
      <c r="JJA31" s="917"/>
      <c r="JJB31" s="917"/>
      <c r="JJC31" s="917"/>
      <c r="JJD31" s="917"/>
      <c r="JJE31" s="917"/>
      <c r="JJF31" s="917"/>
      <c r="JJG31" s="917"/>
      <c r="JJH31" s="918"/>
      <c r="JJI31" s="914"/>
      <c r="JJJ31" s="912"/>
      <c r="JJK31" s="916"/>
      <c r="JJL31" s="917"/>
      <c r="JJM31" s="917"/>
      <c r="JJN31" s="917"/>
      <c r="JJO31" s="917"/>
      <c r="JJP31" s="917"/>
      <c r="JJQ31" s="917"/>
      <c r="JJR31" s="917"/>
      <c r="JJS31" s="918"/>
      <c r="JJT31" s="914"/>
      <c r="JJU31" s="912"/>
      <c r="JJV31" s="916"/>
      <c r="JJW31" s="917"/>
      <c r="JJX31" s="917"/>
      <c r="JJY31" s="917"/>
      <c r="JJZ31" s="917"/>
      <c r="JKA31" s="917"/>
      <c r="JKB31" s="917"/>
      <c r="JKC31" s="917"/>
      <c r="JKD31" s="918"/>
      <c r="JKE31" s="914"/>
      <c r="JKF31" s="912"/>
      <c r="JKG31" s="916"/>
      <c r="JKH31" s="917"/>
      <c r="JKI31" s="917"/>
      <c r="JKJ31" s="917"/>
      <c r="JKK31" s="917"/>
      <c r="JKL31" s="917"/>
      <c r="JKM31" s="917"/>
      <c r="JKN31" s="917"/>
      <c r="JKO31" s="918"/>
      <c r="JKP31" s="914"/>
      <c r="JKQ31" s="912"/>
      <c r="JKR31" s="916"/>
      <c r="JKS31" s="917"/>
      <c r="JKT31" s="917"/>
      <c r="JKU31" s="917"/>
      <c r="JKV31" s="917"/>
      <c r="JKW31" s="917"/>
      <c r="JKX31" s="917"/>
      <c r="JKY31" s="917"/>
      <c r="JKZ31" s="918"/>
      <c r="JLA31" s="914"/>
      <c r="JLB31" s="912"/>
      <c r="JLC31" s="916"/>
      <c r="JLD31" s="917"/>
      <c r="JLE31" s="917"/>
      <c r="JLF31" s="917"/>
      <c r="JLG31" s="917"/>
      <c r="JLH31" s="917"/>
      <c r="JLI31" s="917"/>
      <c r="JLJ31" s="917"/>
      <c r="JLK31" s="918"/>
      <c r="JLL31" s="914"/>
      <c r="JLM31" s="912"/>
      <c r="JLN31" s="916"/>
      <c r="JLO31" s="917"/>
      <c r="JLP31" s="917"/>
      <c r="JLQ31" s="917"/>
      <c r="JLR31" s="917"/>
      <c r="JLS31" s="917"/>
      <c r="JLT31" s="917"/>
      <c r="JLU31" s="917"/>
      <c r="JLV31" s="918"/>
      <c r="JLW31" s="914"/>
      <c r="JLX31" s="912"/>
      <c r="JLY31" s="916"/>
      <c r="JLZ31" s="917"/>
      <c r="JMA31" s="917"/>
      <c r="JMB31" s="917"/>
      <c r="JMC31" s="917"/>
      <c r="JMD31" s="917"/>
      <c r="JME31" s="917"/>
      <c r="JMF31" s="917"/>
      <c r="JMG31" s="918"/>
      <c r="JMH31" s="914"/>
      <c r="JMI31" s="912"/>
      <c r="JMJ31" s="916"/>
      <c r="JMK31" s="917"/>
      <c r="JML31" s="917"/>
      <c r="JMM31" s="917"/>
      <c r="JMN31" s="917"/>
      <c r="JMO31" s="917"/>
      <c r="JMP31" s="917"/>
      <c r="JMQ31" s="917"/>
      <c r="JMR31" s="918"/>
      <c r="JMS31" s="914"/>
      <c r="JMT31" s="912"/>
      <c r="JMU31" s="916"/>
      <c r="JMV31" s="917"/>
      <c r="JMW31" s="917"/>
      <c r="JMX31" s="917"/>
      <c r="JMY31" s="917"/>
      <c r="JMZ31" s="917"/>
      <c r="JNA31" s="917"/>
      <c r="JNB31" s="917"/>
      <c r="JNC31" s="918"/>
      <c r="JND31" s="914"/>
      <c r="JNE31" s="912"/>
      <c r="JNF31" s="916"/>
      <c r="JNG31" s="917"/>
      <c r="JNH31" s="917"/>
      <c r="JNI31" s="917"/>
      <c r="JNJ31" s="917"/>
      <c r="JNK31" s="917"/>
      <c r="JNL31" s="917"/>
      <c r="JNM31" s="917"/>
      <c r="JNN31" s="918"/>
      <c r="JNO31" s="914"/>
      <c r="JNP31" s="912"/>
      <c r="JNQ31" s="916"/>
      <c r="JNR31" s="917"/>
      <c r="JNS31" s="917"/>
      <c r="JNT31" s="917"/>
      <c r="JNU31" s="917"/>
      <c r="JNV31" s="917"/>
      <c r="JNW31" s="917"/>
      <c r="JNX31" s="917"/>
      <c r="JNY31" s="918"/>
      <c r="JNZ31" s="914"/>
      <c r="JOA31" s="912"/>
      <c r="JOB31" s="916"/>
      <c r="JOC31" s="917"/>
      <c r="JOD31" s="917"/>
      <c r="JOE31" s="917"/>
      <c r="JOF31" s="917"/>
      <c r="JOG31" s="917"/>
      <c r="JOH31" s="917"/>
      <c r="JOI31" s="917"/>
      <c r="JOJ31" s="918"/>
      <c r="JOK31" s="914"/>
      <c r="JOL31" s="912"/>
      <c r="JOM31" s="916"/>
      <c r="JON31" s="917"/>
      <c r="JOO31" s="917"/>
      <c r="JOP31" s="917"/>
      <c r="JOQ31" s="917"/>
      <c r="JOR31" s="917"/>
      <c r="JOS31" s="917"/>
      <c r="JOT31" s="917"/>
      <c r="JOU31" s="918"/>
      <c r="JOV31" s="914"/>
      <c r="JOW31" s="912"/>
      <c r="JOX31" s="916"/>
      <c r="JOY31" s="917"/>
      <c r="JOZ31" s="917"/>
      <c r="JPA31" s="917"/>
      <c r="JPB31" s="917"/>
      <c r="JPC31" s="917"/>
      <c r="JPD31" s="917"/>
      <c r="JPE31" s="917"/>
      <c r="JPF31" s="918"/>
      <c r="JPG31" s="914"/>
      <c r="JPH31" s="912"/>
      <c r="JPI31" s="916"/>
      <c r="JPJ31" s="917"/>
      <c r="JPK31" s="917"/>
      <c r="JPL31" s="917"/>
      <c r="JPM31" s="917"/>
      <c r="JPN31" s="917"/>
      <c r="JPO31" s="917"/>
      <c r="JPP31" s="917"/>
      <c r="JPQ31" s="918"/>
      <c r="JPR31" s="914"/>
      <c r="JPS31" s="912"/>
      <c r="JPT31" s="916"/>
      <c r="JPU31" s="917"/>
      <c r="JPV31" s="917"/>
      <c r="JPW31" s="917"/>
      <c r="JPX31" s="917"/>
      <c r="JPY31" s="917"/>
      <c r="JPZ31" s="917"/>
      <c r="JQA31" s="917"/>
      <c r="JQB31" s="918"/>
      <c r="JQC31" s="914"/>
      <c r="JQD31" s="912"/>
      <c r="JQE31" s="916"/>
      <c r="JQF31" s="917"/>
      <c r="JQG31" s="917"/>
      <c r="JQH31" s="917"/>
      <c r="JQI31" s="917"/>
      <c r="JQJ31" s="917"/>
      <c r="JQK31" s="917"/>
      <c r="JQL31" s="917"/>
      <c r="JQM31" s="918"/>
      <c r="JQN31" s="914"/>
      <c r="JQO31" s="912"/>
      <c r="JQP31" s="916"/>
      <c r="JQQ31" s="917"/>
      <c r="JQR31" s="917"/>
      <c r="JQS31" s="917"/>
      <c r="JQT31" s="917"/>
      <c r="JQU31" s="917"/>
      <c r="JQV31" s="917"/>
      <c r="JQW31" s="917"/>
      <c r="JQX31" s="918"/>
      <c r="JQY31" s="914"/>
      <c r="JQZ31" s="912"/>
      <c r="JRA31" s="916"/>
      <c r="JRB31" s="917"/>
      <c r="JRC31" s="917"/>
      <c r="JRD31" s="917"/>
      <c r="JRE31" s="917"/>
      <c r="JRF31" s="917"/>
      <c r="JRG31" s="917"/>
      <c r="JRH31" s="917"/>
      <c r="JRI31" s="918"/>
      <c r="JRJ31" s="914"/>
      <c r="JRK31" s="912"/>
      <c r="JRL31" s="916"/>
      <c r="JRM31" s="917"/>
      <c r="JRN31" s="917"/>
      <c r="JRO31" s="917"/>
      <c r="JRP31" s="917"/>
      <c r="JRQ31" s="917"/>
      <c r="JRR31" s="917"/>
      <c r="JRS31" s="917"/>
      <c r="JRT31" s="918"/>
      <c r="JRU31" s="914"/>
      <c r="JRV31" s="912"/>
      <c r="JRW31" s="916"/>
      <c r="JRX31" s="917"/>
      <c r="JRY31" s="917"/>
      <c r="JRZ31" s="917"/>
      <c r="JSA31" s="917"/>
      <c r="JSB31" s="917"/>
      <c r="JSC31" s="917"/>
      <c r="JSD31" s="917"/>
      <c r="JSE31" s="918"/>
      <c r="JSF31" s="914"/>
      <c r="JSG31" s="912"/>
      <c r="JSH31" s="916"/>
      <c r="JSI31" s="917"/>
      <c r="JSJ31" s="917"/>
      <c r="JSK31" s="917"/>
      <c r="JSL31" s="917"/>
      <c r="JSM31" s="917"/>
      <c r="JSN31" s="917"/>
      <c r="JSO31" s="917"/>
      <c r="JSP31" s="918"/>
      <c r="JSQ31" s="914"/>
      <c r="JSR31" s="912"/>
      <c r="JSS31" s="916"/>
      <c r="JST31" s="917"/>
      <c r="JSU31" s="917"/>
      <c r="JSV31" s="917"/>
      <c r="JSW31" s="917"/>
      <c r="JSX31" s="917"/>
      <c r="JSY31" s="917"/>
      <c r="JSZ31" s="917"/>
      <c r="JTA31" s="918"/>
      <c r="JTB31" s="914"/>
      <c r="JTC31" s="912"/>
      <c r="JTD31" s="916"/>
      <c r="JTE31" s="917"/>
      <c r="JTF31" s="917"/>
      <c r="JTG31" s="917"/>
      <c r="JTH31" s="917"/>
      <c r="JTI31" s="917"/>
      <c r="JTJ31" s="917"/>
      <c r="JTK31" s="917"/>
      <c r="JTL31" s="918"/>
      <c r="JTM31" s="914"/>
      <c r="JTN31" s="912"/>
      <c r="JTO31" s="916"/>
      <c r="JTP31" s="917"/>
      <c r="JTQ31" s="917"/>
      <c r="JTR31" s="917"/>
      <c r="JTS31" s="917"/>
      <c r="JTT31" s="917"/>
      <c r="JTU31" s="917"/>
      <c r="JTV31" s="917"/>
      <c r="JTW31" s="918"/>
      <c r="JTX31" s="914"/>
      <c r="JTY31" s="912"/>
      <c r="JTZ31" s="916"/>
      <c r="JUA31" s="917"/>
      <c r="JUB31" s="917"/>
      <c r="JUC31" s="917"/>
      <c r="JUD31" s="917"/>
      <c r="JUE31" s="917"/>
      <c r="JUF31" s="917"/>
      <c r="JUG31" s="917"/>
      <c r="JUH31" s="918"/>
      <c r="JUI31" s="914"/>
      <c r="JUJ31" s="912"/>
      <c r="JUK31" s="916"/>
      <c r="JUL31" s="917"/>
      <c r="JUM31" s="917"/>
      <c r="JUN31" s="917"/>
      <c r="JUO31" s="917"/>
      <c r="JUP31" s="917"/>
      <c r="JUQ31" s="917"/>
      <c r="JUR31" s="917"/>
      <c r="JUS31" s="918"/>
      <c r="JUT31" s="914"/>
      <c r="JUU31" s="912"/>
      <c r="JUV31" s="916"/>
      <c r="JUW31" s="917"/>
      <c r="JUX31" s="917"/>
      <c r="JUY31" s="917"/>
      <c r="JUZ31" s="917"/>
      <c r="JVA31" s="917"/>
      <c r="JVB31" s="917"/>
      <c r="JVC31" s="917"/>
      <c r="JVD31" s="918"/>
      <c r="JVE31" s="914"/>
      <c r="JVF31" s="912"/>
      <c r="JVG31" s="916"/>
      <c r="JVH31" s="917"/>
      <c r="JVI31" s="917"/>
      <c r="JVJ31" s="917"/>
      <c r="JVK31" s="917"/>
      <c r="JVL31" s="917"/>
      <c r="JVM31" s="917"/>
      <c r="JVN31" s="917"/>
      <c r="JVO31" s="918"/>
      <c r="JVP31" s="914"/>
      <c r="JVQ31" s="912"/>
      <c r="JVR31" s="916"/>
      <c r="JVS31" s="917"/>
      <c r="JVT31" s="917"/>
      <c r="JVU31" s="917"/>
      <c r="JVV31" s="917"/>
      <c r="JVW31" s="917"/>
      <c r="JVX31" s="917"/>
      <c r="JVY31" s="917"/>
      <c r="JVZ31" s="918"/>
      <c r="JWA31" s="914"/>
      <c r="JWB31" s="912"/>
      <c r="JWC31" s="916"/>
      <c r="JWD31" s="917"/>
      <c r="JWE31" s="917"/>
      <c r="JWF31" s="917"/>
      <c r="JWG31" s="917"/>
      <c r="JWH31" s="917"/>
      <c r="JWI31" s="917"/>
      <c r="JWJ31" s="917"/>
      <c r="JWK31" s="918"/>
      <c r="JWL31" s="914"/>
      <c r="JWM31" s="912"/>
      <c r="JWN31" s="916"/>
      <c r="JWO31" s="917"/>
      <c r="JWP31" s="917"/>
      <c r="JWQ31" s="917"/>
      <c r="JWR31" s="917"/>
      <c r="JWS31" s="917"/>
      <c r="JWT31" s="917"/>
      <c r="JWU31" s="917"/>
      <c r="JWV31" s="918"/>
      <c r="JWW31" s="914"/>
      <c r="JWX31" s="912"/>
      <c r="JWY31" s="916"/>
      <c r="JWZ31" s="917"/>
      <c r="JXA31" s="917"/>
      <c r="JXB31" s="917"/>
      <c r="JXC31" s="917"/>
      <c r="JXD31" s="917"/>
      <c r="JXE31" s="917"/>
      <c r="JXF31" s="917"/>
      <c r="JXG31" s="918"/>
      <c r="JXH31" s="914"/>
      <c r="JXI31" s="912"/>
      <c r="JXJ31" s="916"/>
      <c r="JXK31" s="917"/>
      <c r="JXL31" s="917"/>
      <c r="JXM31" s="917"/>
      <c r="JXN31" s="917"/>
      <c r="JXO31" s="917"/>
      <c r="JXP31" s="917"/>
      <c r="JXQ31" s="917"/>
      <c r="JXR31" s="918"/>
      <c r="JXS31" s="914"/>
      <c r="JXT31" s="912"/>
      <c r="JXU31" s="916"/>
      <c r="JXV31" s="917"/>
      <c r="JXW31" s="917"/>
      <c r="JXX31" s="917"/>
      <c r="JXY31" s="917"/>
      <c r="JXZ31" s="917"/>
      <c r="JYA31" s="917"/>
      <c r="JYB31" s="917"/>
      <c r="JYC31" s="918"/>
      <c r="JYD31" s="914"/>
      <c r="JYE31" s="912"/>
      <c r="JYF31" s="916"/>
      <c r="JYG31" s="917"/>
      <c r="JYH31" s="917"/>
      <c r="JYI31" s="917"/>
      <c r="JYJ31" s="917"/>
      <c r="JYK31" s="917"/>
      <c r="JYL31" s="917"/>
      <c r="JYM31" s="917"/>
      <c r="JYN31" s="918"/>
      <c r="JYO31" s="914"/>
      <c r="JYP31" s="912"/>
      <c r="JYQ31" s="916"/>
      <c r="JYR31" s="917"/>
      <c r="JYS31" s="917"/>
      <c r="JYT31" s="917"/>
      <c r="JYU31" s="917"/>
      <c r="JYV31" s="917"/>
      <c r="JYW31" s="917"/>
      <c r="JYX31" s="917"/>
      <c r="JYY31" s="918"/>
      <c r="JYZ31" s="914"/>
      <c r="JZA31" s="912"/>
      <c r="JZB31" s="916"/>
      <c r="JZC31" s="917"/>
      <c r="JZD31" s="917"/>
      <c r="JZE31" s="917"/>
      <c r="JZF31" s="917"/>
      <c r="JZG31" s="917"/>
      <c r="JZH31" s="917"/>
      <c r="JZI31" s="917"/>
      <c r="JZJ31" s="918"/>
      <c r="JZK31" s="914"/>
      <c r="JZL31" s="912"/>
      <c r="JZM31" s="916"/>
      <c r="JZN31" s="917"/>
      <c r="JZO31" s="917"/>
      <c r="JZP31" s="917"/>
      <c r="JZQ31" s="917"/>
      <c r="JZR31" s="917"/>
      <c r="JZS31" s="917"/>
      <c r="JZT31" s="917"/>
      <c r="JZU31" s="918"/>
      <c r="JZV31" s="914"/>
      <c r="JZW31" s="912"/>
      <c r="JZX31" s="916"/>
      <c r="JZY31" s="917"/>
      <c r="JZZ31" s="917"/>
      <c r="KAA31" s="917"/>
      <c r="KAB31" s="917"/>
      <c r="KAC31" s="917"/>
      <c r="KAD31" s="917"/>
      <c r="KAE31" s="917"/>
      <c r="KAF31" s="918"/>
      <c r="KAG31" s="914"/>
      <c r="KAH31" s="912"/>
      <c r="KAI31" s="916"/>
      <c r="KAJ31" s="917"/>
      <c r="KAK31" s="917"/>
      <c r="KAL31" s="917"/>
      <c r="KAM31" s="917"/>
      <c r="KAN31" s="917"/>
      <c r="KAO31" s="917"/>
      <c r="KAP31" s="917"/>
      <c r="KAQ31" s="918"/>
      <c r="KAR31" s="914"/>
      <c r="KAS31" s="912"/>
      <c r="KAT31" s="916"/>
      <c r="KAU31" s="917"/>
      <c r="KAV31" s="917"/>
      <c r="KAW31" s="917"/>
      <c r="KAX31" s="917"/>
      <c r="KAY31" s="917"/>
      <c r="KAZ31" s="917"/>
      <c r="KBA31" s="917"/>
      <c r="KBB31" s="918"/>
      <c r="KBC31" s="914"/>
      <c r="KBD31" s="912"/>
      <c r="KBE31" s="916"/>
      <c r="KBF31" s="917"/>
      <c r="KBG31" s="917"/>
      <c r="KBH31" s="917"/>
      <c r="KBI31" s="917"/>
      <c r="KBJ31" s="917"/>
      <c r="KBK31" s="917"/>
      <c r="KBL31" s="917"/>
      <c r="KBM31" s="918"/>
      <c r="KBN31" s="914"/>
      <c r="KBO31" s="912"/>
      <c r="KBP31" s="916"/>
      <c r="KBQ31" s="917"/>
      <c r="KBR31" s="917"/>
      <c r="KBS31" s="917"/>
      <c r="KBT31" s="917"/>
      <c r="KBU31" s="917"/>
      <c r="KBV31" s="917"/>
      <c r="KBW31" s="917"/>
      <c r="KBX31" s="918"/>
      <c r="KBY31" s="914"/>
      <c r="KBZ31" s="912"/>
      <c r="KCA31" s="916"/>
      <c r="KCB31" s="917"/>
      <c r="KCC31" s="917"/>
      <c r="KCD31" s="917"/>
      <c r="KCE31" s="917"/>
      <c r="KCF31" s="917"/>
      <c r="KCG31" s="917"/>
      <c r="KCH31" s="917"/>
      <c r="KCI31" s="918"/>
      <c r="KCJ31" s="914"/>
      <c r="KCK31" s="912"/>
      <c r="KCL31" s="916"/>
      <c r="KCM31" s="917"/>
      <c r="KCN31" s="917"/>
      <c r="KCO31" s="917"/>
      <c r="KCP31" s="917"/>
      <c r="KCQ31" s="917"/>
      <c r="KCR31" s="917"/>
      <c r="KCS31" s="917"/>
      <c r="KCT31" s="918"/>
      <c r="KCU31" s="914"/>
      <c r="KCV31" s="912"/>
      <c r="KCW31" s="916"/>
      <c r="KCX31" s="917"/>
      <c r="KCY31" s="917"/>
      <c r="KCZ31" s="917"/>
      <c r="KDA31" s="917"/>
      <c r="KDB31" s="917"/>
      <c r="KDC31" s="917"/>
      <c r="KDD31" s="917"/>
      <c r="KDE31" s="918"/>
      <c r="KDF31" s="914"/>
      <c r="KDG31" s="912"/>
      <c r="KDH31" s="916"/>
      <c r="KDI31" s="917"/>
      <c r="KDJ31" s="917"/>
      <c r="KDK31" s="917"/>
      <c r="KDL31" s="917"/>
      <c r="KDM31" s="917"/>
      <c r="KDN31" s="917"/>
      <c r="KDO31" s="917"/>
      <c r="KDP31" s="918"/>
      <c r="KDQ31" s="914"/>
      <c r="KDR31" s="912"/>
      <c r="KDS31" s="916"/>
      <c r="KDT31" s="917"/>
      <c r="KDU31" s="917"/>
      <c r="KDV31" s="917"/>
      <c r="KDW31" s="917"/>
      <c r="KDX31" s="917"/>
      <c r="KDY31" s="917"/>
      <c r="KDZ31" s="917"/>
      <c r="KEA31" s="918"/>
      <c r="KEB31" s="914"/>
      <c r="KEC31" s="912"/>
      <c r="KED31" s="916"/>
      <c r="KEE31" s="917"/>
      <c r="KEF31" s="917"/>
      <c r="KEG31" s="917"/>
      <c r="KEH31" s="917"/>
      <c r="KEI31" s="917"/>
      <c r="KEJ31" s="917"/>
      <c r="KEK31" s="917"/>
      <c r="KEL31" s="918"/>
      <c r="KEM31" s="914"/>
      <c r="KEN31" s="912"/>
      <c r="KEO31" s="916"/>
      <c r="KEP31" s="917"/>
      <c r="KEQ31" s="917"/>
      <c r="KER31" s="917"/>
      <c r="KES31" s="917"/>
      <c r="KET31" s="917"/>
      <c r="KEU31" s="917"/>
      <c r="KEV31" s="917"/>
      <c r="KEW31" s="918"/>
      <c r="KEX31" s="914"/>
      <c r="KEY31" s="912"/>
      <c r="KEZ31" s="916"/>
      <c r="KFA31" s="917"/>
      <c r="KFB31" s="917"/>
      <c r="KFC31" s="917"/>
      <c r="KFD31" s="917"/>
      <c r="KFE31" s="917"/>
      <c r="KFF31" s="917"/>
      <c r="KFG31" s="917"/>
      <c r="KFH31" s="918"/>
      <c r="KFI31" s="914"/>
      <c r="KFJ31" s="912"/>
      <c r="KFK31" s="916"/>
      <c r="KFL31" s="917"/>
      <c r="KFM31" s="917"/>
      <c r="KFN31" s="917"/>
      <c r="KFO31" s="917"/>
      <c r="KFP31" s="917"/>
      <c r="KFQ31" s="917"/>
      <c r="KFR31" s="917"/>
      <c r="KFS31" s="918"/>
      <c r="KFT31" s="914"/>
      <c r="KFU31" s="912"/>
      <c r="KFV31" s="916"/>
      <c r="KFW31" s="917"/>
      <c r="KFX31" s="917"/>
      <c r="KFY31" s="917"/>
      <c r="KFZ31" s="917"/>
      <c r="KGA31" s="917"/>
      <c r="KGB31" s="917"/>
      <c r="KGC31" s="917"/>
      <c r="KGD31" s="918"/>
      <c r="KGE31" s="914"/>
      <c r="KGF31" s="912"/>
      <c r="KGG31" s="916"/>
      <c r="KGH31" s="917"/>
      <c r="KGI31" s="917"/>
      <c r="KGJ31" s="917"/>
      <c r="KGK31" s="917"/>
      <c r="KGL31" s="917"/>
      <c r="KGM31" s="917"/>
      <c r="KGN31" s="917"/>
      <c r="KGO31" s="918"/>
      <c r="KGP31" s="914"/>
      <c r="KGQ31" s="912"/>
      <c r="KGR31" s="916"/>
      <c r="KGS31" s="917"/>
      <c r="KGT31" s="917"/>
      <c r="KGU31" s="917"/>
      <c r="KGV31" s="917"/>
      <c r="KGW31" s="917"/>
      <c r="KGX31" s="917"/>
      <c r="KGY31" s="917"/>
      <c r="KGZ31" s="918"/>
      <c r="KHA31" s="914"/>
      <c r="KHB31" s="912"/>
      <c r="KHC31" s="916"/>
      <c r="KHD31" s="917"/>
      <c r="KHE31" s="917"/>
      <c r="KHF31" s="917"/>
      <c r="KHG31" s="917"/>
      <c r="KHH31" s="917"/>
      <c r="KHI31" s="917"/>
      <c r="KHJ31" s="917"/>
      <c r="KHK31" s="918"/>
      <c r="KHL31" s="914"/>
      <c r="KHM31" s="912"/>
      <c r="KHN31" s="916"/>
      <c r="KHO31" s="917"/>
      <c r="KHP31" s="917"/>
      <c r="KHQ31" s="917"/>
      <c r="KHR31" s="917"/>
      <c r="KHS31" s="917"/>
      <c r="KHT31" s="917"/>
      <c r="KHU31" s="917"/>
      <c r="KHV31" s="918"/>
      <c r="KHW31" s="914"/>
      <c r="KHX31" s="912"/>
      <c r="KHY31" s="916"/>
      <c r="KHZ31" s="917"/>
      <c r="KIA31" s="917"/>
      <c r="KIB31" s="917"/>
      <c r="KIC31" s="917"/>
      <c r="KID31" s="917"/>
      <c r="KIE31" s="917"/>
      <c r="KIF31" s="917"/>
      <c r="KIG31" s="918"/>
      <c r="KIH31" s="914"/>
      <c r="KII31" s="912"/>
      <c r="KIJ31" s="916"/>
      <c r="KIK31" s="917"/>
      <c r="KIL31" s="917"/>
      <c r="KIM31" s="917"/>
      <c r="KIN31" s="917"/>
      <c r="KIO31" s="917"/>
      <c r="KIP31" s="917"/>
      <c r="KIQ31" s="917"/>
      <c r="KIR31" s="918"/>
      <c r="KIS31" s="914"/>
      <c r="KIT31" s="912"/>
      <c r="KIU31" s="916"/>
      <c r="KIV31" s="917"/>
      <c r="KIW31" s="917"/>
      <c r="KIX31" s="917"/>
      <c r="KIY31" s="917"/>
      <c r="KIZ31" s="917"/>
      <c r="KJA31" s="917"/>
      <c r="KJB31" s="917"/>
      <c r="KJC31" s="918"/>
      <c r="KJD31" s="914"/>
      <c r="KJE31" s="912"/>
      <c r="KJF31" s="916"/>
      <c r="KJG31" s="917"/>
      <c r="KJH31" s="917"/>
      <c r="KJI31" s="917"/>
      <c r="KJJ31" s="917"/>
      <c r="KJK31" s="917"/>
      <c r="KJL31" s="917"/>
      <c r="KJM31" s="917"/>
      <c r="KJN31" s="918"/>
      <c r="KJO31" s="914"/>
      <c r="KJP31" s="912"/>
      <c r="KJQ31" s="916"/>
      <c r="KJR31" s="917"/>
      <c r="KJS31" s="917"/>
      <c r="KJT31" s="917"/>
      <c r="KJU31" s="917"/>
      <c r="KJV31" s="917"/>
      <c r="KJW31" s="917"/>
      <c r="KJX31" s="917"/>
      <c r="KJY31" s="918"/>
      <c r="KJZ31" s="914"/>
      <c r="KKA31" s="912"/>
      <c r="KKB31" s="916"/>
      <c r="KKC31" s="917"/>
      <c r="KKD31" s="917"/>
      <c r="KKE31" s="917"/>
      <c r="KKF31" s="917"/>
      <c r="KKG31" s="917"/>
      <c r="KKH31" s="917"/>
      <c r="KKI31" s="917"/>
      <c r="KKJ31" s="918"/>
      <c r="KKK31" s="914"/>
      <c r="KKL31" s="912"/>
      <c r="KKM31" s="916"/>
      <c r="KKN31" s="917"/>
      <c r="KKO31" s="917"/>
      <c r="KKP31" s="917"/>
      <c r="KKQ31" s="917"/>
      <c r="KKR31" s="917"/>
      <c r="KKS31" s="917"/>
      <c r="KKT31" s="917"/>
      <c r="KKU31" s="918"/>
      <c r="KKV31" s="914"/>
      <c r="KKW31" s="912"/>
      <c r="KKX31" s="916"/>
      <c r="KKY31" s="917"/>
      <c r="KKZ31" s="917"/>
      <c r="KLA31" s="917"/>
      <c r="KLB31" s="917"/>
      <c r="KLC31" s="917"/>
      <c r="KLD31" s="917"/>
      <c r="KLE31" s="917"/>
      <c r="KLF31" s="918"/>
      <c r="KLG31" s="914"/>
      <c r="KLH31" s="912"/>
      <c r="KLI31" s="916"/>
      <c r="KLJ31" s="917"/>
      <c r="KLK31" s="917"/>
      <c r="KLL31" s="917"/>
      <c r="KLM31" s="917"/>
      <c r="KLN31" s="917"/>
      <c r="KLO31" s="917"/>
      <c r="KLP31" s="917"/>
      <c r="KLQ31" s="918"/>
      <c r="KLR31" s="914"/>
      <c r="KLS31" s="912"/>
      <c r="KLT31" s="916"/>
      <c r="KLU31" s="917"/>
      <c r="KLV31" s="917"/>
      <c r="KLW31" s="917"/>
      <c r="KLX31" s="917"/>
      <c r="KLY31" s="917"/>
      <c r="KLZ31" s="917"/>
      <c r="KMA31" s="917"/>
      <c r="KMB31" s="918"/>
      <c r="KMC31" s="914"/>
      <c r="KMD31" s="912"/>
      <c r="KME31" s="916"/>
      <c r="KMF31" s="917"/>
      <c r="KMG31" s="917"/>
      <c r="KMH31" s="917"/>
      <c r="KMI31" s="917"/>
      <c r="KMJ31" s="917"/>
      <c r="KMK31" s="917"/>
      <c r="KML31" s="917"/>
      <c r="KMM31" s="918"/>
      <c r="KMN31" s="914"/>
      <c r="KMO31" s="912"/>
      <c r="KMP31" s="916"/>
      <c r="KMQ31" s="917"/>
      <c r="KMR31" s="917"/>
      <c r="KMS31" s="917"/>
      <c r="KMT31" s="917"/>
      <c r="KMU31" s="917"/>
      <c r="KMV31" s="917"/>
      <c r="KMW31" s="917"/>
      <c r="KMX31" s="918"/>
      <c r="KMY31" s="914"/>
      <c r="KMZ31" s="912"/>
      <c r="KNA31" s="916"/>
      <c r="KNB31" s="917"/>
      <c r="KNC31" s="917"/>
      <c r="KND31" s="917"/>
      <c r="KNE31" s="917"/>
      <c r="KNF31" s="917"/>
      <c r="KNG31" s="917"/>
      <c r="KNH31" s="917"/>
      <c r="KNI31" s="918"/>
      <c r="KNJ31" s="914"/>
      <c r="KNK31" s="912"/>
      <c r="KNL31" s="916"/>
      <c r="KNM31" s="917"/>
      <c r="KNN31" s="917"/>
      <c r="KNO31" s="917"/>
      <c r="KNP31" s="917"/>
      <c r="KNQ31" s="917"/>
      <c r="KNR31" s="917"/>
      <c r="KNS31" s="917"/>
      <c r="KNT31" s="918"/>
      <c r="KNU31" s="914"/>
      <c r="KNV31" s="912"/>
      <c r="KNW31" s="916"/>
      <c r="KNX31" s="917"/>
      <c r="KNY31" s="917"/>
      <c r="KNZ31" s="917"/>
      <c r="KOA31" s="917"/>
      <c r="KOB31" s="917"/>
      <c r="KOC31" s="917"/>
      <c r="KOD31" s="917"/>
      <c r="KOE31" s="918"/>
      <c r="KOF31" s="914"/>
      <c r="KOG31" s="912"/>
      <c r="KOH31" s="916"/>
      <c r="KOI31" s="917"/>
      <c r="KOJ31" s="917"/>
      <c r="KOK31" s="917"/>
      <c r="KOL31" s="917"/>
      <c r="KOM31" s="917"/>
      <c r="KON31" s="917"/>
      <c r="KOO31" s="917"/>
      <c r="KOP31" s="918"/>
      <c r="KOQ31" s="914"/>
      <c r="KOR31" s="912"/>
      <c r="KOS31" s="916"/>
      <c r="KOT31" s="917"/>
      <c r="KOU31" s="917"/>
      <c r="KOV31" s="917"/>
      <c r="KOW31" s="917"/>
      <c r="KOX31" s="917"/>
      <c r="KOY31" s="917"/>
      <c r="KOZ31" s="917"/>
      <c r="KPA31" s="918"/>
      <c r="KPB31" s="914"/>
      <c r="KPC31" s="912"/>
      <c r="KPD31" s="916"/>
      <c r="KPE31" s="917"/>
      <c r="KPF31" s="917"/>
      <c r="KPG31" s="917"/>
      <c r="KPH31" s="917"/>
      <c r="KPI31" s="917"/>
      <c r="KPJ31" s="917"/>
      <c r="KPK31" s="917"/>
      <c r="KPL31" s="918"/>
      <c r="KPM31" s="914"/>
      <c r="KPN31" s="912"/>
      <c r="KPO31" s="916"/>
      <c r="KPP31" s="917"/>
      <c r="KPQ31" s="917"/>
      <c r="KPR31" s="917"/>
      <c r="KPS31" s="917"/>
      <c r="KPT31" s="917"/>
      <c r="KPU31" s="917"/>
      <c r="KPV31" s="917"/>
      <c r="KPW31" s="918"/>
      <c r="KPX31" s="914"/>
      <c r="KPY31" s="912"/>
      <c r="KPZ31" s="916"/>
      <c r="KQA31" s="917"/>
      <c r="KQB31" s="917"/>
      <c r="KQC31" s="917"/>
      <c r="KQD31" s="917"/>
      <c r="KQE31" s="917"/>
      <c r="KQF31" s="917"/>
      <c r="KQG31" s="917"/>
      <c r="KQH31" s="918"/>
      <c r="KQI31" s="914"/>
      <c r="KQJ31" s="912"/>
      <c r="KQK31" s="916"/>
      <c r="KQL31" s="917"/>
      <c r="KQM31" s="917"/>
      <c r="KQN31" s="917"/>
      <c r="KQO31" s="917"/>
      <c r="KQP31" s="917"/>
      <c r="KQQ31" s="917"/>
      <c r="KQR31" s="917"/>
      <c r="KQS31" s="918"/>
      <c r="KQT31" s="914"/>
      <c r="KQU31" s="912"/>
      <c r="KQV31" s="916"/>
      <c r="KQW31" s="917"/>
      <c r="KQX31" s="917"/>
      <c r="KQY31" s="917"/>
      <c r="KQZ31" s="917"/>
      <c r="KRA31" s="917"/>
      <c r="KRB31" s="917"/>
      <c r="KRC31" s="917"/>
      <c r="KRD31" s="918"/>
      <c r="KRE31" s="914"/>
      <c r="KRF31" s="912"/>
      <c r="KRG31" s="916"/>
      <c r="KRH31" s="917"/>
      <c r="KRI31" s="917"/>
      <c r="KRJ31" s="917"/>
      <c r="KRK31" s="917"/>
      <c r="KRL31" s="917"/>
      <c r="KRM31" s="917"/>
      <c r="KRN31" s="917"/>
      <c r="KRO31" s="918"/>
      <c r="KRP31" s="914"/>
      <c r="KRQ31" s="912"/>
      <c r="KRR31" s="916"/>
      <c r="KRS31" s="917"/>
      <c r="KRT31" s="917"/>
      <c r="KRU31" s="917"/>
      <c r="KRV31" s="917"/>
      <c r="KRW31" s="917"/>
      <c r="KRX31" s="917"/>
      <c r="KRY31" s="917"/>
      <c r="KRZ31" s="918"/>
      <c r="KSA31" s="914"/>
      <c r="KSB31" s="912"/>
      <c r="KSC31" s="916"/>
      <c r="KSD31" s="917"/>
      <c r="KSE31" s="917"/>
      <c r="KSF31" s="917"/>
      <c r="KSG31" s="917"/>
      <c r="KSH31" s="917"/>
      <c r="KSI31" s="917"/>
      <c r="KSJ31" s="917"/>
      <c r="KSK31" s="918"/>
      <c r="KSL31" s="914"/>
      <c r="KSM31" s="912"/>
      <c r="KSN31" s="916"/>
      <c r="KSO31" s="917"/>
      <c r="KSP31" s="917"/>
      <c r="KSQ31" s="917"/>
      <c r="KSR31" s="917"/>
      <c r="KSS31" s="917"/>
      <c r="KST31" s="917"/>
      <c r="KSU31" s="917"/>
      <c r="KSV31" s="918"/>
      <c r="KSW31" s="914"/>
      <c r="KSX31" s="912"/>
      <c r="KSY31" s="916"/>
      <c r="KSZ31" s="917"/>
      <c r="KTA31" s="917"/>
      <c r="KTB31" s="917"/>
      <c r="KTC31" s="917"/>
      <c r="KTD31" s="917"/>
      <c r="KTE31" s="917"/>
      <c r="KTF31" s="917"/>
      <c r="KTG31" s="918"/>
      <c r="KTH31" s="914"/>
      <c r="KTI31" s="912"/>
      <c r="KTJ31" s="916"/>
      <c r="KTK31" s="917"/>
      <c r="KTL31" s="917"/>
      <c r="KTM31" s="917"/>
      <c r="KTN31" s="917"/>
      <c r="KTO31" s="917"/>
      <c r="KTP31" s="917"/>
      <c r="KTQ31" s="917"/>
      <c r="KTR31" s="918"/>
      <c r="KTS31" s="914"/>
      <c r="KTT31" s="912"/>
      <c r="KTU31" s="916"/>
      <c r="KTV31" s="917"/>
      <c r="KTW31" s="917"/>
      <c r="KTX31" s="917"/>
      <c r="KTY31" s="917"/>
      <c r="KTZ31" s="917"/>
      <c r="KUA31" s="917"/>
      <c r="KUB31" s="917"/>
      <c r="KUC31" s="918"/>
      <c r="KUD31" s="914"/>
      <c r="KUE31" s="912"/>
      <c r="KUF31" s="916"/>
      <c r="KUG31" s="917"/>
      <c r="KUH31" s="917"/>
      <c r="KUI31" s="917"/>
      <c r="KUJ31" s="917"/>
      <c r="KUK31" s="917"/>
      <c r="KUL31" s="917"/>
      <c r="KUM31" s="917"/>
      <c r="KUN31" s="918"/>
      <c r="KUO31" s="914"/>
      <c r="KUP31" s="912"/>
      <c r="KUQ31" s="916"/>
      <c r="KUR31" s="917"/>
      <c r="KUS31" s="917"/>
      <c r="KUT31" s="917"/>
      <c r="KUU31" s="917"/>
      <c r="KUV31" s="917"/>
      <c r="KUW31" s="917"/>
      <c r="KUX31" s="917"/>
      <c r="KUY31" s="918"/>
      <c r="KUZ31" s="914"/>
      <c r="KVA31" s="912"/>
      <c r="KVB31" s="916"/>
      <c r="KVC31" s="917"/>
      <c r="KVD31" s="917"/>
      <c r="KVE31" s="917"/>
      <c r="KVF31" s="917"/>
      <c r="KVG31" s="917"/>
      <c r="KVH31" s="917"/>
      <c r="KVI31" s="917"/>
      <c r="KVJ31" s="918"/>
      <c r="KVK31" s="914"/>
      <c r="KVL31" s="912"/>
      <c r="KVM31" s="916"/>
      <c r="KVN31" s="917"/>
      <c r="KVO31" s="917"/>
      <c r="KVP31" s="917"/>
      <c r="KVQ31" s="917"/>
      <c r="KVR31" s="917"/>
      <c r="KVS31" s="917"/>
      <c r="KVT31" s="917"/>
      <c r="KVU31" s="918"/>
      <c r="KVV31" s="914"/>
      <c r="KVW31" s="912"/>
      <c r="KVX31" s="916"/>
      <c r="KVY31" s="917"/>
      <c r="KVZ31" s="917"/>
      <c r="KWA31" s="917"/>
      <c r="KWB31" s="917"/>
      <c r="KWC31" s="917"/>
      <c r="KWD31" s="917"/>
      <c r="KWE31" s="917"/>
      <c r="KWF31" s="918"/>
      <c r="KWG31" s="914"/>
      <c r="KWH31" s="912"/>
      <c r="KWI31" s="916"/>
      <c r="KWJ31" s="917"/>
      <c r="KWK31" s="917"/>
      <c r="KWL31" s="917"/>
      <c r="KWM31" s="917"/>
      <c r="KWN31" s="917"/>
      <c r="KWO31" s="917"/>
      <c r="KWP31" s="917"/>
      <c r="KWQ31" s="918"/>
      <c r="KWR31" s="914"/>
      <c r="KWS31" s="912"/>
      <c r="KWT31" s="916"/>
      <c r="KWU31" s="917"/>
      <c r="KWV31" s="917"/>
      <c r="KWW31" s="917"/>
      <c r="KWX31" s="917"/>
      <c r="KWY31" s="917"/>
      <c r="KWZ31" s="917"/>
      <c r="KXA31" s="917"/>
      <c r="KXB31" s="918"/>
      <c r="KXC31" s="914"/>
      <c r="KXD31" s="912"/>
      <c r="KXE31" s="916"/>
      <c r="KXF31" s="917"/>
      <c r="KXG31" s="917"/>
      <c r="KXH31" s="917"/>
      <c r="KXI31" s="917"/>
      <c r="KXJ31" s="917"/>
      <c r="KXK31" s="917"/>
      <c r="KXL31" s="917"/>
      <c r="KXM31" s="918"/>
      <c r="KXN31" s="914"/>
      <c r="KXO31" s="912"/>
      <c r="KXP31" s="916"/>
      <c r="KXQ31" s="917"/>
      <c r="KXR31" s="917"/>
      <c r="KXS31" s="917"/>
      <c r="KXT31" s="917"/>
      <c r="KXU31" s="917"/>
      <c r="KXV31" s="917"/>
      <c r="KXW31" s="917"/>
      <c r="KXX31" s="918"/>
      <c r="KXY31" s="914"/>
      <c r="KXZ31" s="912"/>
      <c r="KYA31" s="916"/>
      <c r="KYB31" s="917"/>
      <c r="KYC31" s="917"/>
      <c r="KYD31" s="917"/>
      <c r="KYE31" s="917"/>
      <c r="KYF31" s="917"/>
      <c r="KYG31" s="917"/>
      <c r="KYH31" s="917"/>
      <c r="KYI31" s="918"/>
      <c r="KYJ31" s="914"/>
      <c r="KYK31" s="912"/>
      <c r="KYL31" s="916"/>
      <c r="KYM31" s="917"/>
      <c r="KYN31" s="917"/>
      <c r="KYO31" s="917"/>
      <c r="KYP31" s="917"/>
      <c r="KYQ31" s="917"/>
      <c r="KYR31" s="917"/>
      <c r="KYS31" s="917"/>
      <c r="KYT31" s="918"/>
      <c r="KYU31" s="914"/>
      <c r="KYV31" s="912"/>
      <c r="KYW31" s="916"/>
      <c r="KYX31" s="917"/>
      <c r="KYY31" s="917"/>
      <c r="KYZ31" s="917"/>
      <c r="KZA31" s="917"/>
      <c r="KZB31" s="917"/>
      <c r="KZC31" s="917"/>
      <c r="KZD31" s="917"/>
      <c r="KZE31" s="918"/>
      <c r="KZF31" s="914"/>
      <c r="KZG31" s="912"/>
      <c r="KZH31" s="916"/>
      <c r="KZI31" s="917"/>
      <c r="KZJ31" s="917"/>
      <c r="KZK31" s="917"/>
      <c r="KZL31" s="917"/>
      <c r="KZM31" s="917"/>
      <c r="KZN31" s="917"/>
      <c r="KZO31" s="917"/>
      <c r="KZP31" s="918"/>
      <c r="KZQ31" s="914"/>
      <c r="KZR31" s="912"/>
      <c r="KZS31" s="916"/>
      <c r="KZT31" s="917"/>
      <c r="KZU31" s="917"/>
      <c r="KZV31" s="917"/>
      <c r="KZW31" s="917"/>
      <c r="KZX31" s="917"/>
      <c r="KZY31" s="917"/>
      <c r="KZZ31" s="917"/>
      <c r="LAA31" s="918"/>
      <c r="LAB31" s="914"/>
      <c r="LAC31" s="912"/>
      <c r="LAD31" s="916"/>
      <c r="LAE31" s="917"/>
      <c r="LAF31" s="917"/>
      <c r="LAG31" s="917"/>
      <c r="LAH31" s="917"/>
      <c r="LAI31" s="917"/>
      <c r="LAJ31" s="917"/>
      <c r="LAK31" s="917"/>
      <c r="LAL31" s="918"/>
      <c r="LAM31" s="914"/>
      <c r="LAN31" s="912"/>
      <c r="LAO31" s="916"/>
      <c r="LAP31" s="917"/>
      <c r="LAQ31" s="917"/>
      <c r="LAR31" s="917"/>
      <c r="LAS31" s="917"/>
      <c r="LAT31" s="917"/>
      <c r="LAU31" s="917"/>
      <c r="LAV31" s="917"/>
      <c r="LAW31" s="918"/>
      <c r="LAX31" s="914"/>
      <c r="LAY31" s="912"/>
      <c r="LAZ31" s="916"/>
      <c r="LBA31" s="917"/>
      <c r="LBB31" s="917"/>
      <c r="LBC31" s="917"/>
      <c r="LBD31" s="917"/>
      <c r="LBE31" s="917"/>
      <c r="LBF31" s="917"/>
      <c r="LBG31" s="917"/>
      <c r="LBH31" s="918"/>
      <c r="LBI31" s="914"/>
      <c r="LBJ31" s="912"/>
      <c r="LBK31" s="916"/>
      <c r="LBL31" s="917"/>
      <c r="LBM31" s="917"/>
      <c r="LBN31" s="917"/>
      <c r="LBO31" s="917"/>
      <c r="LBP31" s="917"/>
      <c r="LBQ31" s="917"/>
      <c r="LBR31" s="917"/>
      <c r="LBS31" s="918"/>
      <c r="LBT31" s="914"/>
      <c r="LBU31" s="912"/>
      <c r="LBV31" s="916"/>
      <c r="LBW31" s="917"/>
      <c r="LBX31" s="917"/>
      <c r="LBY31" s="917"/>
      <c r="LBZ31" s="917"/>
      <c r="LCA31" s="917"/>
      <c r="LCB31" s="917"/>
      <c r="LCC31" s="917"/>
      <c r="LCD31" s="918"/>
      <c r="LCE31" s="914"/>
      <c r="LCF31" s="912"/>
      <c r="LCG31" s="916"/>
      <c r="LCH31" s="917"/>
      <c r="LCI31" s="917"/>
      <c r="LCJ31" s="917"/>
      <c r="LCK31" s="917"/>
      <c r="LCL31" s="917"/>
      <c r="LCM31" s="917"/>
      <c r="LCN31" s="917"/>
      <c r="LCO31" s="918"/>
      <c r="LCP31" s="914"/>
      <c r="LCQ31" s="912"/>
      <c r="LCR31" s="916"/>
      <c r="LCS31" s="917"/>
      <c r="LCT31" s="917"/>
      <c r="LCU31" s="917"/>
      <c r="LCV31" s="917"/>
      <c r="LCW31" s="917"/>
      <c r="LCX31" s="917"/>
      <c r="LCY31" s="917"/>
      <c r="LCZ31" s="918"/>
      <c r="LDA31" s="914"/>
      <c r="LDB31" s="912"/>
      <c r="LDC31" s="916"/>
      <c r="LDD31" s="917"/>
      <c r="LDE31" s="917"/>
      <c r="LDF31" s="917"/>
      <c r="LDG31" s="917"/>
      <c r="LDH31" s="917"/>
      <c r="LDI31" s="917"/>
      <c r="LDJ31" s="917"/>
      <c r="LDK31" s="918"/>
      <c r="LDL31" s="914"/>
      <c r="LDM31" s="912"/>
      <c r="LDN31" s="916"/>
      <c r="LDO31" s="917"/>
      <c r="LDP31" s="917"/>
      <c r="LDQ31" s="917"/>
      <c r="LDR31" s="917"/>
      <c r="LDS31" s="917"/>
      <c r="LDT31" s="917"/>
      <c r="LDU31" s="917"/>
      <c r="LDV31" s="918"/>
      <c r="LDW31" s="914"/>
      <c r="LDX31" s="912"/>
      <c r="LDY31" s="916"/>
      <c r="LDZ31" s="917"/>
      <c r="LEA31" s="917"/>
      <c r="LEB31" s="917"/>
      <c r="LEC31" s="917"/>
      <c r="LED31" s="917"/>
      <c r="LEE31" s="917"/>
      <c r="LEF31" s="917"/>
      <c r="LEG31" s="918"/>
      <c r="LEH31" s="914"/>
      <c r="LEI31" s="912"/>
      <c r="LEJ31" s="916"/>
      <c r="LEK31" s="917"/>
      <c r="LEL31" s="917"/>
      <c r="LEM31" s="917"/>
      <c r="LEN31" s="917"/>
      <c r="LEO31" s="917"/>
      <c r="LEP31" s="917"/>
      <c r="LEQ31" s="917"/>
      <c r="LER31" s="918"/>
      <c r="LES31" s="914"/>
      <c r="LET31" s="912"/>
      <c r="LEU31" s="916"/>
      <c r="LEV31" s="917"/>
      <c r="LEW31" s="917"/>
      <c r="LEX31" s="917"/>
      <c r="LEY31" s="917"/>
      <c r="LEZ31" s="917"/>
      <c r="LFA31" s="917"/>
      <c r="LFB31" s="917"/>
      <c r="LFC31" s="918"/>
      <c r="LFD31" s="914"/>
      <c r="LFE31" s="912"/>
      <c r="LFF31" s="916"/>
      <c r="LFG31" s="917"/>
      <c r="LFH31" s="917"/>
      <c r="LFI31" s="917"/>
      <c r="LFJ31" s="917"/>
      <c r="LFK31" s="917"/>
      <c r="LFL31" s="917"/>
      <c r="LFM31" s="917"/>
      <c r="LFN31" s="918"/>
      <c r="LFO31" s="914"/>
      <c r="LFP31" s="912"/>
      <c r="LFQ31" s="916"/>
      <c r="LFR31" s="917"/>
      <c r="LFS31" s="917"/>
      <c r="LFT31" s="917"/>
      <c r="LFU31" s="917"/>
      <c r="LFV31" s="917"/>
      <c r="LFW31" s="917"/>
      <c r="LFX31" s="917"/>
      <c r="LFY31" s="918"/>
      <c r="LFZ31" s="914"/>
      <c r="LGA31" s="912"/>
      <c r="LGB31" s="916"/>
      <c r="LGC31" s="917"/>
      <c r="LGD31" s="917"/>
      <c r="LGE31" s="917"/>
      <c r="LGF31" s="917"/>
      <c r="LGG31" s="917"/>
      <c r="LGH31" s="917"/>
      <c r="LGI31" s="917"/>
      <c r="LGJ31" s="918"/>
      <c r="LGK31" s="914"/>
      <c r="LGL31" s="912"/>
      <c r="LGM31" s="916"/>
      <c r="LGN31" s="917"/>
      <c r="LGO31" s="917"/>
      <c r="LGP31" s="917"/>
      <c r="LGQ31" s="917"/>
      <c r="LGR31" s="917"/>
      <c r="LGS31" s="917"/>
      <c r="LGT31" s="917"/>
      <c r="LGU31" s="918"/>
      <c r="LGV31" s="914"/>
      <c r="LGW31" s="912"/>
      <c r="LGX31" s="916"/>
      <c r="LGY31" s="917"/>
      <c r="LGZ31" s="917"/>
      <c r="LHA31" s="917"/>
      <c r="LHB31" s="917"/>
      <c r="LHC31" s="917"/>
      <c r="LHD31" s="917"/>
      <c r="LHE31" s="917"/>
      <c r="LHF31" s="918"/>
      <c r="LHG31" s="914"/>
      <c r="LHH31" s="912"/>
      <c r="LHI31" s="916"/>
      <c r="LHJ31" s="917"/>
      <c r="LHK31" s="917"/>
      <c r="LHL31" s="917"/>
      <c r="LHM31" s="917"/>
      <c r="LHN31" s="917"/>
      <c r="LHO31" s="917"/>
      <c r="LHP31" s="917"/>
      <c r="LHQ31" s="918"/>
      <c r="LHR31" s="914"/>
      <c r="LHS31" s="912"/>
      <c r="LHT31" s="916"/>
      <c r="LHU31" s="917"/>
      <c r="LHV31" s="917"/>
      <c r="LHW31" s="917"/>
      <c r="LHX31" s="917"/>
      <c r="LHY31" s="917"/>
      <c r="LHZ31" s="917"/>
      <c r="LIA31" s="917"/>
      <c r="LIB31" s="918"/>
      <c r="LIC31" s="914"/>
      <c r="LID31" s="912"/>
      <c r="LIE31" s="916"/>
      <c r="LIF31" s="917"/>
      <c r="LIG31" s="917"/>
      <c r="LIH31" s="917"/>
      <c r="LII31" s="917"/>
      <c r="LIJ31" s="917"/>
      <c r="LIK31" s="917"/>
      <c r="LIL31" s="917"/>
      <c r="LIM31" s="918"/>
      <c r="LIN31" s="914"/>
      <c r="LIO31" s="912"/>
      <c r="LIP31" s="916"/>
      <c r="LIQ31" s="917"/>
      <c r="LIR31" s="917"/>
      <c r="LIS31" s="917"/>
      <c r="LIT31" s="917"/>
      <c r="LIU31" s="917"/>
      <c r="LIV31" s="917"/>
      <c r="LIW31" s="917"/>
      <c r="LIX31" s="918"/>
      <c r="LIY31" s="914"/>
      <c r="LIZ31" s="912"/>
      <c r="LJA31" s="916"/>
      <c r="LJB31" s="917"/>
      <c r="LJC31" s="917"/>
      <c r="LJD31" s="917"/>
      <c r="LJE31" s="917"/>
      <c r="LJF31" s="917"/>
      <c r="LJG31" s="917"/>
      <c r="LJH31" s="917"/>
      <c r="LJI31" s="918"/>
      <c r="LJJ31" s="914"/>
      <c r="LJK31" s="912"/>
      <c r="LJL31" s="916"/>
      <c r="LJM31" s="917"/>
      <c r="LJN31" s="917"/>
      <c r="LJO31" s="917"/>
      <c r="LJP31" s="917"/>
      <c r="LJQ31" s="917"/>
      <c r="LJR31" s="917"/>
      <c r="LJS31" s="917"/>
      <c r="LJT31" s="918"/>
      <c r="LJU31" s="914"/>
      <c r="LJV31" s="912"/>
      <c r="LJW31" s="916"/>
      <c r="LJX31" s="917"/>
      <c r="LJY31" s="917"/>
      <c r="LJZ31" s="917"/>
      <c r="LKA31" s="917"/>
      <c r="LKB31" s="917"/>
      <c r="LKC31" s="917"/>
      <c r="LKD31" s="917"/>
      <c r="LKE31" s="918"/>
      <c r="LKF31" s="914"/>
      <c r="LKG31" s="912"/>
      <c r="LKH31" s="916"/>
      <c r="LKI31" s="917"/>
      <c r="LKJ31" s="917"/>
      <c r="LKK31" s="917"/>
      <c r="LKL31" s="917"/>
      <c r="LKM31" s="917"/>
      <c r="LKN31" s="917"/>
      <c r="LKO31" s="917"/>
      <c r="LKP31" s="918"/>
      <c r="LKQ31" s="914"/>
      <c r="LKR31" s="912"/>
      <c r="LKS31" s="916"/>
      <c r="LKT31" s="917"/>
      <c r="LKU31" s="917"/>
      <c r="LKV31" s="917"/>
      <c r="LKW31" s="917"/>
      <c r="LKX31" s="917"/>
      <c r="LKY31" s="917"/>
      <c r="LKZ31" s="917"/>
      <c r="LLA31" s="918"/>
      <c r="LLB31" s="914"/>
      <c r="LLC31" s="912"/>
      <c r="LLD31" s="916"/>
      <c r="LLE31" s="917"/>
      <c r="LLF31" s="917"/>
      <c r="LLG31" s="917"/>
      <c r="LLH31" s="917"/>
      <c r="LLI31" s="917"/>
      <c r="LLJ31" s="917"/>
      <c r="LLK31" s="917"/>
      <c r="LLL31" s="918"/>
      <c r="LLM31" s="914"/>
      <c r="LLN31" s="912"/>
      <c r="LLO31" s="916"/>
      <c r="LLP31" s="917"/>
      <c r="LLQ31" s="917"/>
      <c r="LLR31" s="917"/>
      <c r="LLS31" s="917"/>
      <c r="LLT31" s="917"/>
      <c r="LLU31" s="917"/>
      <c r="LLV31" s="917"/>
      <c r="LLW31" s="918"/>
      <c r="LLX31" s="914"/>
      <c r="LLY31" s="912"/>
      <c r="LLZ31" s="916"/>
      <c r="LMA31" s="917"/>
      <c r="LMB31" s="917"/>
      <c r="LMC31" s="917"/>
      <c r="LMD31" s="917"/>
      <c r="LME31" s="917"/>
      <c r="LMF31" s="917"/>
      <c r="LMG31" s="917"/>
      <c r="LMH31" s="918"/>
      <c r="LMI31" s="914"/>
      <c r="LMJ31" s="912"/>
      <c r="LMK31" s="916"/>
      <c r="LML31" s="917"/>
      <c r="LMM31" s="917"/>
      <c r="LMN31" s="917"/>
      <c r="LMO31" s="917"/>
      <c r="LMP31" s="917"/>
      <c r="LMQ31" s="917"/>
      <c r="LMR31" s="917"/>
      <c r="LMS31" s="918"/>
      <c r="LMT31" s="914"/>
      <c r="LMU31" s="912"/>
      <c r="LMV31" s="916"/>
      <c r="LMW31" s="917"/>
      <c r="LMX31" s="917"/>
      <c r="LMY31" s="917"/>
      <c r="LMZ31" s="917"/>
      <c r="LNA31" s="917"/>
      <c r="LNB31" s="917"/>
      <c r="LNC31" s="917"/>
      <c r="LND31" s="918"/>
      <c r="LNE31" s="914"/>
      <c r="LNF31" s="912"/>
      <c r="LNG31" s="916"/>
      <c r="LNH31" s="917"/>
      <c r="LNI31" s="917"/>
      <c r="LNJ31" s="917"/>
      <c r="LNK31" s="917"/>
      <c r="LNL31" s="917"/>
      <c r="LNM31" s="917"/>
      <c r="LNN31" s="917"/>
      <c r="LNO31" s="918"/>
      <c r="LNP31" s="914"/>
      <c r="LNQ31" s="912"/>
      <c r="LNR31" s="916"/>
      <c r="LNS31" s="917"/>
      <c r="LNT31" s="917"/>
      <c r="LNU31" s="917"/>
      <c r="LNV31" s="917"/>
      <c r="LNW31" s="917"/>
      <c r="LNX31" s="917"/>
      <c r="LNY31" s="917"/>
      <c r="LNZ31" s="918"/>
      <c r="LOA31" s="914"/>
      <c r="LOB31" s="912"/>
      <c r="LOC31" s="916"/>
      <c r="LOD31" s="917"/>
      <c r="LOE31" s="917"/>
      <c r="LOF31" s="917"/>
      <c r="LOG31" s="917"/>
      <c r="LOH31" s="917"/>
      <c r="LOI31" s="917"/>
      <c r="LOJ31" s="917"/>
      <c r="LOK31" s="918"/>
      <c r="LOL31" s="914"/>
      <c r="LOM31" s="912"/>
      <c r="LON31" s="916"/>
      <c r="LOO31" s="917"/>
      <c r="LOP31" s="917"/>
      <c r="LOQ31" s="917"/>
      <c r="LOR31" s="917"/>
      <c r="LOS31" s="917"/>
      <c r="LOT31" s="917"/>
      <c r="LOU31" s="917"/>
      <c r="LOV31" s="918"/>
      <c r="LOW31" s="914"/>
      <c r="LOX31" s="912"/>
      <c r="LOY31" s="916"/>
      <c r="LOZ31" s="917"/>
      <c r="LPA31" s="917"/>
      <c r="LPB31" s="917"/>
      <c r="LPC31" s="917"/>
      <c r="LPD31" s="917"/>
      <c r="LPE31" s="917"/>
      <c r="LPF31" s="917"/>
      <c r="LPG31" s="918"/>
      <c r="LPH31" s="914"/>
      <c r="LPI31" s="912"/>
      <c r="LPJ31" s="916"/>
      <c r="LPK31" s="917"/>
      <c r="LPL31" s="917"/>
      <c r="LPM31" s="917"/>
      <c r="LPN31" s="917"/>
      <c r="LPO31" s="917"/>
      <c r="LPP31" s="917"/>
      <c r="LPQ31" s="917"/>
      <c r="LPR31" s="918"/>
      <c r="LPS31" s="914"/>
      <c r="LPT31" s="912"/>
      <c r="LPU31" s="916"/>
      <c r="LPV31" s="917"/>
      <c r="LPW31" s="917"/>
      <c r="LPX31" s="917"/>
      <c r="LPY31" s="917"/>
      <c r="LPZ31" s="917"/>
      <c r="LQA31" s="917"/>
      <c r="LQB31" s="917"/>
      <c r="LQC31" s="918"/>
      <c r="LQD31" s="914"/>
      <c r="LQE31" s="912"/>
      <c r="LQF31" s="916"/>
      <c r="LQG31" s="917"/>
      <c r="LQH31" s="917"/>
      <c r="LQI31" s="917"/>
      <c r="LQJ31" s="917"/>
      <c r="LQK31" s="917"/>
      <c r="LQL31" s="917"/>
      <c r="LQM31" s="917"/>
      <c r="LQN31" s="918"/>
      <c r="LQO31" s="914"/>
      <c r="LQP31" s="912"/>
      <c r="LQQ31" s="916"/>
      <c r="LQR31" s="917"/>
      <c r="LQS31" s="917"/>
      <c r="LQT31" s="917"/>
      <c r="LQU31" s="917"/>
      <c r="LQV31" s="917"/>
      <c r="LQW31" s="917"/>
      <c r="LQX31" s="917"/>
      <c r="LQY31" s="918"/>
      <c r="LQZ31" s="914"/>
      <c r="LRA31" s="912"/>
      <c r="LRB31" s="916"/>
      <c r="LRC31" s="917"/>
      <c r="LRD31" s="917"/>
      <c r="LRE31" s="917"/>
      <c r="LRF31" s="917"/>
      <c r="LRG31" s="917"/>
      <c r="LRH31" s="917"/>
      <c r="LRI31" s="917"/>
      <c r="LRJ31" s="918"/>
      <c r="LRK31" s="914"/>
      <c r="LRL31" s="912"/>
      <c r="LRM31" s="916"/>
      <c r="LRN31" s="917"/>
      <c r="LRO31" s="917"/>
      <c r="LRP31" s="917"/>
      <c r="LRQ31" s="917"/>
      <c r="LRR31" s="917"/>
      <c r="LRS31" s="917"/>
      <c r="LRT31" s="917"/>
      <c r="LRU31" s="918"/>
      <c r="LRV31" s="914"/>
      <c r="LRW31" s="912"/>
      <c r="LRX31" s="916"/>
      <c r="LRY31" s="917"/>
      <c r="LRZ31" s="917"/>
      <c r="LSA31" s="917"/>
      <c r="LSB31" s="917"/>
      <c r="LSC31" s="917"/>
      <c r="LSD31" s="917"/>
      <c r="LSE31" s="917"/>
      <c r="LSF31" s="918"/>
      <c r="LSG31" s="914"/>
      <c r="LSH31" s="912"/>
      <c r="LSI31" s="916"/>
      <c r="LSJ31" s="917"/>
      <c r="LSK31" s="917"/>
      <c r="LSL31" s="917"/>
      <c r="LSM31" s="917"/>
      <c r="LSN31" s="917"/>
      <c r="LSO31" s="917"/>
      <c r="LSP31" s="917"/>
      <c r="LSQ31" s="918"/>
      <c r="LSR31" s="914"/>
      <c r="LSS31" s="912"/>
      <c r="LST31" s="916"/>
      <c r="LSU31" s="917"/>
      <c r="LSV31" s="917"/>
      <c r="LSW31" s="917"/>
      <c r="LSX31" s="917"/>
      <c r="LSY31" s="917"/>
      <c r="LSZ31" s="917"/>
      <c r="LTA31" s="917"/>
      <c r="LTB31" s="918"/>
      <c r="LTC31" s="914"/>
      <c r="LTD31" s="912"/>
      <c r="LTE31" s="916"/>
      <c r="LTF31" s="917"/>
      <c r="LTG31" s="917"/>
      <c r="LTH31" s="917"/>
      <c r="LTI31" s="917"/>
      <c r="LTJ31" s="917"/>
      <c r="LTK31" s="917"/>
      <c r="LTL31" s="917"/>
      <c r="LTM31" s="918"/>
      <c r="LTN31" s="914"/>
      <c r="LTO31" s="912"/>
      <c r="LTP31" s="916"/>
      <c r="LTQ31" s="917"/>
      <c r="LTR31" s="917"/>
      <c r="LTS31" s="917"/>
      <c r="LTT31" s="917"/>
      <c r="LTU31" s="917"/>
      <c r="LTV31" s="917"/>
      <c r="LTW31" s="917"/>
      <c r="LTX31" s="918"/>
      <c r="LTY31" s="914"/>
      <c r="LTZ31" s="912"/>
      <c r="LUA31" s="916"/>
      <c r="LUB31" s="917"/>
      <c r="LUC31" s="917"/>
      <c r="LUD31" s="917"/>
      <c r="LUE31" s="917"/>
      <c r="LUF31" s="917"/>
      <c r="LUG31" s="917"/>
      <c r="LUH31" s="917"/>
      <c r="LUI31" s="918"/>
      <c r="LUJ31" s="914"/>
      <c r="LUK31" s="912"/>
      <c r="LUL31" s="916"/>
      <c r="LUM31" s="917"/>
      <c r="LUN31" s="917"/>
      <c r="LUO31" s="917"/>
      <c r="LUP31" s="917"/>
      <c r="LUQ31" s="917"/>
      <c r="LUR31" s="917"/>
      <c r="LUS31" s="917"/>
      <c r="LUT31" s="918"/>
      <c r="LUU31" s="914"/>
      <c r="LUV31" s="912"/>
      <c r="LUW31" s="916"/>
      <c r="LUX31" s="917"/>
      <c r="LUY31" s="917"/>
      <c r="LUZ31" s="917"/>
      <c r="LVA31" s="917"/>
      <c r="LVB31" s="917"/>
      <c r="LVC31" s="917"/>
      <c r="LVD31" s="917"/>
      <c r="LVE31" s="918"/>
      <c r="LVF31" s="914"/>
      <c r="LVG31" s="912"/>
      <c r="LVH31" s="916"/>
      <c r="LVI31" s="917"/>
      <c r="LVJ31" s="917"/>
      <c r="LVK31" s="917"/>
      <c r="LVL31" s="917"/>
      <c r="LVM31" s="917"/>
      <c r="LVN31" s="917"/>
      <c r="LVO31" s="917"/>
      <c r="LVP31" s="918"/>
      <c r="LVQ31" s="914"/>
      <c r="LVR31" s="912"/>
      <c r="LVS31" s="916"/>
      <c r="LVT31" s="917"/>
      <c r="LVU31" s="917"/>
      <c r="LVV31" s="917"/>
      <c r="LVW31" s="917"/>
      <c r="LVX31" s="917"/>
      <c r="LVY31" s="917"/>
      <c r="LVZ31" s="917"/>
      <c r="LWA31" s="918"/>
      <c r="LWB31" s="914"/>
      <c r="LWC31" s="912"/>
      <c r="LWD31" s="916"/>
      <c r="LWE31" s="917"/>
      <c r="LWF31" s="917"/>
      <c r="LWG31" s="917"/>
      <c r="LWH31" s="917"/>
      <c r="LWI31" s="917"/>
      <c r="LWJ31" s="917"/>
      <c r="LWK31" s="917"/>
      <c r="LWL31" s="918"/>
      <c r="LWM31" s="914"/>
      <c r="LWN31" s="912"/>
      <c r="LWO31" s="916"/>
      <c r="LWP31" s="917"/>
      <c r="LWQ31" s="917"/>
      <c r="LWR31" s="917"/>
      <c r="LWS31" s="917"/>
      <c r="LWT31" s="917"/>
      <c r="LWU31" s="917"/>
      <c r="LWV31" s="917"/>
      <c r="LWW31" s="918"/>
      <c r="LWX31" s="914"/>
      <c r="LWY31" s="912"/>
      <c r="LWZ31" s="916"/>
      <c r="LXA31" s="917"/>
      <c r="LXB31" s="917"/>
      <c r="LXC31" s="917"/>
      <c r="LXD31" s="917"/>
      <c r="LXE31" s="917"/>
      <c r="LXF31" s="917"/>
      <c r="LXG31" s="917"/>
      <c r="LXH31" s="918"/>
      <c r="LXI31" s="914"/>
      <c r="LXJ31" s="912"/>
      <c r="LXK31" s="916"/>
      <c r="LXL31" s="917"/>
      <c r="LXM31" s="917"/>
      <c r="LXN31" s="917"/>
      <c r="LXO31" s="917"/>
      <c r="LXP31" s="917"/>
      <c r="LXQ31" s="917"/>
      <c r="LXR31" s="917"/>
      <c r="LXS31" s="918"/>
      <c r="LXT31" s="914"/>
      <c r="LXU31" s="912"/>
      <c r="LXV31" s="916"/>
      <c r="LXW31" s="917"/>
      <c r="LXX31" s="917"/>
      <c r="LXY31" s="917"/>
      <c r="LXZ31" s="917"/>
      <c r="LYA31" s="917"/>
      <c r="LYB31" s="917"/>
      <c r="LYC31" s="917"/>
      <c r="LYD31" s="918"/>
      <c r="LYE31" s="914"/>
      <c r="LYF31" s="912"/>
      <c r="LYG31" s="916"/>
      <c r="LYH31" s="917"/>
      <c r="LYI31" s="917"/>
      <c r="LYJ31" s="917"/>
      <c r="LYK31" s="917"/>
      <c r="LYL31" s="917"/>
      <c r="LYM31" s="917"/>
      <c r="LYN31" s="917"/>
      <c r="LYO31" s="918"/>
      <c r="LYP31" s="914"/>
      <c r="LYQ31" s="912"/>
      <c r="LYR31" s="916"/>
      <c r="LYS31" s="917"/>
      <c r="LYT31" s="917"/>
      <c r="LYU31" s="917"/>
      <c r="LYV31" s="917"/>
      <c r="LYW31" s="917"/>
      <c r="LYX31" s="917"/>
      <c r="LYY31" s="917"/>
      <c r="LYZ31" s="918"/>
      <c r="LZA31" s="914"/>
      <c r="LZB31" s="912"/>
      <c r="LZC31" s="916"/>
      <c r="LZD31" s="917"/>
      <c r="LZE31" s="917"/>
      <c r="LZF31" s="917"/>
      <c r="LZG31" s="917"/>
      <c r="LZH31" s="917"/>
      <c r="LZI31" s="917"/>
      <c r="LZJ31" s="917"/>
      <c r="LZK31" s="918"/>
      <c r="LZL31" s="914"/>
      <c r="LZM31" s="912"/>
      <c r="LZN31" s="916"/>
      <c r="LZO31" s="917"/>
      <c r="LZP31" s="917"/>
      <c r="LZQ31" s="917"/>
      <c r="LZR31" s="917"/>
      <c r="LZS31" s="917"/>
      <c r="LZT31" s="917"/>
      <c r="LZU31" s="917"/>
      <c r="LZV31" s="918"/>
      <c r="LZW31" s="914"/>
      <c r="LZX31" s="912"/>
      <c r="LZY31" s="916"/>
      <c r="LZZ31" s="917"/>
      <c r="MAA31" s="917"/>
      <c r="MAB31" s="917"/>
      <c r="MAC31" s="917"/>
      <c r="MAD31" s="917"/>
      <c r="MAE31" s="917"/>
      <c r="MAF31" s="917"/>
      <c r="MAG31" s="918"/>
      <c r="MAH31" s="914"/>
      <c r="MAI31" s="912"/>
      <c r="MAJ31" s="916"/>
      <c r="MAK31" s="917"/>
      <c r="MAL31" s="917"/>
      <c r="MAM31" s="917"/>
      <c r="MAN31" s="917"/>
      <c r="MAO31" s="917"/>
      <c r="MAP31" s="917"/>
      <c r="MAQ31" s="917"/>
      <c r="MAR31" s="918"/>
      <c r="MAS31" s="914"/>
      <c r="MAT31" s="912"/>
      <c r="MAU31" s="916"/>
      <c r="MAV31" s="917"/>
      <c r="MAW31" s="917"/>
      <c r="MAX31" s="917"/>
      <c r="MAY31" s="917"/>
      <c r="MAZ31" s="917"/>
      <c r="MBA31" s="917"/>
      <c r="MBB31" s="917"/>
      <c r="MBC31" s="918"/>
      <c r="MBD31" s="914"/>
      <c r="MBE31" s="912"/>
      <c r="MBF31" s="916"/>
      <c r="MBG31" s="917"/>
      <c r="MBH31" s="917"/>
      <c r="MBI31" s="917"/>
      <c r="MBJ31" s="917"/>
      <c r="MBK31" s="917"/>
      <c r="MBL31" s="917"/>
      <c r="MBM31" s="917"/>
      <c r="MBN31" s="918"/>
      <c r="MBO31" s="914"/>
      <c r="MBP31" s="912"/>
      <c r="MBQ31" s="916"/>
      <c r="MBR31" s="917"/>
      <c r="MBS31" s="917"/>
      <c r="MBT31" s="917"/>
      <c r="MBU31" s="917"/>
      <c r="MBV31" s="917"/>
      <c r="MBW31" s="917"/>
      <c r="MBX31" s="917"/>
      <c r="MBY31" s="918"/>
      <c r="MBZ31" s="914"/>
      <c r="MCA31" s="912"/>
      <c r="MCB31" s="916"/>
      <c r="MCC31" s="917"/>
      <c r="MCD31" s="917"/>
      <c r="MCE31" s="917"/>
      <c r="MCF31" s="917"/>
      <c r="MCG31" s="917"/>
      <c r="MCH31" s="917"/>
      <c r="MCI31" s="917"/>
      <c r="MCJ31" s="918"/>
      <c r="MCK31" s="914"/>
      <c r="MCL31" s="912"/>
      <c r="MCM31" s="916"/>
      <c r="MCN31" s="917"/>
      <c r="MCO31" s="917"/>
      <c r="MCP31" s="917"/>
      <c r="MCQ31" s="917"/>
      <c r="MCR31" s="917"/>
      <c r="MCS31" s="917"/>
      <c r="MCT31" s="917"/>
      <c r="MCU31" s="918"/>
      <c r="MCV31" s="914"/>
      <c r="MCW31" s="912"/>
      <c r="MCX31" s="916"/>
      <c r="MCY31" s="917"/>
      <c r="MCZ31" s="917"/>
      <c r="MDA31" s="917"/>
      <c r="MDB31" s="917"/>
      <c r="MDC31" s="917"/>
      <c r="MDD31" s="917"/>
      <c r="MDE31" s="917"/>
      <c r="MDF31" s="918"/>
      <c r="MDG31" s="914"/>
      <c r="MDH31" s="912"/>
      <c r="MDI31" s="916"/>
      <c r="MDJ31" s="917"/>
      <c r="MDK31" s="917"/>
      <c r="MDL31" s="917"/>
      <c r="MDM31" s="917"/>
      <c r="MDN31" s="917"/>
      <c r="MDO31" s="917"/>
      <c r="MDP31" s="917"/>
      <c r="MDQ31" s="918"/>
      <c r="MDR31" s="914"/>
      <c r="MDS31" s="912"/>
      <c r="MDT31" s="916"/>
      <c r="MDU31" s="917"/>
      <c r="MDV31" s="917"/>
      <c r="MDW31" s="917"/>
      <c r="MDX31" s="917"/>
      <c r="MDY31" s="917"/>
      <c r="MDZ31" s="917"/>
      <c r="MEA31" s="917"/>
      <c r="MEB31" s="918"/>
      <c r="MEC31" s="914"/>
      <c r="MED31" s="912"/>
      <c r="MEE31" s="916"/>
      <c r="MEF31" s="917"/>
      <c r="MEG31" s="917"/>
      <c r="MEH31" s="917"/>
      <c r="MEI31" s="917"/>
      <c r="MEJ31" s="917"/>
      <c r="MEK31" s="917"/>
      <c r="MEL31" s="917"/>
      <c r="MEM31" s="918"/>
      <c r="MEN31" s="914"/>
      <c r="MEO31" s="912"/>
      <c r="MEP31" s="916"/>
      <c r="MEQ31" s="917"/>
      <c r="MER31" s="917"/>
      <c r="MES31" s="917"/>
      <c r="MET31" s="917"/>
      <c r="MEU31" s="917"/>
      <c r="MEV31" s="917"/>
      <c r="MEW31" s="917"/>
      <c r="MEX31" s="918"/>
      <c r="MEY31" s="914"/>
      <c r="MEZ31" s="912"/>
      <c r="MFA31" s="916"/>
      <c r="MFB31" s="917"/>
      <c r="MFC31" s="917"/>
      <c r="MFD31" s="917"/>
      <c r="MFE31" s="917"/>
      <c r="MFF31" s="917"/>
      <c r="MFG31" s="917"/>
      <c r="MFH31" s="917"/>
      <c r="MFI31" s="918"/>
      <c r="MFJ31" s="914"/>
      <c r="MFK31" s="912"/>
      <c r="MFL31" s="916"/>
      <c r="MFM31" s="917"/>
      <c r="MFN31" s="917"/>
      <c r="MFO31" s="917"/>
      <c r="MFP31" s="917"/>
      <c r="MFQ31" s="917"/>
      <c r="MFR31" s="917"/>
      <c r="MFS31" s="917"/>
      <c r="MFT31" s="918"/>
      <c r="MFU31" s="914"/>
      <c r="MFV31" s="912"/>
      <c r="MFW31" s="916"/>
      <c r="MFX31" s="917"/>
      <c r="MFY31" s="917"/>
      <c r="MFZ31" s="917"/>
      <c r="MGA31" s="917"/>
      <c r="MGB31" s="917"/>
      <c r="MGC31" s="917"/>
      <c r="MGD31" s="917"/>
      <c r="MGE31" s="918"/>
      <c r="MGF31" s="914"/>
      <c r="MGG31" s="912"/>
      <c r="MGH31" s="916"/>
      <c r="MGI31" s="917"/>
      <c r="MGJ31" s="917"/>
      <c r="MGK31" s="917"/>
      <c r="MGL31" s="917"/>
      <c r="MGM31" s="917"/>
      <c r="MGN31" s="917"/>
      <c r="MGO31" s="917"/>
      <c r="MGP31" s="918"/>
      <c r="MGQ31" s="914"/>
      <c r="MGR31" s="912"/>
      <c r="MGS31" s="916"/>
      <c r="MGT31" s="917"/>
      <c r="MGU31" s="917"/>
      <c r="MGV31" s="917"/>
      <c r="MGW31" s="917"/>
      <c r="MGX31" s="917"/>
      <c r="MGY31" s="917"/>
      <c r="MGZ31" s="917"/>
      <c r="MHA31" s="918"/>
      <c r="MHB31" s="914"/>
      <c r="MHC31" s="912"/>
      <c r="MHD31" s="916"/>
      <c r="MHE31" s="917"/>
      <c r="MHF31" s="917"/>
      <c r="MHG31" s="917"/>
      <c r="MHH31" s="917"/>
      <c r="MHI31" s="917"/>
      <c r="MHJ31" s="917"/>
      <c r="MHK31" s="917"/>
      <c r="MHL31" s="918"/>
      <c r="MHM31" s="914"/>
      <c r="MHN31" s="912"/>
      <c r="MHO31" s="916"/>
      <c r="MHP31" s="917"/>
      <c r="MHQ31" s="917"/>
      <c r="MHR31" s="917"/>
      <c r="MHS31" s="917"/>
      <c r="MHT31" s="917"/>
      <c r="MHU31" s="917"/>
      <c r="MHV31" s="917"/>
      <c r="MHW31" s="918"/>
      <c r="MHX31" s="914"/>
      <c r="MHY31" s="912"/>
      <c r="MHZ31" s="916"/>
      <c r="MIA31" s="917"/>
      <c r="MIB31" s="917"/>
      <c r="MIC31" s="917"/>
      <c r="MID31" s="917"/>
      <c r="MIE31" s="917"/>
      <c r="MIF31" s="917"/>
      <c r="MIG31" s="917"/>
      <c r="MIH31" s="918"/>
      <c r="MII31" s="914"/>
      <c r="MIJ31" s="912"/>
      <c r="MIK31" s="916"/>
      <c r="MIL31" s="917"/>
      <c r="MIM31" s="917"/>
      <c r="MIN31" s="917"/>
      <c r="MIO31" s="917"/>
      <c r="MIP31" s="917"/>
      <c r="MIQ31" s="917"/>
      <c r="MIR31" s="917"/>
      <c r="MIS31" s="918"/>
      <c r="MIT31" s="914"/>
      <c r="MIU31" s="912"/>
      <c r="MIV31" s="916"/>
      <c r="MIW31" s="917"/>
      <c r="MIX31" s="917"/>
      <c r="MIY31" s="917"/>
      <c r="MIZ31" s="917"/>
      <c r="MJA31" s="917"/>
      <c r="MJB31" s="917"/>
      <c r="MJC31" s="917"/>
      <c r="MJD31" s="918"/>
      <c r="MJE31" s="914"/>
      <c r="MJF31" s="912"/>
      <c r="MJG31" s="916"/>
      <c r="MJH31" s="917"/>
      <c r="MJI31" s="917"/>
      <c r="MJJ31" s="917"/>
      <c r="MJK31" s="917"/>
      <c r="MJL31" s="917"/>
      <c r="MJM31" s="917"/>
      <c r="MJN31" s="917"/>
      <c r="MJO31" s="918"/>
      <c r="MJP31" s="914"/>
      <c r="MJQ31" s="912"/>
      <c r="MJR31" s="916"/>
      <c r="MJS31" s="917"/>
      <c r="MJT31" s="917"/>
      <c r="MJU31" s="917"/>
      <c r="MJV31" s="917"/>
      <c r="MJW31" s="917"/>
      <c r="MJX31" s="917"/>
      <c r="MJY31" s="917"/>
      <c r="MJZ31" s="918"/>
      <c r="MKA31" s="914"/>
      <c r="MKB31" s="912"/>
      <c r="MKC31" s="916"/>
      <c r="MKD31" s="917"/>
      <c r="MKE31" s="917"/>
      <c r="MKF31" s="917"/>
      <c r="MKG31" s="917"/>
      <c r="MKH31" s="917"/>
      <c r="MKI31" s="917"/>
      <c r="MKJ31" s="917"/>
      <c r="MKK31" s="918"/>
      <c r="MKL31" s="914"/>
      <c r="MKM31" s="912"/>
      <c r="MKN31" s="916"/>
      <c r="MKO31" s="917"/>
      <c r="MKP31" s="917"/>
      <c r="MKQ31" s="917"/>
      <c r="MKR31" s="917"/>
      <c r="MKS31" s="917"/>
      <c r="MKT31" s="917"/>
      <c r="MKU31" s="917"/>
      <c r="MKV31" s="918"/>
      <c r="MKW31" s="914"/>
      <c r="MKX31" s="912"/>
      <c r="MKY31" s="916"/>
      <c r="MKZ31" s="917"/>
      <c r="MLA31" s="917"/>
      <c r="MLB31" s="917"/>
      <c r="MLC31" s="917"/>
      <c r="MLD31" s="917"/>
      <c r="MLE31" s="917"/>
      <c r="MLF31" s="917"/>
      <c r="MLG31" s="918"/>
      <c r="MLH31" s="914"/>
      <c r="MLI31" s="912"/>
      <c r="MLJ31" s="916"/>
      <c r="MLK31" s="917"/>
      <c r="MLL31" s="917"/>
      <c r="MLM31" s="917"/>
      <c r="MLN31" s="917"/>
      <c r="MLO31" s="917"/>
      <c r="MLP31" s="917"/>
      <c r="MLQ31" s="917"/>
      <c r="MLR31" s="918"/>
      <c r="MLS31" s="914"/>
      <c r="MLT31" s="912"/>
      <c r="MLU31" s="916"/>
      <c r="MLV31" s="917"/>
      <c r="MLW31" s="917"/>
      <c r="MLX31" s="917"/>
      <c r="MLY31" s="917"/>
      <c r="MLZ31" s="917"/>
      <c r="MMA31" s="917"/>
      <c r="MMB31" s="917"/>
      <c r="MMC31" s="918"/>
      <c r="MMD31" s="914"/>
      <c r="MME31" s="912"/>
      <c r="MMF31" s="916"/>
      <c r="MMG31" s="917"/>
      <c r="MMH31" s="917"/>
      <c r="MMI31" s="917"/>
      <c r="MMJ31" s="917"/>
      <c r="MMK31" s="917"/>
      <c r="MML31" s="917"/>
      <c r="MMM31" s="917"/>
      <c r="MMN31" s="918"/>
      <c r="MMO31" s="914"/>
      <c r="MMP31" s="912"/>
      <c r="MMQ31" s="916"/>
      <c r="MMR31" s="917"/>
      <c r="MMS31" s="917"/>
      <c r="MMT31" s="917"/>
      <c r="MMU31" s="917"/>
      <c r="MMV31" s="917"/>
      <c r="MMW31" s="917"/>
      <c r="MMX31" s="917"/>
      <c r="MMY31" s="918"/>
      <c r="MMZ31" s="914"/>
      <c r="MNA31" s="912"/>
      <c r="MNB31" s="916"/>
      <c r="MNC31" s="917"/>
      <c r="MND31" s="917"/>
      <c r="MNE31" s="917"/>
      <c r="MNF31" s="917"/>
      <c r="MNG31" s="917"/>
      <c r="MNH31" s="917"/>
      <c r="MNI31" s="917"/>
      <c r="MNJ31" s="918"/>
      <c r="MNK31" s="914"/>
      <c r="MNL31" s="912"/>
      <c r="MNM31" s="916"/>
      <c r="MNN31" s="917"/>
      <c r="MNO31" s="917"/>
      <c r="MNP31" s="917"/>
      <c r="MNQ31" s="917"/>
      <c r="MNR31" s="917"/>
      <c r="MNS31" s="917"/>
      <c r="MNT31" s="917"/>
      <c r="MNU31" s="918"/>
      <c r="MNV31" s="914"/>
      <c r="MNW31" s="912"/>
      <c r="MNX31" s="916"/>
      <c r="MNY31" s="917"/>
      <c r="MNZ31" s="917"/>
      <c r="MOA31" s="917"/>
      <c r="MOB31" s="917"/>
      <c r="MOC31" s="917"/>
      <c r="MOD31" s="917"/>
      <c r="MOE31" s="917"/>
      <c r="MOF31" s="918"/>
      <c r="MOG31" s="914"/>
      <c r="MOH31" s="912"/>
      <c r="MOI31" s="916"/>
      <c r="MOJ31" s="917"/>
      <c r="MOK31" s="917"/>
      <c r="MOL31" s="917"/>
      <c r="MOM31" s="917"/>
      <c r="MON31" s="917"/>
      <c r="MOO31" s="917"/>
      <c r="MOP31" s="917"/>
      <c r="MOQ31" s="918"/>
      <c r="MOR31" s="914"/>
      <c r="MOS31" s="912"/>
      <c r="MOT31" s="916"/>
      <c r="MOU31" s="917"/>
      <c r="MOV31" s="917"/>
      <c r="MOW31" s="917"/>
      <c r="MOX31" s="917"/>
      <c r="MOY31" s="917"/>
      <c r="MOZ31" s="917"/>
      <c r="MPA31" s="917"/>
      <c r="MPB31" s="918"/>
      <c r="MPC31" s="914"/>
      <c r="MPD31" s="912"/>
      <c r="MPE31" s="916"/>
      <c r="MPF31" s="917"/>
      <c r="MPG31" s="917"/>
      <c r="MPH31" s="917"/>
      <c r="MPI31" s="917"/>
      <c r="MPJ31" s="917"/>
      <c r="MPK31" s="917"/>
      <c r="MPL31" s="917"/>
      <c r="MPM31" s="918"/>
      <c r="MPN31" s="914"/>
      <c r="MPO31" s="912"/>
      <c r="MPP31" s="916"/>
      <c r="MPQ31" s="917"/>
      <c r="MPR31" s="917"/>
      <c r="MPS31" s="917"/>
      <c r="MPT31" s="917"/>
      <c r="MPU31" s="917"/>
      <c r="MPV31" s="917"/>
      <c r="MPW31" s="917"/>
      <c r="MPX31" s="918"/>
      <c r="MPY31" s="914"/>
      <c r="MPZ31" s="912"/>
      <c r="MQA31" s="916"/>
      <c r="MQB31" s="917"/>
      <c r="MQC31" s="917"/>
      <c r="MQD31" s="917"/>
      <c r="MQE31" s="917"/>
      <c r="MQF31" s="917"/>
      <c r="MQG31" s="917"/>
      <c r="MQH31" s="917"/>
      <c r="MQI31" s="918"/>
      <c r="MQJ31" s="914"/>
      <c r="MQK31" s="912"/>
      <c r="MQL31" s="916"/>
      <c r="MQM31" s="917"/>
      <c r="MQN31" s="917"/>
      <c r="MQO31" s="917"/>
      <c r="MQP31" s="917"/>
      <c r="MQQ31" s="917"/>
      <c r="MQR31" s="917"/>
      <c r="MQS31" s="917"/>
      <c r="MQT31" s="918"/>
      <c r="MQU31" s="914"/>
      <c r="MQV31" s="912"/>
      <c r="MQW31" s="916"/>
      <c r="MQX31" s="917"/>
      <c r="MQY31" s="917"/>
      <c r="MQZ31" s="917"/>
      <c r="MRA31" s="917"/>
      <c r="MRB31" s="917"/>
      <c r="MRC31" s="917"/>
      <c r="MRD31" s="917"/>
      <c r="MRE31" s="918"/>
      <c r="MRF31" s="914"/>
      <c r="MRG31" s="912"/>
      <c r="MRH31" s="916"/>
      <c r="MRI31" s="917"/>
      <c r="MRJ31" s="917"/>
      <c r="MRK31" s="917"/>
      <c r="MRL31" s="917"/>
      <c r="MRM31" s="917"/>
      <c r="MRN31" s="917"/>
      <c r="MRO31" s="917"/>
      <c r="MRP31" s="918"/>
      <c r="MRQ31" s="914"/>
      <c r="MRR31" s="912"/>
      <c r="MRS31" s="916"/>
      <c r="MRT31" s="917"/>
      <c r="MRU31" s="917"/>
      <c r="MRV31" s="917"/>
      <c r="MRW31" s="917"/>
      <c r="MRX31" s="917"/>
      <c r="MRY31" s="917"/>
      <c r="MRZ31" s="917"/>
      <c r="MSA31" s="918"/>
      <c r="MSB31" s="914"/>
      <c r="MSC31" s="912"/>
      <c r="MSD31" s="916"/>
      <c r="MSE31" s="917"/>
      <c r="MSF31" s="917"/>
      <c r="MSG31" s="917"/>
      <c r="MSH31" s="917"/>
      <c r="MSI31" s="917"/>
      <c r="MSJ31" s="917"/>
      <c r="MSK31" s="917"/>
      <c r="MSL31" s="918"/>
      <c r="MSM31" s="914"/>
      <c r="MSN31" s="912"/>
      <c r="MSO31" s="916"/>
      <c r="MSP31" s="917"/>
      <c r="MSQ31" s="917"/>
      <c r="MSR31" s="917"/>
      <c r="MSS31" s="917"/>
      <c r="MST31" s="917"/>
      <c r="MSU31" s="917"/>
      <c r="MSV31" s="917"/>
      <c r="MSW31" s="918"/>
      <c r="MSX31" s="914"/>
      <c r="MSY31" s="912"/>
      <c r="MSZ31" s="916"/>
      <c r="MTA31" s="917"/>
      <c r="MTB31" s="917"/>
      <c r="MTC31" s="917"/>
      <c r="MTD31" s="917"/>
      <c r="MTE31" s="917"/>
      <c r="MTF31" s="917"/>
      <c r="MTG31" s="917"/>
      <c r="MTH31" s="918"/>
      <c r="MTI31" s="914"/>
      <c r="MTJ31" s="912"/>
      <c r="MTK31" s="916"/>
      <c r="MTL31" s="917"/>
      <c r="MTM31" s="917"/>
      <c r="MTN31" s="917"/>
      <c r="MTO31" s="917"/>
      <c r="MTP31" s="917"/>
      <c r="MTQ31" s="917"/>
      <c r="MTR31" s="917"/>
      <c r="MTS31" s="918"/>
      <c r="MTT31" s="914"/>
      <c r="MTU31" s="912"/>
      <c r="MTV31" s="916"/>
      <c r="MTW31" s="917"/>
      <c r="MTX31" s="917"/>
      <c r="MTY31" s="917"/>
      <c r="MTZ31" s="917"/>
      <c r="MUA31" s="917"/>
      <c r="MUB31" s="917"/>
      <c r="MUC31" s="917"/>
      <c r="MUD31" s="918"/>
      <c r="MUE31" s="914"/>
      <c r="MUF31" s="912"/>
      <c r="MUG31" s="916"/>
      <c r="MUH31" s="917"/>
      <c r="MUI31" s="917"/>
      <c r="MUJ31" s="917"/>
      <c r="MUK31" s="917"/>
      <c r="MUL31" s="917"/>
      <c r="MUM31" s="917"/>
      <c r="MUN31" s="917"/>
      <c r="MUO31" s="918"/>
      <c r="MUP31" s="914"/>
      <c r="MUQ31" s="912"/>
      <c r="MUR31" s="916"/>
      <c r="MUS31" s="917"/>
      <c r="MUT31" s="917"/>
      <c r="MUU31" s="917"/>
      <c r="MUV31" s="917"/>
      <c r="MUW31" s="917"/>
      <c r="MUX31" s="917"/>
      <c r="MUY31" s="917"/>
      <c r="MUZ31" s="918"/>
      <c r="MVA31" s="914"/>
      <c r="MVB31" s="912"/>
      <c r="MVC31" s="916"/>
      <c r="MVD31" s="917"/>
      <c r="MVE31" s="917"/>
      <c r="MVF31" s="917"/>
      <c r="MVG31" s="917"/>
      <c r="MVH31" s="917"/>
      <c r="MVI31" s="917"/>
      <c r="MVJ31" s="917"/>
      <c r="MVK31" s="918"/>
      <c r="MVL31" s="914"/>
      <c r="MVM31" s="912"/>
      <c r="MVN31" s="916"/>
      <c r="MVO31" s="917"/>
      <c r="MVP31" s="917"/>
      <c r="MVQ31" s="917"/>
      <c r="MVR31" s="917"/>
      <c r="MVS31" s="917"/>
      <c r="MVT31" s="917"/>
      <c r="MVU31" s="917"/>
      <c r="MVV31" s="918"/>
      <c r="MVW31" s="914"/>
      <c r="MVX31" s="912"/>
      <c r="MVY31" s="916"/>
      <c r="MVZ31" s="917"/>
      <c r="MWA31" s="917"/>
      <c r="MWB31" s="917"/>
      <c r="MWC31" s="917"/>
      <c r="MWD31" s="917"/>
      <c r="MWE31" s="917"/>
      <c r="MWF31" s="917"/>
      <c r="MWG31" s="918"/>
      <c r="MWH31" s="914"/>
      <c r="MWI31" s="912"/>
      <c r="MWJ31" s="916"/>
      <c r="MWK31" s="917"/>
      <c r="MWL31" s="917"/>
      <c r="MWM31" s="917"/>
      <c r="MWN31" s="917"/>
      <c r="MWO31" s="917"/>
      <c r="MWP31" s="917"/>
      <c r="MWQ31" s="917"/>
      <c r="MWR31" s="918"/>
      <c r="MWS31" s="914"/>
      <c r="MWT31" s="912"/>
      <c r="MWU31" s="916"/>
      <c r="MWV31" s="917"/>
      <c r="MWW31" s="917"/>
      <c r="MWX31" s="917"/>
      <c r="MWY31" s="917"/>
      <c r="MWZ31" s="917"/>
      <c r="MXA31" s="917"/>
      <c r="MXB31" s="917"/>
      <c r="MXC31" s="918"/>
      <c r="MXD31" s="914"/>
      <c r="MXE31" s="912"/>
      <c r="MXF31" s="916"/>
      <c r="MXG31" s="917"/>
      <c r="MXH31" s="917"/>
      <c r="MXI31" s="917"/>
      <c r="MXJ31" s="917"/>
      <c r="MXK31" s="917"/>
      <c r="MXL31" s="917"/>
      <c r="MXM31" s="917"/>
      <c r="MXN31" s="918"/>
      <c r="MXO31" s="914"/>
      <c r="MXP31" s="912"/>
      <c r="MXQ31" s="916"/>
      <c r="MXR31" s="917"/>
      <c r="MXS31" s="917"/>
      <c r="MXT31" s="917"/>
      <c r="MXU31" s="917"/>
      <c r="MXV31" s="917"/>
      <c r="MXW31" s="917"/>
      <c r="MXX31" s="917"/>
      <c r="MXY31" s="918"/>
      <c r="MXZ31" s="914"/>
      <c r="MYA31" s="912"/>
      <c r="MYB31" s="916"/>
      <c r="MYC31" s="917"/>
      <c r="MYD31" s="917"/>
      <c r="MYE31" s="917"/>
      <c r="MYF31" s="917"/>
      <c r="MYG31" s="917"/>
      <c r="MYH31" s="917"/>
      <c r="MYI31" s="917"/>
      <c r="MYJ31" s="918"/>
      <c r="MYK31" s="914"/>
      <c r="MYL31" s="912"/>
      <c r="MYM31" s="916"/>
      <c r="MYN31" s="917"/>
      <c r="MYO31" s="917"/>
      <c r="MYP31" s="917"/>
      <c r="MYQ31" s="917"/>
      <c r="MYR31" s="917"/>
      <c r="MYS31" s="917"/>
      <c r="MYT31" s="917"/>
      <c r="MYU31" s="918"/>
      <c r="MYV31" s="914"/>
      <c r="MYW31" s="912"/>
      <c r="MYX31" s="916"/>
      <c r="MYY31" s="917"/>
      <c r="MYZ31" s="917"/>
      <c r="MZA31" s="917"/>
      <c r="MZB31" s="917"/>
      <c r="MZC31" s="917"/>
      <c r="MZD31" s="917"/>
      <c r="MZE31" s="917"/>
      <c r="MZF31" s="918"/>
      <c r="MZG31" s="914"/>
      <c r="MZH31" s="912"/>
      <c r="MZI31" s="916"/>
      <c r="MZJ31" s="917"/>
      <c r="MZK31" s="917"/>
      <c r="MZL31" s="917"/>
      <c r="MZM31" s="917"/>
      <c r="MZN31" s="917"/>
      <c r="MZO31" s="917"/>
      <c r="MZP31" s="917"/>
      <c r="MZQ31" s="918"/>
      <c r="MZR31" s="914"/>
      <c r="MZS31" s="912"/>
      <c r="MZT31" s="916"/>
      <c r="MZU31" s="917"/>
      <c r="MZV31" s="917"/>
      <c r="MZW31" s="917"/>
      <c r="MZX31" s="917"/>
      <c r="MZY31" s="917"/>
      <c r="MZZ31" s="917"/>
      <c r="NAA31" s="917"/>
      <c r="NAB31" s="918"/>
      <c r="NAC31" s="914"/>
      <c r="NAD31" s="912"/>
      <c r="NAE31" s="916"/>
      <c r="NAF31" s="917"/>
      <c r="NAG31" s="917"/>
      <c r="NAH31" s="917"/>
      <c r="NAI31" s="917"/>
      <c r="NAJ31" s="917"/>
      <c r="NAK31" s="917"/>
      <c r="NAL31" s="917"/>
      <c r="NAM31" s="918"/>
      <c r="NAN31" s="914"/>
      <c r="NAO31" s="912"/>
      <c r="NAP31" s="916"/>
      <c r="NAQ31" s="917"/>
      <c r="NAR31" s="917"/>
      <c r="NAS31" s="917"/>
      <c r="NAT31" s="917"/>
      <c r="NAU31" s="917"/>
      <c r="NAV31" s="917"/>
      <c r="NAW31" s="917"/>
      <c r="NAX31" s="918"/>
      <c r="NAY31" s="914"/>
      <c r="NAZ31" s="912"/>
      <c r="NBA31" s="916"/>
      <c r="NBB31" s="917"/>
      <c r="NBC31" s="917"/>
      <c r="NBD31" s="917"/>
      <c r="NBE31" s="917"/>
      <c r="NBF31" s="917"/>
      <c r="NBG31" s="917"/>
      <c r="NBH31" s="917"/>
      <c r="NBI31" s="918"/>
      <c r="NBJ31" s="914"/>
      <c r="NBK31" s="912"/>
      <c r="NBL31" s="916"/>
      <c r="NBM31" s="917"/>
      <c r="NBN31" s="917"/>
      <c r="NBO31" s="917"/>
      <c r="NBP31" s="917"/>
      <c r="NBQ31" s="917"/>
      <c r="NBR31" s="917"/>
      <c r="NBS31" s="917"/>
      <c r="NBT31" s="918"/>
      <c r="NBU31" s="914"/>
      <c r="NBV31" s="912"/>
      <c r="NBW31" s="916"/>
      <c r="NBX31" s="917"/>
      <c r="NBY31" s="917"/>
      <c r="NBZ31" s="917"/>
      <c r="NCA31" s="917"/>
      <c r="NCB31" s="917"/>
      <c r="NCC31" s="917"/>
      <c r="NCD31" s="917"/>
      <c r="NCE31" s="918"/>
      <c r="NCF31" s="914"/>
      <c r="NCG31" s="912"/>
      <c r="NCH31" s="916"/>
      <c r="NCI31" s="917"/>
      <c r="NCJ31" s="917"/>
      <c r="NCK31" s="917"/>
      <c r="NCL31" s="917"/>
      <c r="NCM31" s="917"/>
      <c r="NCN31" s="917"/>
      <c r="NCO31" s="917"/>
      <c r="NCP31" s="918"/>
      <c r="NCQ31" s="914"/>
      <c r="NCR31" s="912"/>
      <c r="NCS31" s="916"/>
      <c r="NCT31" s="917"/>
      <c r="NCU31" s="917"/>
      <c r="NCV31" s="917"/>
      <c r="NCW31" s="917"/>
      <c r="NCX31" s="917"/>
      <c r="NCY31" s="917"/>
      <c r="NCZ31" s="917"/>
      <c r="NDA31" s="918"/>
      <c r="NDB31" s="914"/>
      <c r="NDC31" s="912"/>
      <c r="NDD31" s="916"/>
      <c r="NDE31" s="917"/>
      <c r="NDF31" s="917"/>
      <c r="NDG31" s="917"/>
      <c r="NDH31" s="917"/>
      <c r="NDI31" s="917"/>
      <c r="NDJ31" s="917"/>
      <c r="NDK31" s="917"/>
      <c r="NDL31" s="918"/>
      <c r="NDM31" s="914"/>
      <c r="NDN31" s="912"/>
      <c r="NDO31" s="916"/>
      <c r="NDP31" s="917"/>
      <c r="NDQ31" s="917"/>
      <c r="NDR31" s="917"/>
      <c r="NDS31" s="917"/>
      <c r="NDT31" s="917"/>
      <c r="NDU31" s="917"/>
      <c r="NDV31" s="917"/>
      <c r="NDW31" s="918"/>
      <c r="NDX31" s="914"/>
      <c r="NDY31" s="912"/>
      <c r="NDZ31" s="916"/>
      <c r="NEA31" s="917"/>
      <c r="NEB31" s="917"/>
      <c r="NEC31" s="917"/>
      <c r="NED31" s="917"/>
      <c r="NEE31" s="917"/>
      <c r="NEF31" s="917"/>
      <c r="NEG31" s="917"/>
      <c r="NEH31" s="918"/>
      <c r="NEI31" s="914"/>
      <c r="NEJ31" s="912"/>
      <c r="NEK31" s="916"/>
      <c r="NEL31" s="917"/>
      <c r="NEM31" s="917"/>
      <c r="NEN31" s="917"/>
      <c r="NEO31" s="917"/>
      <c r="NEP31" s="917"/>
      <c r="NEQ31" s="917"/>
      <c r="NER31" s="917"/>
      <c r="NES31" s="918"/>
      <c r="NET31" s="914"/>
      <c r="NEU31" s="912"/>
      <c r="NEV31" s="916"/>
      <c r="NEW31" s="917"/>
      <c r="NEX31" s="917"/>
      <c r="NEY31" s="917"/>
      <c r="NEZ31" s="917"/>
      <c r="NFA31" s="917"/>
      <c r="NFB31" s="917"/>
      <c r="NFC31" s="917"/>
      <c r="NFD31" s="918"/>
      <c r="NFE31" s="914"/>
      <c r="NFF31" s="912"/>
      <c r="NFG31" s="916"/>
      <c r="NFH31" s="917"/>
      <c r="NFI31" s="917"/>
      <c r="NFJ31" s="917"/>
      <c r="NFK31" s="917"/>
      <c r="NFL31" s="917"/>
      <c r="NFM31" s="917"/>
      <c r="NFN31" s="917"/>
      <c r="NFO31" s="918"/>
      <c r="NFP31" s="914"/>
      <c r="NFQ31" s="912"/>
      <c r="NFR31" s="916"/>
      <c r="NFS31" s="917"/>
      <c r="NFT31" s="917"/>
      <c r="NFU31" s="917"/>
      <c r="NFV31" s="917"/>
      <c r="NFW31" s="917"/>
      <c r="NFX31" s="917"/>
      <c r="NFY31" s="917"/>
      <c r="NFZ31" s="918"/>
      <c r="NGA31" s="914"/>
      <c r="NGB31" s="912"/>
      <c r="NGC31" s="916"/>
      <c r="NGD31" s="917"/>
      <c r="NGE31" s="917"/>
      <c r="NGF31" s="917"/>
      <c r="NGG31" s="917"/>
      <c r="NGH31" s="917"/>
      <c r="NGI31" s="917"/>
      <c r="NGJ31" s="917"/>
      <c r="NGK31" s="918"/>
      <c r="NGL31" s="914"/>
      <c r="NGM31" s="912"/>
      <c r="NGN31" s="916"/>
      <c r="NGO31" s="917"/>
      <c r="NGP31" s="917"/>
      <c r="NGQ31" s="917"/>
      <c r="NGR31" s="917"/>
      <c r="NGS31" s="917"/>
      <c r="NGT31" s="917"/>
      <c r="NGU31" s="917"/>
      <c r="NGV31" s="918"/>
      <c r="NGW31" s="914"/>
      <c r="NGX31" s="912"/>
      <c r="NGY31" s="916"/>
      <c r="NGZ31" s="917"/>
      <c r="NHA31" s="917"/>
      <c r="NHB31" s="917"/>
      <c r="NHC31" s="917"/>
      <c r="NHD31" s="917"/>
      <c r="NHE31" s="917"/>
      <c r="NHF31" s="917"/>
      <c r="NHG31" s="918"/>
      <c r="NHH31" s="914"/>
      <c r="NHI31" s="912"/>
      <c r="NHJ31" s="916"/>
      <c r="NHK31" s="917"/>
      <c r="NHL31" s="917"/>
      <c r="NHM31" s="917"/>
      <c r="NHN31" s="917"/>
      <c r="NHO31" s="917"/>
      <c r="NHP31" s="917"/>
      <c r="NHQ31" s="917"/>
      <c r="NHR31" s="918"/>
      <c r="NHS31" s="914"/>
      <c r="NHT31" s="912"/>
      <c r="NHU31" s="916"/>
      <c r="NHV31" s="917"/>
      <c r="NHW31" s="917"/>
      <c r="NHX31" s="917"/>
      <c r="NHY31" s="917"/>
      <c r="NHZ31" s="917"/>
      <c r="NIA31" s="917"/>
      <c r="NIB31" s="917"/>
      <c r="NIC31" s="918"/>
      <c r="NID31" s="914"/>
      <c r="NIE31" s="912"/>
      <c r="NIF31" s="916"/>
      <c r="NIG31" s="917"/>
      <c r="NIH31" s="917"/>
      <c r="NII31" s="917"/>
      <c r="NIJ31" s="917"/>
      <c r="NIK31" s="917"/>
      <c r="NIL31" s="917"/>
      <c r="NIM31" s="917"/>
      <c r="NIN31" s="918"/>
      <c r="NIO31" s="914"/>
      <c r="NIP31" s="912"/>
      <c r="NIQ31" s="916"/>
      <c r="NIR31" s="917"/>
      <c r="NIS31" s="917"/>
      <c r="NIT31" s="917"/>
      <c r="NIU31" s="917"/>
      <c r="NIV31" s="917"/>
      <c r="NIW31" s="917"/>
      <c r="NIX31" s="917"/>
      <c r="NIY31" s="918"/>
      <c r="NIZ31" s="914"/>
      <c r="NJA31" s="912"/>
      <c r="NJB31" s="916"/>
      <c r="NJC31" s="917"/>
      <c r="NJD31" s="917"/>
      <c r="NJE31" s="917"/>
      <c r="NJF31" s="917"/>
      <c r="NJG31" s="917"/>
      <c r="NJH31" s="917"/>
      <c r="NJI31" s="917"/>
      <c r="NJJ31" s="918"/>
      <c r="NJK31" s="914"/>
      <c r="NJL31" s="912"/>
      <c r="NJM31" s="916"/>
      <c r="NJN31" s="917"/>
      <c r="NJO31" s="917"/>
      <c r="NJP31" s="917"/>
      <c r="NJQ31" s="917"/>
      <c r="NJR31" s="917"/>
      <c r="NJS31" s="917"/>
      <c r="NJT31" s="917"/>
      <c r="NJU31" s="918"/>
      <c r="NJV31" s="914"/>
      <c r="NJW31" s="912"/>
      <c r="NJX31" s="916"/>
      <c r="NJY31" s="917"/>
      <c r="NJZ31" s="917"/>
      <c r="NKA31" s="917"/>
      <c r="NKB31" s="917"/>
      <c r="NKC31" s="917"/>
      <c r="NKD31" s="917"/>
      <c r="NKE31" s="917"/>
      <c r="NKF31" s="918"/>
      <c r="NKG31" s="914"/>
      <c r="NKH31" s="912"/>
      <c r="NKI31" s="916"/>
      <c r="NKJ31" s="917"/>
      <c r="NKK31" s="917"/>
      <c r="NKL31" s="917"/>
      <c r="NKM31" s="917"/>
      <c r="NKN31" s="917"/>
      <c r="NKO31" s="917"/>
      <c r="NKP31" s="917"/>
      <c r="NKQ31" s="918"/>
      <c r="NKR31" s="914"/>
      <c r="NKS31" s="912"/>
      <c r="NKT31" s="916"/>
      <c r="NKU31" s="917"/>
      <c r="NKV31" s="917"/>
      <c r="NKW31" s="917"/>
      <c r="NKX31" s="917"/>
      <c r="NKY31" s="917"/>
      <c r="NKZ31" s="917"/>
      <c r="NLA31" s="917"/>
      <c r="NLB31" s="918"/>
      <c r="NLC31" s="914"/>
      <c r="NLD31" s="912"/>
      <c r="NLE31" s="916"/>
      <c r="NLF31" s="917"/>
      <c r="NLG31" s="917"/>
      <c r="NLH31" s="917"/>
      <c r="NLI31" s="917"/>
      <c r="NLJ31" s="917"/>
      <c r="NLK31" s="917"/>
      <c r="NLL31" s="917"/>
      <c r="NLM31" s="918"/>
      <c r="NLN31" s="914"/>
      <c r="NLO31" s="912"/>
      <c r="NLP31" s="916"/>
      <c r="NLQ31" s="917"/>
      <c r="NLR31" s="917"/>
      <c r="NLS31" s="917"/>
      <c r="NLT31" s="917"/>
      <c r="NLU31" s="917"/>
      <c r="NLV31" s="917"/>
      <c r="NLW31" s="917"/>
      <c r="NLX31" s="918"/>
      <c r="NLY31" s="914"/>
      <c r="NLZ31" s="912"/>
      <c r="NMA31" s="916"/>
      <c r="NMB31" s="917"/>
      <c r="NMC31" s="917"/>
      <c r="NMD31" s="917"/>
      <c r="NME31" s="917"/>
      <c r="NMF31" s="917"/>
      <c r="NMG31" s="917"/>
      <c r="NMH31" s="917"/>
      <c r="NMI31" s="918"/>
      <c r="NMJ31" s="914"/>
      <c r="NMK31" s="912"/>
      <c r="NML31" s="916"/>
      <c r="NMM31" s="917"/>
      <c r="NMN31" s="917"/>
      <c r="NMO31" s="917"/>
      <c r="NMP31" s="917"/>
      <c r="NMQ31" s="917"/>
      <c r="NMR31" s="917"/>
      <c r="NMS31" s="917"/>
      <c r="NMT31" s="918"/>
      <c r="NMU31" s="914"/>
      <c r="NMV31" s="912"/>
      <c r="NMW31" s="916"/>
      <c r="NMX31" s="917"/>
      <c r="NMY31" s="917"/>
      <c r="NMZ31" s="917"/>
      <c r="NNA31" s="917"/>
      <c r="NNB31" s="917"/>
      <c r="NNC31" s="917"/>
      <c r="NND31" s="917"/>
      <c r="NNE31" s="918"/>
      <c r="NNF31" s="914"/>
      <c r="NNG31" s="912"/>
      <c r="NNH31" s="916"/>
      <c r="NNI31" s="917"/>
      <c r="NNJ31" s="917"/>
      <c r="NNK31" s="917"/>
      <c r="NNL31" s="917"/>
      <c r="NNM31" s="917"/>
      <c r="NNN31" s="917"/>
      <c r="NNO31" s="917"/>
      <c r="NNP31" s="918"/>
      <c r="NNQ31" s="914"/>
      <c r="NNR31" s="912"/>
      <c r="NNS31" s="916"/>
      <c r="NNT31" s="917"/>
      <c r="NNU31" s="917"/>
      <c r="NNV31" s="917"/>
      <c r="NNW31" s="917"/>
      <c r="NNX31" s="917"/>
      <c r="NNY31" s="917"/>
      <c r="NNZ31" s="917"/>
      <c r="NOA31" s="918"/>
      <c r="NOB31" s="914"/>
      <c r="NOC31" s="912"/>
      <c r="NOD31" s="916"/>
      <c r="NOE31" s="917"/>
      <c r="NOF31" s="917"/>
      <c r="NOG31" s="917"/>
      <c r="NOH31" s="917"/>
      <c r="NOI31" s="917"/>
      <c r="NOJ31" s="917"/>
      <c r="NOK31" s="917"/>
      <c r="NOL31" s="918"/>
      <c r="NOM31" s="914"/>
      <c r="NON31" s="912"/>
      <c r="NOO31" s="916"/>
      <c r="NOP31" s="917"/>
      <c r="NOQ31" s="917"/>
      <c r="NOR31" s="917"/>
      <c r="NOS31" s="917"/>
      <c r="NOT31" s="917"/>
      <c r="NOU31" s="917"/>
      <c r="NOV31" s="917"/>
      <c r="NOW31" s="918"/>
      <c r="NOX31" s="914"/>
      <c r="NOY31" s="912"/>
      <c r="NOZ31" s="916"/>
      <c r="NPA31" s="917"/>
      <c r="NPB31" s="917"/>
      <c r="NPC31" s="917"/>
      <c r="NPD31" s="917"/>
      <c r="NPE31" s="917"/>
      <c r="NPF31" s="917"/>
      <c r="NPG31" s="917"/>
      <c r="NPH31" s="918"/>
      <c r="NPI31" s="914"/>
      <c r="NPJ31" s="912"/>
      <c r="NPK31" s="916"/>
      <c r="NPL31" s="917"/>
      <c r="NPM31" s="917"/>
      <c r="NPN31" s="917"/>
      <c r="NPO31" s="917"/>
      <c r="NPP31" s="917"/>
      <c r="NPQ31" s="917"/>
      <c r="NPR31" s="917"/>
      <c r="NPS31" s="918"/>
      <c r="NPT31" s="914"/>
      <c r="NPU31" s="912"/>
      <c r="NPV31" s="916"/>
      <c r="NPW31" s="917"/>
      <c r="NPX31" s="917"/>
      <c r="NPY31" s="917"/>
      <c r="NPZ31" s="917"/>
      <c r="NQA31" s="917"/>
      <c r="NQB31" s="917"/>
      <c r="NQC31" s="917"/>
      <c r="NQD31" s="918"/>
      <c r="NQE31" s="914"/>
      <c r="NQF31" s="912"/>
      <c r="NQG31" s="916"/>
      <c r="NQH31" s="917"/>
      <c r="NQI31" s="917"/>
      <c r="NQJ31" s="917"/>
      <c r="NQK31" s="917"/>
      <c r="NQL31" s="917"/>
      <c r="NQM31" s="917"/>
      <c r="NQN31" s="917"/>
      <c r="NQO31" s="918"/>
      <c r="NQP31" s="914"/>
      <c r="NQQ31" s="912"/>
      <c r="NQR31" s="916"/>
      <c r="NQS31" s="917"/>
      <c r="NQT31" s="917"/>
      <c r="NQU31" s="917"/>
      <c r="NQV31" s="917"/>
      <c r="NQW31" s="917"/>
      <c r="NQX31" s="917"/>
      <c r="NQY31" s="917"/>
      <c r="NQZ31" s="918"/>
      <c r="NRA31" s="914"/>
      <c r="NRB31" s="912"/>
      <c r="NRC31" s="916"/>
      <c r="NRD31" s="917"/>
      <c r="NRE31" s="917"/>
      <c r="NRF31" s="917"/>
      <c r="NRG31" s="917"/>
      <c r="NRH31" s="917"/>
      <c r="NRI31" s="917"/>
      <c r="NRJ31" s="917"/>
      <c r="NRK31" s="918"/>
      <c r="NRL31" s="914"/>
      <c r="NRM31" s="912"/>
      <c r="NRN31" s="916"/>
      <c r="NRO31" s="917"/>
      <c r="NRP31" s="917"/>
      <c r="NRQ31" s="917"/>
      <c r="NRR31" s="917"/>
      <c r="NRS31" s="917"/>
      <c r="NRT31" s="917"/>
      <c r="NRU31" s="917"/>
      <c r="NRV31" s="918"/>
      <c r="NRW31" s="914"/>
      <c r="NRX31" s="912"/>
      <c r="NRY31" s="916"/>
      <c r="NRZ31" s="917"/>
      <c r="NSA31" s="917"/>
      <c r="NSB31" s="917"/>
      <c r="NSC31" s="917"/>
      <c r="NSD31" s="917"/>
      <c r="NSE31" s="917"/>
      <c r="NSF31" s="917"/>
      <c r="NSG31" s="918"/>
      <c r="NSH31" s="914"/>
      <c r="NSI31" s="912"/>
      <c r="NSJ31" s="916"/>
      <c r="NSK31" s="917"/>
      <c r="NSL31" s="917"/>
      <c r="NSM31" s="917"/>
      <c r="NSN31" s="917"/>
      <c r="NSO31" s="917"/>
      <c r="NSP31" s="917"/>
      <c r="NSQ31" s="917"/>
      <c r="NSR31" s="918"/>
      <c r="NSS31" s="914"/>
      <c r="NST31" s="912"/>
      <c r="NSU31" s="916"/>
      <c r="NSV31" s="917"/>
      <c r="NSW31" s="917"/>
      <c r="NSX31" s="917"/>
      <c r="NSY31" s="917"/>
      <c r="NSZ31" s="917"/>
      <c r="NTA31" s="917"/>
      <c r="NTB31" s="917"/>
      <c r="NTC31" s="918"/>
      <c r="NTD31" s="914"/>
      <c r="NTE31" s="912"/>
      <c r="NTF31" s="916"/>
      <c r="NTG31" s="917"/>
      <c r="NTH31" s="917"/>
      <c r="NTI31" s="917"/>
      <c r="NTJ31" s="917"/>
      <c r="NTK31" s="917"/>
      <c r="NTL31" s="917"/>
      <c r="NTM31" s="917"/>
      <c r="NTN31" s="918"/>
      <c r="NTO31" s="914"/>
      <c r="NTP31" s="912"/>
      <c r="NTQ31" s="916"/>
      <c r="NTR31" s="917"/>
      <c r="NTS31" s="917"/>
      <c r="NTT31" s="917"/>
      <c r="NTU31" s="917"/>
      <c r="NTV31" s="917"/>
      <c r="NTW31" s="917"/>
      <c r="NTX31" s="917"/>
      <c r="NTY31" s="918"/>
      <c r="NTZ31" s="914"/>
      <c r="NUA31" s="912"/>
      <c r="NUB31" s="916"/>
      <c r="NUC31" s="917"/>
      <c r="NUD31" s="917"/>
      <c r="NUE31" s="917"/>
      <c r="NUF31" s="917"/>
      <c r="NUG31" s="917"/>
      <c r="NUH31" s="917"/>
      <c r="NUI31" s="917"/>
      <c r="NUJ31" s="918"/>
      <c r="NUK31" s="914"/>
      <c r="NUL31" s="912"/>
      <c r="NUM31" s="916"/>
      <c r="NUN31" s="917"/>
      <c r="NUO31" s="917"/>
      <c r="NUP31" s="917"/>
      <c r="NUQ31" s="917"/>
      <c r="NUR31" s="917"/>
      <c r="NUS31" s="917"/>
      <c r="NUT31" s="917"/>
      <c r="NUU31" s="918"/>
      <c r="NUV31" s="914"/>
      <c r="NUW31" s="912"/>
      <c r="NUX31" s="916"/>
      <c r="NUY31" s="917"/>
      <c r="NUZ31" s="917"/>
      <c r="NVA31" s="917"/>
      <c r="NVB31" s="917"/>
      <c r="NVC31" s="917"/>
      <c r="NVD31" s="917"/>
      <c r="NVE31" s="917"/>
      <c r="NVF31" s="918"/>
      <c r="NVG31" s="914"/>
      <c r="NVH31" s="912"/>
      <c r="NVI31" s="916"/>
      <c r="NVJ31" s="917"/>
      <c r="NVK31" s="917"/>
      <c r="NVL31" s="917"/>
      <c r="NVM31" s="917"/>
      <c r="NVN31" s="917"/>
      <c r="NVO31" s="917"/>
      <c r="NVP31" s="917"/>
      <c r="NVQ31" s="918"/>
      <c r="NVR31" s="914"/>
      <c r="NVS31" s="912"/>
      <c r="NVT31" s="916"/>
      <c r="NVU31" s="917"/>
      <c r="NVV31" s="917"/>
      <c r="NVW31" s="917"/>
      <c r="NVX31" s="917"/>
      <c r="NVY31" s="917"/>
      <c r="NVZ31" s="917"/>
      <c r="NWA31" s="917"/>
      <c r="NWB31" s="918"/>
      <c r="NWC31" s="914"/>
      <c r="NWD31" s="912"/>
      <c r="NWE31" s="916"/>
      <c r="NWF31" s="917"/>
      <c r="NWG31" s="917"/>
      <c r="NWH31" s="917"/>
      <c r="NWI31" s="917"/>
      <c r="NWJ31" s="917"/>
      <c r="NWK31" s="917"/>
      <c r="NWL31" s="917"/>
      <c r="NWM31" s="918"/>
      <c r="NWN31" s="914"/>
      <c r="NWO31" s="912"/>
      <c r="NWP31" s="916"/>
      <c r="NWQ31" s="917"/>
      <c r="NWR31" s="917"/>
      <c r="NWS31" s="917"/>
      <c r="NWT31" s="917"/>
      <c r="NWU31" s="917"/>
      <c r="NWV31" s="917"/>
      <c r="NWW31" s="917"/>
      <c r="NWX31" s="918"/>
      <c r="NWY31" s="914"/>
      <c r="NWZ31" s="912"/>
      <c r="NXA31" s="916"/>
      <c r="NXB31" s="917"/>
      <c r="NXC31" s="917"/>
      <c r="NXD31" s="917"/>
      <c r="NXE31" s="917"/>
      <c r="NXF31" s="917"/>
      <c r="NXG31" s="917"/>
      <c r="NXH31" s="917"/>
      <c r="NXI31" s="918"/>
      <c r="NXJ31" s="914"/>
      <c r="NXK31" s="912"/>
      <c r="NXL31" s="916"/>
      <c r="NXM31" s="917"/>
      <c r="NXN31" s="917"/>
      <c r="NXO31" s="917"/>
      <c r="NXP31" s="917"/>
      <c r="NXQ31" s="917"/>
      <c r="NXR31" s="917"/>
      <c r="NXS31" s="917"/>
      <c r="NXT31" s="918"/>
      <c r="NXU31" s="914"/>
      <c r="NXV31" s="912"/>
      <c r="NXW31" s="916"/>
      <c r="NXX31" s="917"/>
      <c r="NXY31" s="917"/>
      <c r="NXZ31" s="917"/>
      <c r="NYA31" s="917"/>
      <c r="NYB31" s="917"/>
      <c r="NYC31" s="917"/>
      <c r="NYD31" s="917"/>
      <c r="NYE31" s="918"/>
      <c r="NYF31" s="914"/>
      <c r="NYG31" s="912"/>
      <c r="NYH31" s="916"/>
      <c r="NYI31" s="917"/>
      <c r="NYJ31" s="917"/>
      <c r="NYK31" s="917"/>
      <c r="NYL31" s="917"/>
      <c r="NYM31" s="917"/>
      <c r="NYN31" s="917"/>
      <c r="NYO31" s="917"/>
      <c r="NYP31" s="918"/>
      <c r="NYQ31" s="914"/>
      <c r="NYR31" s="912"/>
      <c r="NYS31" s="916"/>
      <c r="NYT31" s="917"/>
      <c r="NYU31" s="917"/>
      <c r="NYV31" s="917"/>
      <c r="NYW31" s="917"/>
      <c r="NYX31" s="917"/>
      <c r="NYY31" s="917"/>
      <c r="NYZ31" s="917"/>
      <c r="NZA31" s="918"/>
      <c r="NZB31" s="914"/>
      <c r="NZC31" s="912"/>
      <c r="NZD31" s="916"/>
      <c r="NZE31" s="917"/>
      <c r="NZF31" s="917"/>
      <c r="NZG31" s="917"/>
      <c r="NZH31" s="917"/>
      <c r="NZI31" s="917"/>
      <c r="NZJ31" s="917"/>
      <c r="NZK31" s="917"/>
      <c r="NZL31" s="918"/>
      <c r="NZM31" s="914"/>
      <c r="NZN31" s="912"/>
      <c r="NZO31" s="916"/>
      <c r="NZP31" s="917"/>
      <c r="NZQ31" s="917"/>
      <c r="NZR31" s="917"/>
      <c r="NZS31" s="917"/>
      <c r="NZT31" s="917"/>
      <c r="NZU31" s="917"/>
      <c r="NZV31" s="917"/>
      <c r="NZW31" s="918"/>
      <c r="NZX31" s="914"/>
      <c r="NZY31" s="912"/>
      <c r="NZZ31" s="916"/>
      <c r="OAA31" s="917"/>
      <c r="OAB31" s="917"/>
      <c r="OAC31" s="917"/>
      <c r="OAD31" s="917"/>
      <c r="OAE31" s="917"/>
      <c r="OAF31" s="917"/>
      <c r="OAG31" s="917"/>
      <c r="OAH31" s="918"/>
      <c r="OAI31" s="914"/>
      <c r="OAJ31" s="912"/>
      <c r="OAK31" s="916"/>
      <c r="OAL31" s="917"/>
      <c r="OAM31" s="917"/>
      <c r="OAN31" s="917"/>
      <c r="OAO31" s="917"/>
      <c r="OAP31" s="917"/>
      <c r="OAQ31" s="917"/>
      <c r="OAR31" s="917"/>
      <c r="OAS31" s="918"/>
      <c r="OAT31" s="914"/>
      <c r="OAU31" s="912"/>
      <c r="OAV31" s="916"/>
      <c r="OAW31" s="917"/>
      <c r="OAX31" s="917"/>
      <c r="OAY31" s="917"/>
      <c r="OAZ31" s="917"/>
      <c r="OBA31" s="917"/>
      <c r="OBB31" s="917"/>
      <c r="OBC31" s="917"/>
      <c r="OBD31" s="918"/>
      <c r="OBE31" s="914"/>
      <c r="OBF31" s="912"/>
      <c r="OBG31" s="916"/>
      <c r="OBH31" s="917"/>
      <c r="OBI31" s="917"/>
      <c r="OBJ31" s="917"/>
      <c r="OBK31" s="917"/>
      <c r="OBL31" s="917"/>
      <c r="OBM31" s="917"/>
      <c r="OBN31" s="917"/>
      <c r="OBO31" s="918"/>
      <c r="OBP31" s="914"/>
      <c r="OBQ31" s="912"/>
      <c r="OBR31" s="916"/>
      <c r="OBS31" s="917"/>
      <c r="OBT31" s="917"/>
      <c r="OBU31" s="917"/>
      <c r="OBV31" s="917"/>
      <c r="OBW31" s="917"/>
      <c r="OBX31" s="917"/>
      <c r="OBY31" s="917"/>
      <c r="OBZ31" s="918"/>
      <c r="OCA31" s="914"/>
      <c r="OCB31" s="912"/>
      <c r="OCC31" s="916"/>
      <c r="OCD31" s="917"/>
      <c r="OCE31" s="917"/>
      <c r="OCF31" s="917"/>
      <c r="OCG31" s="917"/>
      <c r="OCH31" s="917"/>
      <c r="OCI31" s="917"/>
      <c r="OCJ31" s="917"/>
      <c r="OCK31" s="918"/>
      <c r="OCL31" s="914"/>
      <c r="OCM31" s="912"/>
      <c r="OCN31" s="916"/>
      <c r="OCO31" s="917"/>
      <c r="OCP31" s="917"/>
      <c r="OCQ31" s="917"/>
      <c r="OCR31" s="917"/>
      <c r="OCS31" s="917"/>
      <c r="OCT31" s="917"/>
      <c r="OCU31" s="917"/>
      <c r="OCV31" s="918"/>
      <c r="OCW31" s="914"/>
      <c r="OCX31" s="912"/>
      <c r="OCY31" s="916"/>
      <c r="OCZ31" s="917"/>
      <c r="ODA31" s="917"/>
      <c r="ODB31" s="917"/>
      <c r="ODC31" s="917"/>
      <c r="ODD31" s="917"/>
      <c r="ODE31" s="917"/>
      <c r="ODF31" s="917"/>
      <c r="ODG31" s="918"/>
      <c r="ODH31" s="914"/>
      <c r="ODI31" s="912"/>
      <c r="ODJ31" s="916"/>
      <c r="ODK31" s="917"/>
      <c r="ODL31" s="917"/>
      <c r="ODM31" s="917"/>
      <c r="ODN31" s="917"/>
      <c r="ODO31" s="917"/>
      <c r="ODP31" s="917"/>
      <c r="ODQ31" s="917"/>
      <c r="ODR31" s="918"/>
      <c r="ODS31" s="914"/>
      <c r="ODT31" s="912"/>
      <c r="ODU31" s="916"/>
      <c r="ODV31" s="917"/>
      <c r="ODW31" s="917"/>
      <c r="ODX31" s="917"/>
      <c r="ODY31" s="917"/>
      <c r="ODZ31" s="917"/>
      <c r="OEA31" s="917"/>
      <c r="OEB31" s="917"/>
      <c r="OEC31" s="918"/>
      <c r="OED31" s="914"/>
      <c r="OEE31" s="912"/>
      <c r="OEF31" s="916"/>
      <c r="OEG31" s="917"/>
      <c r="OEH31" s="917"/>
      <c r="OEI31" s="917"/>
      <c r="OEJ31" s="917"/>
      <c r="OEK31" s="917"/>
      <c r="OEL31" s="917"/>
      <c r="OEM31" s="917"/>
      <c r="OEN31" s="918"/>
      <c r="OEO31" s="914"/>
      <c r="OEP31" s="912"/>
      <c r="OEQ31" s="916"/>
      <c r="OER31" s="917"/>
      <c r="OES31" s="917"/>
      <c r="OET31" s="917"/>
      <c r="OEU31" s="917"/>
      <c r="OEV31" s="917"/>
      <c r="OEW31" s="917"/>
      <c r="OEX31" s="917"/>
      <c r="OEY31" s="918"/>
      <c r="OEZ31" s="914"/>
      <c r="OFA31" s="912"/>
      <c r="OFB31" s="916"/>
      <c r="OFC31" s="917"/>
      <c r="OFD31" s="917"/>
      <c r="OFE31" s="917"/>
      <c r="OFF31" s="917"/>
      <c r="OFG31" s="917"/>
      <c r="OFH31" s="917"/>
      <c r="OFI31" s="917"/>
      <c r="OFJ31" s="918"/>
      <c r="OFK31" s="914"/>
      <c r="OFL31" s="912"/>
      <c r="OFM31" s="916"/>
      <c r="OFN31" s="917"/>
      <c r="OFO31" s="917"/>
      <c r="OFP31" s="917"/>
      <c r="OFQ31" s="917"/>
      <c r="OFR31" s="917"/>
      <c r="OFS31" s="917"/>
      <c r="OFT31" s="917"/>
      <c r="OFU31" s="918"/>
      <c r="OFV31" s="914"/>
      <c r="OFW31" s="912"/>
      <c r="OFX31" s="916"/>
      <c r="OFY31" s="917"/>
      <c r="OFZ31" s="917"/>
      <c r="OGA31" s="917"/>
      <c r="OGB31" s="917"/>
      <c r="OGC31" s="917"/>
      <c r="OGD31" s="917"/>
      <c r="OGE31" s="917"/>
      <c r="OGF31" s="918"/>
      <c r="OGG31" s="914"/>
      <c r="OGH31" s="912"/>
      <c r="OGI31" s="916"/>
      <c r="OGJ31" s="917"/>
      <c r="OGK31" s="917"/>
      <c r="OGL31" s="917"/>
      <c r="OGM31" s="917"/>
      <c r="OGN31" s="917"/>
      <c r="OGO31" s="917"/>
      <c r="OGP31" s="917"/>
      <c r="OGQ31" s="918"/>
      <c r="OGR31" s="914"/>
      <c r="OGS31" s="912"/>
      <c r="OGT31" s="916"/>
      <c r="OGU31" s="917"/>
      <c r="OGV31" s="917"/>
      <c r="OGW31" s="917"/>
      <c r="OGX31" s="917"/>
      <c r="OGY31" s="917"/>
      <c r="OGZ31" s="917"/>
      <c r="OHA31" s="917"/>
      <c r="OHB31" s="918"/>
      <c r="OHC31" s="914"/>
      <c r="OHD31" s="912"/>
      <c r="OHE31" s="916"/>
      <c r="OHF31" s="917"/>
      <c r="OHG31" s="917"/>
      <c r="OHH31" s="917"/>
      <c r="OHI31" s="917"/>
      <c r="OHJ31" s="917"/>
      <c r="OHK31" s="917"/>
      <c r="OHL31" s="917"/>
      <c r="OHM31" s="918"/>
      <c r="OHN31" s="914"/>
      <c r="OHO31" s="912"/>
      <c r="OHP31" s="916"/>
      <c r="OHQ31" s="917"/>
      <c r="OHR31" s="917"/>
      <c r="OHS31" s="917"/>
      <c r="OHT31" s="917"/>
      <c r="OHU31" s="917"/>
      <c r="OHV31" s="917"/>
      <c r="OHW31" s="917"/>
      <c r="OHX31" s="918"/>
      <c r="OHY31" s="914"/>
      <c r="OHZ31" s="912"/>
      <c r="OIA31" s="916"/>
      <c r="OIB31" s="917"/>
      <c r="OIC31" s="917"/>
      <c r="OID31" s="917"/>
      <c r="OIE31" s="917"/>
      <c r="OIF31" s="917"/>
      <c r="OIG31" s="917"/>
      <c r="OIH31" s="917"/>
      <c r="OII31" s="918"/>
      <c r="OIJ31" s="914"/>
      <c r="OIK31" s="912"/>
      <c r="OIL31" s="916"/>
      <c r="OIM31" s="917"/>
      <c r="OIN31" s="917"/>
      <c r="OIO31" s="917"/>
      <c r="OIP31" s="917"/>
      <c r="OIQ31" s="917"/>
      <c r="OIR31" s="917"/>
      <c r="OIS31" s="917"/>
      <c r="OIT31" s="918"/>
      <c r="OIU31" s="914"/>
      <c r="OIV31" s="912"/>
      <c r="OIW31" s="916"/>
      <c r="OIX31" s="917"/>
      <c r="OIY31" s="917"/>
      <c r="OIZ31" s="917"/>
      <c r="OJA31" s="917"/>
      <c r="OJB31" s="917"/>
      <c r="OJC31" s="917"/>
      <c r="OJD31" s="917"/>
      <c r="OJE31" s="918"/>
      <c r="OJF31" s="914"/>
      <c r="OJG31" s="912"/>
      <c r="OJH31" s="916"/>
      <c r="OJI31" s="917"/>
      <c r="OJJ31" s="917"/>
      <c r="OJK31" s="917"/>
      <c r="OJL31" s="917"/>
      <c r="OJM31" s="917"/>
      <c r="OJN31" s="917"/>
      <c r="OJO31" s="917"/>
      <c r="OJP31" s="918"/>
      <c r="OJQ31" s="914"/>
      <c r="OJR31" s="912"/>
      <c r="OJS31" s="916"/>
      <c r="OJT31" s="917"/>
      <c r="OJU31" s="917"/>
      <c r="OJV31" s="917"/>
      <c r="OJW31" s="917"/>
      <c r="OJX31" s="917"/>
      <c r="OJY31" s="917"/>
      <c r="OJZ31" s="917"/>
      <c r="OKA31" s="918"/>
      <c r="OKB31" s="914"/>
      <c r="OKC31" s="912"/>
      <c r="OKD31" s="916"/>
      <c r="OKE31" s="917"/>
      <c r="OKF31" s="917"/>
      <c r="OKG31" s="917"/>
      <c r="OKH31" s="917"/>
      <c r="OKI31" s="917"/>
      <c r="OKJ31" s="917"/>
      <c r="OKK31" s="917"/>
      <c r="OKL31" s="918"/>
      <c r="OKM31" s="914"/>
      <c r="OKN31" s="912"/>
      <c r="OKO31" s="916"/>
      <c r="OKP31" s="917"/>
      <c r="OKQ31" s="917"/>
      <c r="OKR31" s="917"/>
      <c r="OKS31" s="917"/>
      <c r="OKT31" s="917"/>
      <c r="OKU31" s="917"/>
      <c r="OKV31" s="917"/>
      <c r="OKW31" s="918"/>
      <c r="OKX31" s="914"/>
      <c r="OKY31" s="912"/>
      <c r="OKZ31" s="916"/>
      <c r="OLA31" s="917"/>
      <c r="OLB31" s="917"/>
      <c r="OLC31" s="917"/>
      <c r="OLD31" s="917"/>
      <c r="OLE31" s="917"/>
      <c r="OLF31" s="917"/>
      <c r="OLG31" s="917"/>
      <c r="OLH31" s="918"/>
      <c r="OLI31" s="914"/>
      <c r="OLJ31" s="912"/>
      <c r="OLK31" s="916"/>
      <c r="OLL31" s="917"/>
      <c r="OLM31" s="917"/>
      <c r="OLN31" s="917"/>
      <c r="OLO31" s="917"/>
      <c r="OLP31" s="917"/>
      <c r="OLQ31" s="917"/>
      <c r="OLR31" s="917"/>
      <c r="OLS31" s="918"/>
      <c r="OLT31" s="914"/>
      <c r="OLU31" s="912"/>
      <c r="OLV31" s="916"/>
      <c r="OLW31" s="917"/>
      <c r="OLX31" s="917"/>
      <c r="OLY31" s="917"/>
      <c r="OLZ31" s="917"/>
      <c r="OMA31" s="917"/>
      <c r="OMB31" s="917"/>
      <c r="OMC31" s="917"/>
      <c r="OMD31" s="918"/>
      <c r="OME31" s="914"/>
      <c r="OMF31" s="912"/>
      <c r="OMG31" s="916"/>
      <c r="OMH31" s="917"/>
      <c r="OMI31" s="917"/>
      <c r="OMJ31" s="917"/>
      <c r="OMK31" s="917"/>
      <c r="OML31" s="917"/>
      <c r="OMM31" s="917"/>
      <c r="OMN31" s="917"/>
      <c r="OMO31" s="918"/>
      <c r="OMP31" s="914"/>
      <c r="OMQ31" s="912"/>
      <c r="OMR31" s="916"/>
      <c r="OMS31" s="917"/>
      <c r="OMT31" s="917"/>
      <c r="OMU31" s="917"/>
      <c r="OMV31" s="917"/>
      <c r="OMW31" s="917"/>
      <c r="OMX31" s="917"/>
      <c r="OMY31" s="917"/>
      <c r="OMZ31" s="918"/>
      <c r="ONA31" s="914"/>
      <c r="ONB31" s="912"/>
      <c r="ONC31" s="916"/>
      <c r="OND31" s="917"/>
      <c r="ONE31" s="917"/>
      <c r="ONF31" s="917"/>
      <c r="ONG31" s="917"/>
      <c r="ONH31" s="917"/>
      <c r="ONI31" s="917"/>
      <c r="ONJ31" s="917"/>
      <c r="ONK31" s="918"/>
      <c r="ONL31" s="914"/>
      <c r="ONM31" s="912"/>
      <c r="ONN31" s="916"/>
      <c r="ONO31" s="917"/>
      <c r="ONP31" s="917"/>
      <c r="ONQ31" s="917"/>
      <c r="ONR31" s="917"/>
      <c r="ONS31" s="917"/>
      <c r="ONT31" s="917"/>
      <c r="ONU31" s="917"/>
      <c r="ONV31" s="918"/>
      <c r="ONW31" s="914"/>
      <c r="ONX31" s="912"/>
      <c r="ONY31" s="916"/>
      <c r="ONZ31" s="917"/>
      <c r="OOA31" s="917"/>
      <c r="OOB31" s="917"/>
      <c r="OOC31" s="917"/>
      <c r="OOD31" s="917"/>
      <c r="OOE31" s="917"/>
      <c r="OOF31" s="917"/>
      <c r="OOG31" s="918"/>
      <c r="OOH31" s="914"/>
      <c r="OOI31" s="912"/>
      <c r="OOJ31" s="916"/>
      <c r="OOK31" s="917"/>
      <c r="OOL31" s="917"/>
      <c r="OOM31" s="917"/>
      <c r="OON31" s="917"/>
      <c r="OOO31" s="917"/>
      <c r="OOP31" s="917"/>
      <c r="OOQ31" s="917"/>
      <c r="OOR31" s="918"/>
      <c r="OOS31" s="914"/>
      <c r="OOT31" s="912"/>
      <c r="OOU31" s="916"/>
      <c r="OOV31" s="917"/>
      <c r="OOW31" s="917"/>
      <c r="OOX31" s="917"/>
      <c r="OOY31" s="917"/>
      <c r="OOZ31" s="917"/>
      <c r="OPA31" s="917"/>
      <c r="OPB31" s="917"/>
      <c r="OPC31" s="918"/>
      <c r="OPD31" s="914"/>
      <c r="OPE31" s="912"/>
      <c r="OPF31" s="916"/>
      <c r="OPG31" s="917"/>
      <c r="OPH31" s="917"/>
      <c r="OPI31" s="917"/>
      <c r="OPJ31" s="917"/>
      <c r="OPK31" s="917"/>
      <c r="OPL31" s="917"/>
      <c r="OPM31" s="917"/>
      <c r="OPN31" s="918"/>
      <c r="OPO31" s="914"/>
      <c r="OPP31" s="912"/>
      <c r="OPQ31" s="916"/>
      <c r="OPR31" s="917"/>
      <c r="OPS31" s="917"/>
      <c r="OPT31" s="917"/>
      <c r="OPU31" s="917"/>
      <c r="OPV31" s="917"/>
      <c r="OPW31" s="917"/>
      <c r="OPX31" s="917"/>
      <c r="OPY31" s="918"/>
      <c r="OPZ31" s="914"/>
      <c r="OQA31" s="912"/>
      <c r="OQB31" s="916"/>
      <c r="OQC31" s="917"/>
      <c r="OQD31" s="917"/>
      <c r="OQE31" s="917"/>
      <c r="OQF31" s="917"/>
      <c r="OQG31" s="917"/>
      <c r="OQH31" s="917"/>
      <c r="OQI31" s="917"/>
      <c r="OQJ31" s="918"/>
      <c r="OQK31" s="914"/>
      <c r="OQL31" s="912"/>
      <c r="OQM31" s="916"/>
      <c r="OQN31" s="917"/>
      <c r="OQO31" s="917"/>
      <c r="OQP31" s="917"/>
      <c r="OQQ31" s="917"/>
      <c r="OQR31" s="917"/>
      <c r="OQS31" s="917"/>
      <c r="OQT31" s="917"/>
      <c r="OQU31" s="918"/>
      <c r="OQV31" s="914"/>
      <c r="OQW31" s="912"/>
      <c r="OQX31" s="916"/>
      <c r="OQY31" s="917"/>
      <c r="OQZ31" s="917"/>
      <c r="ORA31" s="917"/>
      <c r="ORB31" s="917"/>
      <c r="ORC31" s="917"/>
      <c r="ORD31" s="917"/>
      <c r="ORE31" s="917"/>
      <c r="ORF31" s="918"/>
      <c r="ORG31" s="914"/>
      <c r="ORH31" s="912"/>
      <c r="ORI31" s="916"/>
      <c r="ORJ31" s="917"/>
      <c r="ORK31" s="917"/>
      <c r="ORL31" s="917"/>
      <c r="ORM31" s="917"/>
      <c r="ORN31" s="917"/>
      <c r="ORO31" s="917"/>
      <c r="ORP31" s="917"/>
      <c r="ORQ31" s="918"/>
      <c r="ORR31" s="914"/>
      <c r="ORS31" s="912"/>
      <c r="ORT31" s="916"/>
      <c r="ORU31" s="917"/>
      <c r="ORV31" s="917"/>
      <c r="ORW31" s="917"/>
      <c r="ORX31" s="917"/>
      <c r="ORY31" s="917"/>
      <c r="ORZ31" s="917"/>
      <c r="OSA31" s="917"/>
      <c r="OSB31" s="918"/>
      <c r="OSC31" s="914"/>
      <c r="OSD31" s="912"/>
      <c r="OSE31" s="916"/>
      <c r="OSF31" s="917"/>
      <c r="OSG31" s="917"/>
      <c r="OSH31" s="917"/>
      <c r="OSI31" s="917"/>
      <c r="OSJ31" s="917"/>
      <c r="OSK31" s="917"/>
      <c r="OSL31" s="917"/>
      <c r="OSM31" s="918"/>
      <c r="OSN31" s="914"/>
      <c r="OSO31" s="912"/>
      <c r="OSP31" s="916"/>
      <c r="OSQ31" s="917"/>
      <c r="OSR31" s="917"/>
      <c r="OSS31" s="917"/>
      <c r="OST31" s="917"/>
      <c r="OSU31" s="917"/>
      <c r="OSV31" s="917"/>
      <c r="OSW31" s="917"/>
      <c r="OSX31" s="918"/>
      <c r="OSY31" s="914"/>
      <c r="OSZ31" s="912"/>
      <c r="OTA31" s="916"/>
      <c r="OTB31" s="917"/>
      <c r="OTC31" s="917"/>
      <c r="OTD31" s="917"/>
      <c r="OTE31" s="917"/>
      <c r="OTF31" s="917"/>
      <c r="OTG31" s="917"/>
      <c r="OTH31" s="917"/>
      <c r="OTI31" s="918"/>
      <c r="OTJ31" s="914"/>
      <c r="OTK31" s="912"/>
      <c r="OTL31" s="916"/>
      <c r="OTM31" s="917"/>
      <c r="OTN31" s="917"/>
      <c r="OTO31" s="917"/>
      <c r="OTP31" s="917"/>
      <c r="OTQ31" s="917"/>
      <c r="OTR31" s="917"/>
      <c r="OTS31" s="917"/>
      <c r="OTT31" s="918"/>
      <c r="OTU31" s="914"/>
      <c r="OTV31" s="912"/>
      <c r="OTW31" s="916"/>
      <c r="OTX31" s="917"/>
      <c r="OTY31" s="917"/>
      <c r="OTZ31" s="917"/>
      <c r="OUA31" s="917"/>
      <c r="OUB31" s="917"/>
      <c r="OUC31" s="917"/>
      <c r="OUD31" s="917"/>
      <c r="OUE31" s="918"/>
      <c r="OUF31" s="914"/>
      <c r="OUG31" s="912"/>
      <c r="OUH31" s="916"/>
      <c r="OUI31" s="917"/>
      <c r="OUJ31" s="917"/>
      <c r="OUK31" s="917"/>
      <c r="OUL31" s="917"/>
      <c r="OUM31" s="917"/>
      <c r="OUN31" s="917"/>
      <c r="OUO31" s="917"/>
      <c r="OUP31" s="918"/>
      <c r="OUQ31" s="914"/>
      <c r="OUR31" s="912"/>
      <c r="OUS31" s="916"/>
      <c r="OUT31" s="917"/>
      <c r="OUU31" s="917"/>
      <c r="OUV31" s="917"/>
      <c r="OUW31" s="917"/>
      <c r="OUX31" s="917"/>
      <c r="OUY31" s="917"/>
      <c r="OUZ31" s="917"/>
      <c r="OVA31" s="918"/>
      <c r="OVB31" s="914"/>
      <c r="OVC31" s="912"/>
      <c r="OVD31" s="916"/>
      <c r="OVE31" s="917"/>
      <c r="OVF31" s="917"/>
      <c r="OVG31" s="917"/>
      <c r="OVH31" s="917"/>
      <c r="OVI31" s="917"/>
      <c r="OVJ31" s="917"/>
      <c r="OVK31" s="917"/>
      <c r="OVL31" s="918"/>
      <c r="OVM31" s="914"/>
      <c r="OVN31" s="912"/>
      <c r="OVO31" s="916"/>
      <c r="OVP31" s="917"/>
      <c r="OVQ31" s="917"/>
      <c r="OVR31" s="917"/>
      <c r="OVS31" s="917"/>
      <c r="OVT31" s="917"/>
      <c r="OVU31" s="917"/>
      <c r="OVV31" s="917"/>
      <c r="OVW31" s="918"/>
      <c r="OVX31" s="914"/>
      <c r="OVY31" s="912"/>
      <c r="OVZ31" s="916"/>
      <c r="OWA31" s="917"/>
      <c r="OWB31" s="917"/>
      <c r="OWC31" s="917"/>
      <c r="OWD31" s="917"/>
      <c r="OWE31" s="917"/>
      <c r="OWF31" s="917"/>
      <c r="OWG31" s="917"/>
      <c r="OWH31" s="918"/>
      <c r="OWI31" s="914"/>
      <c r="OWJ31" s="912"/>
      <c r="OWK31" s="916"/>
      <c r="OWL31" s="917"/>
      <c r="OWM31" s="917"/>
      <c r="OWN31" s="917"/>
      <c r="OWO31" s="917"/>
      <c r="OWP31" s="917"/>
      <c r="OWQ31" s="917"/>
      <c r="OWR31" s="917"/>
      <c r="OWS31" s="918"/>
      <c r="OWT31" s="914"/>
      <c r="OWU31" s="912"/>
      <c r="OWV31" s="916"/>
      <c r="OWW31" s="917"/>
      <c r="OWX31" s="917"/>
      <c r="OWY31" s="917"/>
      <c r="OWZ31" s="917"/>
      <c r="OXA31" s="917"/>
      <c r="OXB31" s="917"/>
      <c r="OXC31" s="917"/>
      <c r="OXD31" s="918"/>
      <c r="OXE31" s="914"/>
      <c r="OXF31" s="912"/>
      <c r="OXG31" s="916"/>
      <c r="OXH31" s="917"/>
      <c r="OXI31" s="917"/>
      <c r="OXJ31" s="917"/>
      <c r="OXK31" s="917"/>
      <c r="OXL31" s="917"/>
      <c r="OXM31" s="917"/>
      <c r="OXN31" s="917"/>
      <c r="OXO31" s="918"/>
      <c r="OXP31" s="914"/>
      <c r="OXQ31" s="912"/>
      <c r="OXR31" s="916"/>
      <c r="OXS31" s="917"/>
      <c r="OXT31" s="917"/>
      <c r="OXU31" s="917"/>
      <c r="OXV31" s="917"/>
      <c r="OXW31" s="917"/>
      <c r="OXX31" s="917"/>
      <c r="OXY31" s="917"/>
      <c r="OXZ31" s="918"/>
      <c r="OYA31" s="914"/>
      <c r="OYB31" s="912"/>
      <c r="OYC31" s="916"/>
      <c r="OYD31" s="917"/>
      <c r="OYE31" s="917"/>
      <c r="OYF31" s="917"/>
      <c r="OYG31" s="917"/>
      <c r="OYH31" s="917"/>
      <c r="OYI31" s="917"/>
      <c r="OYJ31" s="917"/>
      <c r="OYK31" s="918"/>
      <c r="OYL31" s="914"/>
      <c r="OYM31" s="912"/>
      <c r="OYN31" s="916"/>
      <c r="OYO31" s="917"/>
      <c r="OYP31" s="917"/>
      <c r="OYQ31" s="917"/>
      <c r="OYR31" s="917"/>
      <c r="OYS31" s="917"/>
      <c r="OYT31" s="917"/>
      <c r="OYU31" s="917"/>
      <c r="OYV31" s="918"/>
      <c r="OYW31" s="914"/>
      <c r="OYX31" s="912"/>
      <c r="OYY31" s="916"/>
      <c r="OYZ31" s="917"/>
      <c r="OZA31" s="917"/>
      <c r="OZB31" s="917"/>
      <c r="OZC31" s="917"/>
      <c r="OZD31" s="917"/>
      <c r="OZE31" s="917"/>
      <c r="OZF31" s="917"/>
      <c r="OZG31" s="918"/>
      <c r="OZH31" s="914"/>
      <c r="OZI31" s="912"/>
      <c r="OZJ31" s="916"/>
      <c r="OZK31" s="917"/>
      <c r="OZL31" s="917"/>
      <c r="OZM31" s="917"/>
      <c r="OZN31" s="917"/>
      <c r="OZO31" s="917"/>
      <c r="OZP31" s="917"/>
      <c r="OZQ31" s="917"/>
      <c r="OZR31" s="918"/>
      <c r="OZS31" s="914"/>
      <c r="OZT31" s="912"/>
      <c r="OZU31" s="916"/>
      <c r="OZV31" s="917"/>
      <c r="OZW31" s="917"/>
      <c r="OZX31" s="917"/>
      <c r="OZY31" s="917"/>
      <c r="OZZ31" s="917"/>
      <c r="PAA31" s="917"/>
      <c r="PAB31" s="917"/>
      <c r="PAC31" s="918"/>
      <c r="PAD31" s="914"/>
      <c r="PAE31" s="912"/>
      <c r="PAF31" s="916"/>
      <c r="PAG31" s="917"/>
      <c r="PAH31" s="917"/>
      <c r="PAI31" s="917"/>
      <c r="PAJ31" s="917"/>
      <c r="PAK31" s="917"/>
      <c r="PAL31" s="917"/>
      <c r="PAM31" s="917"/>
      <c r="PAN31" s="918"/>
      <c r="PAO31" s="914"/>
      <c r="PAP31" s="912"/>
      <c r="PAQ31" s="916"/>
      <c r="PAR31" s="917"/>
      <c r="PAS31" s="917"/>
      <c r="PAT31" s="917"/>
      <c r="PAU31" s="917"/>
      <c r="PAV31" s="917"/>
      <c r="PAW31" s="917"/>
      <c r="PAX31" s="917"/>
      <c r="PAY31" s="918"/>
      <c r="PAZ31" s="914"/>
      <c r="PBA31" s="912"/>
      <c r="PBB31" s="916"/>
      <c r="PBC31" s="917"/>
      <c r="PBD31" s="917"/>
      <c r="PBE31" s="917"/>
      <c r="PBF31" s="917"/>
      <c r="PBG31" s="917"/>
      <c r="PBH31" s="917"/>
      <c r="PBI31" s="917"/>
      <c r="PBJ31" s="918"/>
      <c r="PBK31" s="914"/>
      <c r="PBL31" s="912"/>
      <c r="PBM31" s="916"/>
      <c r="PBN31" s="917"/>
      <c r="PBO31" s="917"/>
      <c r="PBP31" s="917"/>
      <c r="PBQ31" s="917"/>
      <c r="PBR31" s="917"/>
      <c r="PBS31" s="917"/>
      <c r="PBT31" s="917"/>
      <c r="PBU31" s="918"/>
      <c r="PBV31" s="914"/>
      <c r="PBW31" s="912"/>
      <c r="PBX31" s="916"/>
      <c r="PBY31" s="917"/>
      <c r="PBZ31" s="917"/>
      <c r="PCA31" s="917"/>
      <c r="PCB31" s="917"/>
      <c r="PCC31" s="917"/>
      <c r="PCD31" s="917"/>
      <c r="PCE31" s="917"/>
      <c r="PCF31" s="918"/>
      <c r="PCG31" s="914"/>
      <c r="PCH31" s="912"/>
      <c r="PCI31" s="916"/>
      <c r="PCJ31" s="917"/>
      <c r="PCK31" s="917"/>
      <c r="PCL31" s="917"/>
      <c r="PCM31" s="917"/>
      <c r="PCN31" s="917"/>
      <c r="PCO31" s="917"/>
      <c r="PCP31" s="917"/>
      <c r="PCQ31" s="918"/>
      <c r="PCR31" s="914"/>
      <c r="PCS31" s="912"/>
      <c r="PCT31" s="916"/>
      <c r="PCU31" s="917"/>
      <c r="PCV31" s="917"/>
      <c r="PCW31" s="917"/>
      <c r="PCX31" s="917"/>
      <c r="PCY31" s="917"/>
      <c r="PCZ31" s="917"/>
      <c r="PDA31" s="917"/>
      <c r="PDB31" s="918"/>
      <c r="PDC31" s="914"/>
      <c r="PDD31" s="912"/>
      <c r="PDE31" s="916"/>
      <c r="PDF31" s="917"/>
      <c r="PDG31" s="917"/>
      <c r="PDH31" s="917"/>
      <c r="PDI31" s="917"/>
      <c r="PDJ31" s="917"/>
      <c r="PDK31" s="917"/>
      <c r="PDL31" s="917"/>
      <c r="PDM31" s="918"/>
      <c r="PDN31" s="914"/>
      <c r="PDO31" s="912"/>
      <c r="PDP31" s="916"/>
      <c r="PDQ31" s="917"/>
      <c r="PDR31" s="917"/>
      <c r="PDS31" s="917"/>
      <c r="PDT31" s="917"/>
      <c r="PDU31" s="917"/>
      <c r="PDV31" s="917"/>
      <c r="PDW31" s="917"/>
      <c r="PDX31" s="918"/>
      <c r="PDY31" s="914"/>
      <c r="PDZ31" s="912"/>
      <c r="PEA31" s="916"/>
      <c r="PEB31" s="917"/>
      <c r="PEC31" s="917"/>
      <c r="PED31" s="917"/>
      <c r="PEE31" s="917"/>
      <c r="PEF31" s="917"/>
      <c r="PEG31" s="917"/>
      <c r="PEH31" s="917"/>
      <c r="PEI31" s="918"/>
      <c r="PEJ31" s="914"/>
      <c r="PEK31" s="912"/>
      <c r="PEL31" s="916"/>
      <c r="PEM31" s="917"/>
      <c r="PEN31" s="917"/>
      <c r="PEO31" s="917"/>
      <c r="PEP31" s="917"/>
      <c r="PEQ31" s="917"/>
      <c r="PER31" s="917"/>
      <c r="PES31" s="917"/>
      <c r="PET31" s="918"/>
      <c r="PEU31" s="914"/>
      <c r="PEV31" s="912"/>
      <c r="PEW31" s="916"/>
      <c r="PEX31" s="917"/>
      <c r="PEY31" s="917"/>
      <c r="PEZ31" s="917"/>
      <c r="PFA31" s="917"/>
      <c r="PFB31" s="917"/>
      <c r="PFC31" s="917"/>
      <c r="PFD31" s="917"/>
      <c r="PFE31" s="918"/>
      <c r="PFF31" s="914"/>
      <c r="PFG31" s="912"/>
      <c r="PFH31" s="916"/>
      <c r="PFI31" s="917"/>
      <c r="PFJ31" s="917"/>
      <c r="PFK31" s="917"/>
      <c r="PFL31" s="917"/>
      <c r="PFM31" s="917"/>
      <c r="PFN31" s="917"/>
      <c r="PFO31" s="917"/>
      <c r="PFP31" s="918"/>
      <c r="PFQ31" s="914"/>
      <c r="PFR31" s="912"/>
      <c r="PFS31" s="916"/>
      <c r="PFT31" s="917"/>
      <c r="PFU31" s="917"/>
      <c r="PFV31" s="917"/>
      <c r="PFW31" s="917"/>
      <c r="PFX31" s="917"/>
      <c r="PFY31" s="917"/>
      <c r="PFZ31" s="917"/>
      <c r="PGA31" s="918"/>
      <c r="PGB31" s="914"/>
      <c r="PGC31" s="912"/>
      <c r="PGD31" s="916"/>
      <c r="PGE31" s="917"/>
      <c r="PGF31" s="917"/>
      <c r="PGG31" s="917"/>
      <c r="PGH31" s="917"/>
      <c r="PGI31" s="917"/>
      <c r="PGJ31" s="917"/>
      <c r="PGK31" s="917"/>
      <c r="PGL31" s="918"/>
      <c r="PGM31" s="914"/>
      <c r="PGN31" s="912"/>
      <c r="PGO31" s="916"/>
      <c r="PGP31" s="917"/>
      <c r="PGQ31" s="917"/>
      <c r="PGR31" s="917"/>
      <c r="PGS31" s="917"/>
      <c r="PGT31" s="917"/>
      <c r="PGU31" s="917"/>
      <c r="PGV31" s="917"/>
      <c r="PGW31" s="918"/>
      <c r="PGX31" s="914"/>
      <c r="PGY31" s="912"/>
      <c r="PGZ31" s="916"/>
      <c r="PHA31" s="917"/>
      <c r="PHB31" s="917"/>
      <c r="PHC31" s="917"/>
      <c r="PHD31" s="917"/>
      <c r="PHE31" s="917"/>
      <c r="PHF31" s="917"/>
      <c r="PHG31" s="917"/>
      <c r="PHH31" s="918"/>
      <c r="PHI31" s="914"/>
      <c r="PHJ31" s="912"/>
      <c r="PHK31" s="916"/>
      <c r="PHL31" s="917"/>
      <c r="PHM31" s="917"/>
      <c r="PHN31" s="917"/>
      <c r="PHO31" s="917"/>
      <c r="PHP31" s="917"/>
      <c r="PHQ31" s="917"/>
      <c r="PHR31" s="917"/>
      <c r="PHS31" s="918"/>
      <c r="PHT31" s="914"/>
      <c r="PHU31" s="912"/>
      <c r="PHV31" s="916"/>
      <c r="PHW31" s="917"/>
      <c r="PHX31" s="917"/>
      <c r="PHY31" s="917"/>
      <c r="PHZ31" s="917"/>
      <c r="PIA31" s="917"/>
      <c r="PIB31" s="917"/>
      <c r="PIC31" s="917"/>
      <c r="PID31" s="918"/>
      <c r="PIE31" s="914"/>
      <c r="PIF31" s="912"/>
      <c r="PIG31" s="916"/>
      <c r="PIH31" s="917"/>
      <c r="PII31" s="917"/>
      <c r="PIJ31" s="917"/>
      <c r="PIK31" s="917"/>
      <c r="PIL31" s="917"/>
      <c r="PIM31" s="917"/>
      <c r="PIN31" s="917"/>
      <c r="PIO31" s="918"/>
      <c r="PIP31" s="914"/>
      <c r="PIQ31" s="912"/>
      <c r="PIR31" s="916"/>
      <c r="PIS31" s="917"/>
      <c r="PIT31" s="917"/>
      <c r="PIU31" s="917"/>
      <c r="PIV31" s="917"/>
      <c r="PIW31" s="917"/>
      <c r="PIX31" s="917"/>
      <c r="PIY31" s="917"/>
      <c r="PIZ31" s="918"/>
      <c r="PJA31" s="914"/>
      <c r="PJB31" s="912"/>
      <c r="PJC31" s="916"/>
      <c r="PJD31" s="917"/>
      <c r="PJE31" s="917"/>
      <c r="PJF31" s="917"/>
      <c r="PJG31" s="917"/>
      <c r="PJH31" s="917"/>
      <c r="PJI31" s="917"/>
      <c r="PJJ31" s="917"/>
      <c r="PJK31" s="918"/>
      <c r="PJL31" s="914"/>
      <c r="PJM31" s="912"/>
      <c r="PJN31" s="916"/>
      <c r="PJO31" s="917"/>
      <c r="PJP31" s="917"/>
      <c r="PJQ31" s="917"/>
      <c r="PJR31" s="917"/>
      <c r="PJS31" s="917"/>
      <c r="PJT31" s="917"/>
      <c r="PJU31" s="917"/>
      <c r="PJV31" s="918"/>
      <c r="PJW31" s="914"/>
      <c r="PJX31" s="912"/>
      <c r="PJY31" s="916"/>
      <c r="PJZ31" s="917"/>
      <c r="PKA31" s="917"/>
      <c r="PKB31" s="917"/>
      <c r="PKC31" s="917"/>
      <c r="PKD31" s="917"/>
      <c r="PKE31" s="917"/>
      <c r="PKF31" s="917"/>
      <c r="PKG31" s="918"/>
      <c r="PKH31" s="914"/>
      <c r="PKI31" s="912"/>
      <c r="PKJ31" s="916"/>
      <c r="PKK31" s="917"/>
      <c r="PKL31" s="917"/>
      <c r="PKM31" s="917"/>
      <c r="PKN31" s="917"/>
      <c r="PKO31" s="917"/>
      <c r="PKP31" s="917"/>
      <c r="PKQ31" s="917"/>
      <c r="PKR31" s="918"/>
      <c r="PKS31" s="914"/>
      <c r="PKT31" s="912"/>
      <c r="PKU31" s="916"/>
      <c r="PKV31" s="917"/>
      <c r="PKW31" s="917"/>
      <c r="PKX31" s="917"/>
      <c r="PKY31" s="917"/>
      <c r="PKZ31" s="917"/>
      <c r="PLA31" s="917"/>
      <c r="PLB31" s="917"/>
      <c r="PLC31" s="918"/>
      <c r="PLD31" s="914"/>
      <c r="PLE31" s="912"/>
      <c r="PLF31" s="916"/>
      <c r="PLG31" s="917"/>
      <c r="PLH31" s="917"/>
      <c r="PLI31" s="917"/>
      <c r="PLJ31" s="917"/>
      <c r="PLK31" s="917"/>
      <c r="PLL31" s="917"/>
      <c r="PLM31" s="917"/>
      <c r="PLN31" s="918"/>
      <c r="PLO31" s="914"/>
      <c r="PLP31" s="912"/>
      <c r="PLQ31" s="916"/>
      <c r="PLR31" s="917"/>
      <c r="PLS31" s="917"/>
      <c r="PLT31" s="917"/>
      <c r="PLU31" s="917"/>
      <c r="PLV31" s="917"/>
      <c r="PLW31" s="917"/>
      <c r="PLX31" s="917"/>
      <c r="PLY31" s="918"/>
      <c r="PLZ31" s="914"/>
      <c r="PMA31" s="912"/>
      <c r="PMB31" s="916"/>
      <c r="PMC31" s="917"/>
      <c r="PMD31" s="917"/>
      <c r="PME31" s="917"/>
      <c r="PMF31" s="917"/>
      <c r="PMG31" s="917"/>
      <c r="PMH31" s="917"/>
      <c r="PMI31" s="917"/>
      <c r="PMJ31" s="918"/>
      <c r="PMK31" s="914"/>
      <c r="PML31" s="912"/>
      <c r="PMM31" s="916"/>
      <c r="PMN31" s="917"/>
      <c r="PMO31" s="917"/>
      <c r="PMP31" s="917"/>
      <c r="PMQ31" s="917"/>
      <c r="PMR31" s="917"/>
      <c r="PMS31" s="917"/>
      <c r="PMT31" s="917"/>
      <c r="PMU31" s="918"/>
      <c r="PMV31" s="914"/>
      <c r="PMW31" s="912"/>
      <c r="PMX31" s="916"/>
      <c r="PMY31" s="917"/>
      <c r="PMZ31" s="917"/>
      <c r="PNA31" s="917"/>
      <c r="PNB31" s="917"/>
      <c r="PNC31" s="917"/>
      <c r="PND31" s="917"/>
      <c r="PNE31" s="917"/>
      <c r="PNF31" s="918"/>
      <c r="PNG31" s="914"/>
      <c r="PNH31" s="912"/>
      <c r="PNI31" s="916"/>
      <c r="PNJ31" s="917"/>
      <c r="PNK31" s="917"/>
      <c r="PNL31" s="917"/>
      <c r="PNM31" s="917"/>
      <c r="PNN31" s="917"/>
      <c r="PNO31" s="917"/>
      <c r="PNP31" s="917"/>
      <c r="PNQ31" s="918"/>
      <c r="PNR31" s="914"/>
      <c r="PNS31" s="912"/>
      <c r="PNT31" s="916"/>
      <c r="PNU31" s="917"/>
      <c r="PNV31" s="917"/>
      <c r="PNW31" s="917"/>
      <c r="PNX31" s="917"/>
      <c r="PNY31" s="917"/>
      <c r="PNZ31" s="917"/>
      <c r="POA31" s="917"/>
      <c r="POB31" s="918"/>
      <c r="POC31" s="914"/>
      <c r="POD31" s="912"/>
      <c r="POE31" s="916"/>
      <c r="POF31" s="917"/>
      <c r="POG31" s="917"/>
      <c r="POH31" s="917"/>
      <c r="POI31" s="917"/>
      <c r="POJ31" s="917"/>
      <c r="POK31" s="917"/>
      <c r="POL31" s="917"/>
      <c r="POM31" s="918"/>
      <c r="PON31" s="914"/>
      <c r="POO31" s="912"/>
      <c r="POP31" s="916"/>
      <c r="POQ31" s="917"/>
      <c r="POR31" s="917"/>
      <c r="POS31" s="917"/>
      <c r="POT31" s="917"/>
      <c r="POU31" s="917"/>
      <c r="POV31" s="917"/>
      <c r="POW31" s="917"/>
      <c r="POX31" s="918"/>
      <c r="POY31" s="914"/>
      <c r="POZ31" s="912"/>
      <c r="PPA31" s="916"/>
      <c r="PPB31" s="917"/>
      <c r="PPC31" s="917"/>
      <c r="PPD31" s="917"/>
      <c r="PPE31" s="917"/>
      <c r="PPF31" s="917"/>
      <c r="PPG31" s="917"/>
      <c r="PPH31" s="917"/>
      <c r="PPI31" s="918"/>
      <c r="PPJ31" s="914"/>
      <c r="PPK31" s="912"/>
      <c r="PPL31" s="916"/>
      <c r="PPM31" s="917"/>
      <c r="PPN31" s="917"/>
      <c r="PPO31" s="917"/>
      <c r="PPP31" s="917"/>
      <c r="PPQ31" s="917"/>
      <c r="PPR31" s="917"/>
      <c r="PPS31" s="917"/>
      <c r="PPT31" s="918"/>
      <c r="PPU31" s="914"/>
      <c r="PPV31" s="912"/>
      <c r="PPW31" s="916"/>
      <c r="PPX31" s="917"/>
      <c r="PPY31" s="917"/>
      <c r="PPZ31" s="917"/>
      <c r="PQA31" s="917"/>
      <c r="PQB31" s="917"/>
      <c r="PQC31" s="917"/>
      <c r="PQD31" s="917"/>
      <c r="PQE31" s="918"/>
      <c r="PQF31" s="914"/>
      <c r="PQG31" s="912"/>
      <c r="PQH31" s="916"/>
      <c r="PQI31" s="917"/>
      <c r="PQJ31" s="917"/>
      <c r="PQK31" s="917"/>
      <c r="PQL31" s="917"/>
      <c r="PQM31" s="917"/>
      <c r="PQN31" s="917"/>
      <c r="PQO31" s="917"/>
      <c r="PQP31" s="918"/>
      <c r="PQQ31" s="914"/>
      <c r="PQR31" s="912"/>
      <c r="PQS31" s="916"/>
      <c r="PQT31" s="917"/>
      <c r="PQU31" s="917"/>
      <c r="PQV31" s="917"/>
      <c r="PQW31" s="917"/>
      <c r="PQX31" s="917"/>
      <c r="PQY31" s="917"/>
      <c r="PQZ31" s="917"/>
      <c r="PRA31" s="918"/>
      <c r="PRB31" s="914"/>
      <c r="PRC31" s="912"/>
      <c r="PRD31" s="916"/>
      <c r="PRE31" s="917"/>
      <c r="PRF31" s="917"/>
      <c r="PRG31" s="917"/>
      <c r="PRH31" s="917"/>
      <c r="PRI31" s="917"/>
      <c r="PRJ31" s="917"/>
      <c r="PRK31" s="917"/>
      <c r="PRL31" s="918"/>
      <c r="PRM31" s="914"/>
      <c r="PRN31" s="912"/>
      <c r="PRO31" s="916"/>
      <c r="PRP31" s="917"/>
      <c r="PRQ31" s="917"/>
      <c r="PRR31" s="917"/>
      <c r="PRS31" s="917"/>
      <c r="PRT31" s="917"/>
      <c r="PRU31" s="917"/>
      <c r="PRV31" s="917"/>
      <c r="PRW31" s="918"/>
      <c r="PRX31" s="914"/>
      <c r="PRY31" s="912"/>
      <c r="PRZ31" s="916"/>
      <c r="PSA31" s="917"/>
      <c r="PSB31" s="917"/>
      <c r="PSC31" s="917"/>
      <c r="PSD31" s="917"/>
      <c r="PSE31" s="917"/>
      <c r="PSF31" s="917"/>
      <c r="PSG31" s="917"/>
      <c r="PSH31" s="918"/>
      <c r="PSI31" s="914"/>
      <c r="PSJ31" s="912"/>
      <c r="PSK31" s="916"/>
      <c r="PSL31" s="917"/>
      <c r="PSM31" s="917"/>
      <c r="PSN31" s="917"/>
      <c r="PSO31" s="917"/>
      <c r="PSP31" s="917"/>
      <c r="PSQ31" s="917"/>
      <c r="PSR31" s="917"/>
      <c r="PSS31" s="918"/>
      <c r="PST31" s="914"/>
      <c r="PSU31" s="912"/>
      <c r="PSV31" s="916"/>
      <c r="PSW31" s="917"/>
      <c r="PSX31" s="917"/>
      <c r="PSY31" s="917"/>
      <c r="PSZ31" s="917"/>
      <c r="PTA31" s="917"/>
      <c r="PTB31" s="917"/>
      <c r="PTC31" s="917"/>
      <c r="PTD31" s="918"/>
      <c r="PTE31" s="914"/>
      <c r="PTF31" s="912"/>
      <c r="PTG31" s="916"/>
      <c r="PTH31" s="917"/>
      <c r="PTI31" s="917"/>
      <c r="PTJ31" s="917"/>
      <c r="PTK31" s="917"/>
      <c r="PTL31" s="917"/>
      <c r="PTM31" s="917"/>
      <c r="PTN31" s="917"/>
      <c r="PTO31" s="918"/>
      <c r="PTP31" s="914"/>
      <c r="PTQ31" s="912"/>
      <c r="PTR31" s="916"/>
      <c r="PTS31" s="917"/>
      <c r="PTT31" s="917"/>
      <c r="PTU31" s="917"/>
      <c r="PTV31" s="917"/>
      <c r="PTW31" s="917"/>
      <c r="PTX31" s="917"/>
      <c r="PTY31" s="917"/>
      <c r="PTZ31" s="918"/>
      <c r="PUA31" s="914"/>
      <c r="PUB31" s="912"/>
      <c r="PUC31" s="916"/>
      <c r="PUD31" s="917"/>
      <c r="PUE31" s="917"/>
      <c r="PUF31" s="917"/>
      <c r="PUG31" s="917"/>
      <c r="PUH31" s="917"/>
      <c r="PUI31" s="917"/>
      <c r="PUJ31" s="917"/>
      <c r="PUK31" s="918"/>
      <c r="PUL31" s="914"/>
      <c r="PUM31" s="912"/>
      <c r="PUN31" s="916"/>
      <c r="PUO31" s="917"/>
      <c r="PUP31" s="917"/>
      <c r="PUQ31" s="917"/>
      <c r="PUR31" s="917"/>
      <c r="PUS31" s="917"/>
      <c r="PUT31" s="917"/>
      <c r="PUU31" s="917"/>
      <c r="PUV31" s="918"/>
      <c r="PUW31" s="914"/>
      <c r="PUX31" s="912"/>
      <c r="PUY31" s="916"/>
      <c r="PUZ31" s="917"/>
      <c r="PVA31" s="917"/>
      <c r="PVB31" s="917"/>
      <c r="PVC31" s="917"/>
      <c r="PVD31" s="917"/>
      <c r="PVE31" s="917"/>
      <c r="PVF31" s="917"/>
      <c r="PVG31" s="918"/>
      <c r="PVH31" s="914"/>
      <c r="PVI31" s="912"/>
      <c r="PVJ31" s="916"/>
      <c r="PVK31" s="917"/>
      <c r="PVL31" s="917"/>
      <c r="PVM31" s="917"/>
      <c r="PVN31" s="917"/>
      <c r="PVO31" s="917"/>
      <c r="PVP31" s="917"/>
      <c r="PVQ31" s="917"/>
      <c r="PVR31" s="918"/>
      <c r="PVS31" s="914"/>
      <c r="PVT31" s="912"/>
      <c r="PVU31" s="916"/>
      <c r="PVV31" s="917"/>
      <c r="PVW31" s="917"/>
      <c r="PVX31" s="917"/>
      <c r="PVY31" s="917"/>
      <c r="PVZ31" s="917"/>
      <c r="PWA31" s="917"/>
      <c r="PWB31" s="917"/>
      <c r="PWC31" s="918"/>
      <c r="PWD31" s="914"/>
      <c r="PWE31" s="912"/>
      <c r="PWF31" s="916"/>
      <c r="PWG31" s="917"/>
      <c r="PWH31" s="917"/>
      <c r="PWI31" s="917"/>
      <c r="PWJ31" s="917"/>
      <c r="PWK31" s="917"/>
      <c r="PWL31" s="917"/>
      <c r="PWM31" s="917"/>
      <c r="PWN31" s="918"/>
      <c r="PWO31" s="914"/>
      <c r="PWP31" s="912"/>
      <c r="PWQ31" s="916"/>
      <c r="PWR31" s="917"/>
      <c r="PWS31" s="917"/>
      <c r="PWT31" s="917"/>
      <c r="PWU31" s="917"/>
      <c r="PWV31" s="917"/>
      <c r="PWW31" s="917"/>
      <c r="PWX31" s="917"/>
      <c r="PWY31" s="918"/>
      <c r="PWZ31" s="914"/>
      <c r="PXA31" s="912"/>
      <c r="PXB31" s="916"/>
      <c r="PXC31" s="917"/>
      <c r="PXD31" s="917"/>
      <c r="PXE31" s="917"/>
      <c r="PXF31" s="917"/>
      <c r="PXG31" s="917"/>
      <c r="PXH31" s="917"/>
      <c r="PXI31" s="917"/>
      <c r="PXJ31" s="918"/>
      <c r="PXK31" s="914"/>
      <c r="PXL31" s="912"/>
      <c r="PXM31" s="916"/>
      <c r="PXN31" s="917"/>
      <c r="PXO31" s="917"/>
      <c r="PXP31" s="917"/>
      <c r="PXQ31" s="917"/>
      <c r="PXR31" s="917"/>
      <c r="PXS31" s="917"/>
      <c r="PXT31" s="917"/>
      <c r="PXU31" s="918"/>
      <c r="PXV31" s="914"/>
      <c r="PXW31" s="912"/>
      <c r="PXX31" s="916"/>
      <c r="PXY31" s="917"/>
      <c r="PXZ31" s="917"/>
      <c r="PYA31" s="917"/>
      <c r="PYB31" s="917"/>
      <c r="PYC31" s="917"/>
      <c r="PYD31" s="917"/>
      <c r="PYE31" s="917"/>
      <c r="PYF31" s="918"/>
      <c r="PYG31" s="914"/>
      <c r="PYH31" s="912"/>
      <c r="PYI31" s="916"/>
      <c r="PYJ31" s="917"/>
      <c r="PYK31" s="917"/>
      <c r="PYL31" s="917"/>
      <c r="PYM31" s="917"/>
      <c r="PYN31" s="917"/>
      <c r="PYO31" s="917"/>
      <c r="PYP31" s="917"/>
      <c r="PYQ31" s="918"/>
      <c r="PYR31" s="914"/>
      <c r="PYS31" s="912"/>
      <c r="PYT31" s="916"/>
      <c r="PYU31" s="917"/>
      <c r="PYV31" s="917"/>
      <c r="PYW31" s="917"/>
      <c r="PYX31" s="917"/>
      <c r="PYY31" s="917"/>
      <c r="PYZ31" s="917"/>
      <c r="PZA31" s="917"/>
      <c r="PZB31" s="918"/>
      <c r="PZC31" s="914"/>
      <c r="PZD31" s="912"/>
      <c r="PZE31" s="916"/>
      <c r="PZF31" s="917"/>
      <c r="PZG31" s="917"/>
      <c r="PZH31" s="917"/>
      <c r="PZI31" s="917"/>
      <c r="PZJ31" s="917"/>
      <c r="PZK31" s="917"/>
      <c r="PZL31" s="917"/>
      <c r="PZM31" s="918"/>
      <c r="PZN31" s="914"/>
      <c r="PZO31" s="912"/>
      <c r="PZP31" s="916"/>
      <c r="PZQ31" s="917"/>
      <c r="PZR31" s="917"/>
      <c r="PZS31" s="917"/>
      <c r="PZT31" s="917"/>
      <c r="PZU31" s="917"/>
      <c r="PZV31" s="917"/>
      <c r="PZW31" s="917"/>
      <c r="PZX31" s="918"/>
      <c r="PZY31" s="914"/>
      <c r="PZZ31" s="912"/>
      <c r="QAA31" s="916"/>
      <c r="QAB31" s="917"/>
      <c r="QAC31" s="917"/>
      <c r="QAD31" s="917"/>
      <c r="QAE31" s="917"/>
      <c r="QAF31" s="917"/>
      <c r="QAG31" s="917"/>
      <c r="QAH31" s="917"/>
      <c r="QAI31" s="918"/>
      <c r="QAJ31" s="914"/>
      <c r="QAK31" s="912"/>
      <c r="QAL31" s="916"/>
      <c r="QAM31" s="917"/>
      <c r="QAN31" s="917"/>
      <c r="QAO31" s="917"/>
      <c r="QAP31" s="917"/>
      <c r="QAQ31" s="917"/>
      <c r="QAR31" s="917"/>
      <c r="QAS31" s="917"/>
      <c r="QAT31" s="918"/>
      <c r="QAU31" s="914"/>
      <c r="QAV31" s="912"/>
      <c r="QAW31" s="916"/>
      <c r="QAX31" s="917"/>
      <c r="QAY31" s="917"/>
      <c r="QAZ31" s="917"/>
      <c r="QBA31" s="917"/>
      <c r="QBB31" s="917"/>
      <c r="QBC31" s="917"/>
      <c r="QBD31" s="917"/>
      <c r="QBE31" s="918"/>
      <c r="QBF31" s="914"/>
      <c r="QBG31" s="912"/>
      <c r="QBH31" s="916"/>
      <c r="QBI31" s="917"/>
      <c r="QBJ31" s="917"/>
      <c r="QBK31" s="917"/>
      <c r="QBL31" s="917"/>
      <c r="QBM31" s="917"/>
      <c r="QBN31" s="917"/>
      <c r="QBO31" s="917"/>
      <c r="QBP31" s="918"/>
      <c r="QBQ31" s="914"/>
      <c r="QBR31" s="912"/>
      <c r="QBS31" s="916"/>
      <c r="QBT31" s="917"/>
      <c r="QBU31" s="917"/>
      <c r="QBV31" s="917"/>
      <c r="QBW31" s="917"/>
      <c r="QBX31" s="917"/>
      <c r="QBY31" s="917"/>
      <c r="QBZ31" s="917"/>
      <c r="QCA31" s="918"/>
      <c r="QCB31" s="914"/>
      <c r="QCC31" s="912"/>
      <c r="QCD31" s="916"/>
      <c r="QCE31" s="917"/>
      <c r="QCF31" s="917"/>
      <c r="QCG31" s="917"/>
      <c r="QCH31" s="917"/>
      <c r="QCI31" s="917"/>
      <c r="QCJ31" s="917"/>
      <c r="QCK31" s="917"/>
      <c r="QCL31" s="918"/>
      <c r="QCM31" s="914"/>
      <c r="QCN31" s="912"/>
      <c r="QCO31" s="916"/>
      <c r="QCP31" s="917"/>
      <c r="QCQ31" s="917"/>
      <c r="QCR31" s="917"/>
      <c r="QCS31" s="917"/>
      <c r="QCT31" s="917"/>
      <c r="QCU31" s="917"/>
      <c r="QCV31" s="917"/>
      <c r="QCW31" s="918"/>
      <c r="QCX31" s="914"/>
      <c r="QCY31" s="912"/>
      <c r="QCZ31" s="916"/>
      <c r="QDA31" s="917"/>
      <c r="QDB31" s="917"/>
      <c r="QDC31" s="917"/>
      <c r="QDD31" s="917"/>
      <c r="QDE31" s="917"/>
      <c r="QDF31" s="917"/>
      <c r="QDG31" s="917"/>
      <c r="QDH31" s="918"/>
      <c r="QDI31" s="914"/>
      <c r="QDJ31" s="912"/>
      <c r="QDK31" s="916"/>
      <c r="QDL31" s="917"/>
      <c r="QDM31" s="917"/>
      <c r="QDN31" s="917"/>
      <c r="QDO31" s="917"/>
      <c r="QDP31" s="917"/>
      <c r="QDQ31" s="917"/>
      <c r="QDR31" s="917"/>
      <c r="QDS31" s="918"/>
      <c r="QDT31" s="914"/>
      <c r="QDU31" s="912"/>
      <c r="QDV31" s="916"/>
      <c r="QDW31" s="917"/>
      <c r="QDX31" s="917"/>
      <c r="QDY31" s="917"/>
      <c r="QDZ31" s="917"/>
      <c r="QEA31" s="917"/>
      <c r="QEB31" s="917"/>
      <c r="QEC31" s="917"/>
      <c r="QED31" s="918"/>
      <c r="QEE31" s="914"/>
      <c r="QEF31" s="912"/>
      <c r="QEG31" s="916"/>
      <c r="QEH31" s="917"/>
      <c r="QEI31" s="917"/>
      <c r="QEJ31" s="917"/>
      <c r="QEK31" s="917"/>
      <c r="QEL31" s="917"/>
      <c r="QEM31" s="917"/>
      <c r="QEN31" s="917"/>
      <c r="QEO31" s="918"/>
      <c r="QEP31" s="914"/>
      <c r="QEQ31" s="912"/>
      <c r="QER31" s="916"/>
      <c r="QES31" s="917"/>
      <c r="QET31" s="917"/>
      <c r="QEU31" s="917"/>
      <c r="QEV31" s="917"/>
      <c r="QEW31" s="917"/>
      <c r="QEX31" s="917"/>
      <c r="QEY31" s="917"/>
      <c r="QEZ31" s="918"/>
      <c r="QFA31" s="914"/>
      <c r="QFB31" s="912"/>
      <c r="QFC31" s="916"/>
      <c r="QFD31" s="917"/>
      <c r="QFE31" s="917"/>
      <c r="QFF31" s="917"/>
      <c r="QFG31" s="917"/>
      <c r="QFH31" s="917"/>
      <c r="QFI31" s="917"/>
      <c r="QFJ31" s="917"/>
      <c r="QFK31" s="918"/>
      <c r="QFL31" s="914"/>
      <c r="QFM31" s="912"/>
      <c r="QFN31" s="916"/>
      <c r="QFO31" s="917"/>
      <c r="QFP31" s="917"/>
      <c r="QFQ31" s="917"/>
      <c r="QFR31" s="917"/>
      <c r="QFS31" s="917"/>
      <c r="QFT31" s="917"/>
      <c r="QFU31" s="917"/>
      <c r="QFV31" s="918"/>
      <c r="QFW31" s="914"/>
      <c r="QFX31" s="912"/>
      <c r="QFY31" s="916"/>
      <c r="QFZ31" s="917"/>
      <c r="QGA31" s="917"/>
      <c r="QGB31" s="917"/>
      <c r="QGC31" s="917"/>
      <c r="QGD31" s="917"/>
      <c r="QGE31" s="917"/>
      <c r="QGF31" s="917"/>
      <c r="QGG31" s="918"/>
      <c r="QGH31" s="914"/>
      <c r="QGI31" s="912"/>
      <c r="QGJ31" s="916"/>
      <c r="QGK31" s="917"/>
      <c r="QGL31" s="917"/>
      <c r="QGM31" s="917"/>
      <c r="QGN31" s="917"/>
      <c r="QGO31" s="917"/>
      <c r="QGP31" s="917"/>
      <c r="QGQ31" s="917"/>
      <c r="QGR31" s="918"/>
      <c r="QGS31" s="914"/>
      <c r="QGT31" s="912"/>
      <c r="QGU31" s="916"/>
      <c r="QGV31" s="917"/>
      <c r="QGW31" s="917"/>
      <c r="QGX31" s="917"/>
      <c r="QGY31" s="917"/>
      <c r="QGZ31" s="917"/>
      <c r="QHA31" s="917"/>
      <c r="QHB31" s="917"/>
      <c r="QHC31" s="918"/>
      <c r="QHD31" s="914"/>
      <c r="QHE31" s="912"/>
      <c r="QHF31" s="916"/>
      <c r="QHG31" s="917"/>
      <c r="QHH31" s="917"/>
      <c r="QHI31" s="917"/>
      <c r="QHJ31" s="917"/>
      <c r="QHK31" s="917"/>
      <c r="QHL31" s="917"/>
      <c r="QHM31" s="917"/>
      <c r="QHN31" s="918"/>
      <c r="QHO31" s="914"/>
      <c r="QHP31" s="912"/>
      <c r="QHQ31" s="916"/>
      <c r="QHR31" s="917"/>
      <c r="QHS31" s="917"/>
      <c r="QHT31" s="917"/>
      <c r="QHU31" s="917"/>
      <c r="QHV31" s="917"/>
      <c r="QHW31" s="917"/>
      <c r="QHX31" s="917"/>
      <c r="QHY31" s="918"/>
      <c r="QHZ31" s="914"/>
      <c r="QIA31" s="912"/>
      <c r="QIB31" s="916"/>
      <c r="QIC31" s="917"/>
      <c r="QID31" s="917"/>
      <c r="QIE31" s="917"/>
      <c r="QIF31" s="917"/>
      <c r="QIG31" s="917"/>
      <c r="QIH31" s="917"/>
      <c r="QII31" s="917"/>
      <c r="QIJ31" s="918"/>
      <c r="QIK31" s="914"/>
      <c r="QIL31" s="912"/>
      <c r="QIM31" s="916"/>
      <c r="QIN31" s="917"/>
      <c r="QIO31" s="917"/>
      <c r="QIP31" s="917"/>
      <c r="QIQ31" s="917"/>
      <c r="QIR31" s="917"/>
      <c r="QIS31" s="917"/>
      <c r="QIT31" s="917"/>
      <c r="QIU31" s="918"/>
      <c r="QIV31" s="914"/>
      <c r="QIW31" s="912"/>
      <c r="QIX31" s="916"/>
      <c r="QIY31" s="917"/>
      <c r="QIZ31" s="917"/>
      <c r="QJA31" s="917"/>
      <c r="QJB31" s="917"/>
      <c r="QJC31" s="917"/>
      <c r="QJD31" s="917"/>
      <c r="QJE31" s="917"/>
      <c r="QJF31" s="918"/>
      <c r="QJG31" s="914"/>
      <c r="QJH31" s="912"/>
      <c r="QJI31" s="916"/>
      <c r="QJJ31" s="917"/>
      <c r="QJK31" s="917"/>
      <c r="QJL31" s="917"/>
      <c r="QJM31" s="917"/>
      <c r="QJN31" s="917"/>
      <c r="QJO31" s="917"/>
      <c r="QJP31" s="917"/>
      <c r="QJQ31" s="918"/>
      <c r="QJR31" s="914"/>
      <c r="QJS31" s="912"/>
      <c r="QJT31" s="916"/>
      <c r="QJU31" s="917"/>
      <c r="QJV31" s="917"/>
      <c r="QJW31" s="917"/>
      <c r="QJX31" s="917"/>
      <c r="QJY31" s="917"/>
      <c r="QJZ31" s="917"/>
      <c r="QKA31" s="917"/>
      <c r="QKB31" s="918"/>
      <c r="QKC31" s="914"/>
      <c r="QKD31" s="912"/>
      <c r="QKE31" s="916"/>
      <c r="QKF31" s="917"/>
      <c r="QKG31" s="917"/>
      <c r="QKH31" s="917"/>
      <c r="QKI31" s="917"/>
      <c r="QKJ31" s="917"/>
      <c r="QKK31" s="917"/>
      <c r="QKL31" s="917"/>
      <c r="QKM31" s="918"/>
      <c r="QKN31" s="914"/>
      <c r="QKO31" s="912"/>
      <c r="QKP31" s="916"/>
      <c r="QKQ31" s="917"/>
      <c r="QKR31" s="917"/>
      <c r="QKS31" s="917"/>
      <c r="QKT31" s="917"/>
      <c r="QKU31" s="917"/>
      <c r="QKV31" s="917"/>
      <c r="QKW31" s="917"/>
      <c r="QKX31" s="918"/>
      <c r="QKY31" s="914"/>
      <c r="QKZ31" s="912"/>
      <c r="QLA31" s="916"/>
      <c r="QLB31" s="917"/>
      <c r="QLC31" s="917"/>
      <c r="QLD31" s="917"/>
      <c r="QLE31" s="917"/>
      <c r="QLF31" s="917"/>
      <c r="QLG31" s="917"/>
      <c r="QLH31" s="917"/>
      <c r="QLI31" s="918"/>
      <c r="QLJ31" s="914"/>
      <c r="QLK31" s="912"/>
      <c r="QLL31" s="916"/>
      <c r="QLM31" s="917"/>
      <c r="QLN31" s="917"/>
      <c r="QLO31" s="917"/>
      <c r="QLP31" s="917"/>
      <c r="QLQ31" s="917"/>
      <c r="QLR31" s="917"/>
      <c r="QLS31" s="917"/>
      <c r="QLT31" s="918"/>
      <c r="QLU31" s="914"/>
      <c r="QLV31" s="912"/>
      <c r="QLW31" s="916"/>
      <c r="QLX31" s="917"/>
      <c r="QLY31" s="917"/>
      <c r="QLZ31" s="917"/>
      <c r="QMA31" s="917"/>
      <c r="QMB31" s="917"/>
      <c r="QMC31" s="917"/>
      <c r="QMD31" s="917"/>
      <c r="QME31" s="918"/>
      <c r="QMF31" s="914"/>
      <c r="QMG31" s="912"/>
      <c r="QMH31" s="916"/>
      <c r="QMI31" s="917"/>
      <c r="QMJ31" s="917"/>
      <c r="QMK31" s="917"/>
      <c r="QML31" s="917"/>
      <c r="QMM31" s="917"/>
      <c r="QMN31" s="917"/>
      <c r="QMO31" s="917"/>
      <c r="QMP31" s="918"/>
      <c r="QMQ31" s="914"/>
      <c r="QMR31" s="912"/>
      <c r="QMS31" s="916"/>
      <c r="QMT31" s="917"/>
      <c r="QMU31" s="917"/>
      <c r="QMV31" s="917"/>
      <c r="QMW31" s="917"/>
      <c r="QMX31" s="917"/>
      <c r="QMY31" s="917"/>
      <c r="QMZ31" s="917"/>
      <c r="QNA31" s="918"/>
      <c r="QNB31" s="914"/>
      <c r="QNC31" s="912"/>
      <c r="QND31" s="916"/>
      <c r="QNE31" s="917"/>
      <c r="QNF31" s="917"/>
      <c r="QNG31" s="917"/>
      <c r="QNH31" s="917"/>
      <c r="QNI31" s="917"/>
      <c r="QNJ31" s="917"/>
      <c r="QNK31" s="917"/>
      <c r="QNL31" s="918"/>
      <c r="QNM31" s="914"/>
      <c r="QNN31" s="912"/>
      <c r="QNO31" s="916"/>
      <c r="QNP31" s="917"/>
      <c r="QNQ31" s="917"/>
      <c r="QNR31" s="917"/>
      <c r="QNS31" s="917"/>
      <c r="QNT31" s="917"/>
      <c r="QNU31" s="917"/>
      <c r="QNV31" s="917"/>
      <c r="QNW31" s="918"/>
      <c r="QNX31" s="914"/>
      <c r="QNY31" s="912"/>
      <c r="QNZ31" s="916"/>
      <c r="QOA31" s="917"/>
      <c r="QOB31" s="917"/>
      <c r="QOC31" s="917"/>
      <c r="QOD31" s="917"/>
      <c r="QOE31" s="917"/>
      <c r="QOF31" s="917"/>
      <c r="QOG31" s="917"/>
      <c r="QOH31" s="918"/>
      <c r="QOI31" s="914"/>
      <c r="QOJ31" s="912"/>
      <c r="QOK31" s="916"/>
      <c r="QOL31" s="917"/>
      <c r="QOM31" s="917"/>
      <c r="QON31" s="917"/>
      <c r="QOO31" s="917"/>
      <c r="QOP31" s="917"/>
      <c r="QOQ31" s="917"/>
      <c r="QOR31" s="917"/>
      <c r="QOS31" s="918"/>
      <c r="QOT31" s="914"/>
      <c r="QOU31" s="912"/>
      <c r="QOV31" s="916"/>
      <c r="QOW31" s="917"/>
      <c r="QOX31" s="917"/>
      <c r="QOY31" s="917"/>
      <c r="QOZ31" s="917"/>
      <c r="QPA31" s="917"/>
      <c r="QPB31" s="917"/>
      <c r="QPC31" s="917"/>
      <c r="QPD31" s="918"/>
      <c r="QPE31" s="914"/>
      <c r="QPF31" s="912"/>
      <c r="QPG31" s="916"/>
      <c r="QPH31" s="917"/>
      <c r="QPI31" s="917"/>
      <c r="QPJ31" s="917"/>
      <c r="QPK31" s="917"/>
      <c r="QPL31" s="917"/>
      <c r="QPM31" s="917"/>
      <c r="QPN31" s="917"/>
      <c r="QPO31" s="918"/>
      <c r="QPP31" s="914"/>
      <c r="QPQ31" s="912"/>
      <c r="QPR31" s="916"/>
      <c r="QPS31" s="917"/>
      <c r="QPT31" s="917"/>
      <c r="QPU31" s="917"/>
      <c r="QPV31" s="917"/>
      <c r="QPW31" s="917"/>
      <c r="QPX31" s="917"/>
      <c r="QPY31" s="917"/>
      <c r="QPZ31" s="918"/>
      <c r="QQA31" s="914"/>
      <c r="QQB31" s="912"/>
      <c r="QQC31" s="916"/>
      <c r="QQD31" s="917"/>
      <c r="QQE31" s="917"/>
      <c r="QQF31" s="917"/>
      <c r="QQG31" s="917"/>
      <c r="QQH31" s="917"/>
      <c r="QQI31" s="917"/>
      <c r="QQJ31" s="917"/>
      <c r="QQK31" s="918"/>
      <c r="QQL31" s="914"/>
      <c r="QQM31" s="912"/>
      <c r="QQN31" s="916"/>
      <c r="QQO31" s="917"/>
      <c r="QQP31" s="917"/>
      <c r="QQQ31" s="917"/>
      <c r="QQR31" s="917"/>
      <c r="QQS31" s="917"/>
      <c r="QQT31" s="917"/>
      <c r="QQU31" s="917"/>
      <c r="QQV31" s="918"/>
      <c r="QQW31" s="914"/>
      <c r="QQX31" s="912"/>
      <c r="QQY31" s="916"/>
      <c r="QQZ31" s="917"/>
      <c r="QRA31" s="917"/>
      <c r="QRB31" s="917"/>
      <c r="QRC31" s="917"/>
      <c r="QRD31" s="917"/>
      <c r="QRE31" s="917"/>
      <c r="QRF31" s="917"/>
      <c r="QRG31" s="918"/>
      <c r="QRH31" s="914"/>
      <c r="QRI31" s="912"/>
      <c r="QRJ31" s="916"/>
      <c r="QRK31" s="917"/>
      <c r="QRL31" s="917"/>
      <c r="QRM31" s="917"/>
      <c r="QRN31" s="917"/>
      <c r="QRO31" s="917"/>
      <c r="QRP31" s="917"/>
      <c r="QRQ31" s="917"/>
      <c r="QRR31" s="918"/>
      <c r="QRS31" s="914"/>
      <c r="QRT31" s="912"/>
      <c r="QRU31" s="916"/>
      <c r="QRV31" s="917"/>
      <c r="QRW31" s="917"/>
      <c r="QRX31" s="917"/>
      <c r="QRY31" s="917"/>
      <c r="QRZ31" s="917"/>
      <c r="QSA31" s="917"/>
      <c r="QSB31" s="917"/>
      <c r="QSC31" s="918"/>
      <c r="QSD31" s="914"/>
      <c r="QSE31" s="912"/>
      <c r="QSF31" s="916"/>
      <c r="QSG31" s="917"/>
      <c r="QSH31" s="917"/>
      <c r="QSI31" s="917"/>
      <c r="QSJ31" s="917"/>
      <c r="QSK31" s="917"/>
      <c r="QSL31" s="917"/>
      <c r="QSM31" s="917"/>
      <c r="QSN31" s="918"/>
      <c r="QSO31" s="914"/>
      <c r="QSP31" s="912"/>
      <c r="QSQ31" s="916"/>
      <c r="QSR31" s="917"/>
      <c r="QSS31" s="917"/>
      <c r="QST31" s="917"/>
      <c r="QSU31" s="917"/>
      <c r="QSV31" s="917"/>
      <c r="QSW31" s="917"/>
      <c r="QSX31" s="917"/>
      <c r="QSY31" s="918"/>
      <c r="QSZ31" s="914"/>
      <c r="QTA31" s="912"/>
      <c r="QTB31" s="916"/>
      <c r="QTC31" s="917"/>
      <c r="QTD31" s="917"/>
      <c r="QTE31" s="917"/>
      <c r="QTF31" s="917"/>
      <c r="QTG31" s="917"/>
      <c r="QTH31" s="917"/>
      <c r="QTI31" s="917"/>
      <c r="QTJ31" s="918"/>
      <c r="QTK31" s="914"/>
      <c r="QTL31" s="912"/>
      <c r="QTM31" s="916"/>
      <c r="QTN31" s="917"/>
      <c r="QTO31" s="917"/>
      <c r="QTP31" s="917"/>
      <c r="QTQ31" s="917"/>
      <c r="QTR31" s="917"/>
      <c r="QTS31" s="917"/>
      <c r="QTT31" s="917"/>
      <c r="QTU31" s="918"/>
      <c r="QTV31" s="914"/>
      <c r="QTW31" s="912"/>
      <c r="QTX31" s="916"/>
      <c r="QTY31" s="917"/>
      <c r="QTZ31" s="917"/>
      <c r="QUA31" s="917"/>
      <c r="QUB31" s="917"/>
      <c r="QUC31" s="917"/>
      <c r="QUD31" s="917"/>
      <c r="QUE31" s="917"/>
      <c r="QUF31" s="918"/>
      <c r="QUG31" s="914"/>
      <c r="QUH31" s="912"/>
      <c r="QUI31" s="916"/>
      <c r="QUJ31" s="917"/>
      <c r="QUK31" s="917"/>
      <c r="QUL31" s="917"/>
      <c r="QUM31" s="917"/>
      <c r="QUN31" s="917"/>
      <c r="QUO31" s="917"/>
      <c r="QUP31" s="917"/>
      <c r="QUQ31" s="918"/>
      <c r="QUR31" s="914"/>
      <c r="QUS31" s="912"/>
      <c r="QUT31" s="916"/>
      <c r="QUU31" s="917"/>
      <c r="QUV31" s="917"/>
      <c r="QUW31" s="917"/>
      <c r="QUX31" s="917"/>
      <c r="QUY31" s="917"/>
      <c r="QUZ31" s="917"/>
      <c r="QVA31" s="917"/>
      <c r="QVB31" s="918"/>
      <c r="QVC31" s="914"/>
      <c r="QVD31" s="912"/>
      <c r="QVE31" s="916"/>
      <c r="QVF31" s="917"/>
      <c r="QVG31" s="917"/>
      <c r="QVH31" s="917"/>
      <c r="QVI31" s="917"/>
      <c r="QVJ31" s="917"/>
      <c r="QVK31" s="917"/>
      <c r="QVL31" s="917"/>
      <c r="QVM31" s="918"/>
      <c r="QVN31" s="914"/>
      <c r="QVO31" s="912"/>
      <c r="QVP31" s="916"/>
      <c r="QVQ31" s="917"/>
      <c r="QVR31" s="917"/>
      <c r="QVS31" s="917"/>
      <c r="QVT31" s="917"/>
      <c r="QVU31" s="917"/>
      <c r="QVV31" s="917"/>
      <c r="QVW31" s="917"/>
      <c r="QVX31" s="918"/>
      <c r="QVY31" s="914"/>
      <c r="QVZ31" s="912"/>
      <c r="QWA31" s="916"/>
      <c r="QWB31" s="917"/>
      <c r="QWC31" s="917"/>
      <c r="QWD31" s="917"/>
      <c r="QWE31" s="917"/>
      <c r="QWF31" s="917"/>
      <c r="QWG31" s="917"/>
      <c r="QWH31" s="917"/>
      <c r="QWI31" s="918"/>
      <c r="QWJ31" s="914"/>
      <c r="QWK31" s="912"/>
      <c r="QWL31" s="916"/>
      <c r="QWM31" s="917"/>
      <c r="QWN31" s="917"/>
      <c r="QWO31" s="917"/>
      <c r="QWP31" s="917"/>
      <c r="QWQ31" s="917"/>
      <c r="QWR31" s="917"/>
      <c r="QWS31" s="917"/>
      <c r="QWT31" s="918"/>
      <c r="QWU31" s="914"/>
      <c r="QWV31" s="912"/>
      <c r="QWW31" s="916"/>
      <c r="QWX31" s="917"/>
      <c r="QWY31" s="917"/>
      <c r="QWZ31" s="917"/>
      <c r="QXA31" s="917"/>
      <c r="QXB31" s="917"/>
      <c r="QXC31" s="917"/>
      <c r="QXD31" s="917"/>
      <c r="QXE31" s="918"/>
      <c r="QXF31" s="914"/>
      <c r="QXG31" s="912"/>
      <c r="QXH31" s="916"/>
      <c r="QXI31" s="917"/>
      <c r="QXJ31" s="917"/>
      <c r="QXK31" s="917"/>
      <c r="QXL31" s="917"/>
      <c r="QXM31" s="917"/>
      <c r="QXN31" s="917"/>
      <c r="QXO31" s="917"/>
      <c r="QXP31" s="918"/>
      <c r="QXQ31" s="914"/>
      <c r="QXR31" s="912"/>
      <c r="QXS31" s="916"/>
      <c r="QXT31" s="917"/>
      <c r="QXU31" s="917"/>
      <c r="QXV31" s="917"/>
      <c r="QXW31" s="917"/>
      <c r="QXX31" s="917"/>
      <c r="QXY31" s="917"/>
      <c r="QXZ31" s="917"/>
      <c r="QYA31" s="918"/>
      <c r="QYB31" s="914"/>
      <c r="QYC31" s="912"/>
      <c r="QYD31" s="916"/>
      <c r="QYE31" s="917"/>
      <c r="QYF31" s="917"/>
      <c r="QYG31" s="917"/>
      <c r="QYH31" s="917"/>
      <c r="QYI31" s="917"/>
      <c r="QYJ31" s="917"/>
      <c r="QYK31" s="917"/>
      <c r="QYL31" s="918"/>
      <c r="QYM31" s="914"/>
      <c r="QYN31" s="912"/>
      <c r="QYO31" s="916"/>
      <c r="QYP31" s="917"/>
      <c r="QYQ31" s="917"/>
      <c r="QYR31" s="917"/>
      <c r="QYS31" s="917"/>
      <c r="QYT31" s="917"/>
      <c r="QYU31" s="917"/>
      <c r="QYV31" s="917"/>
      <c r="QYW31" s="918"/>
      <c r="QYX31" s="914"/>
      <c r="QYY31" s="912"/>
      <c r="QYZ31" s="916"/>
      <c r="QZA31" s="917"/>
      <c r="QZB31" s="917"/>
      <c r="QZC31" s="917"/>
      <c r="QZD31" s="917"/>
      <c r="QZE31" s="917"/>
      <c r="QZF31" s="917"/>
      <c r="QZG31" s="917"/>
      <c r="QZH31" s="918"/>
      <c r="QZI31" s="914"/>
      <c r="QZJ31" s="912"/>
      <c r="QZK31" s="916"/>
      <c r="QZL31" s="917"/>
      <c r="QZM31" s="917"/>
      <c r="QZN31" s="917"/>
      <c r="QZO31" s="917"/>
      <c r="QZP31" s="917"/>
      <c r="QZQ31" s="917"/>
      <c r="QZR31" s="917"/>
      <c r="QZS31" s="918"/>
      <c r="QZT31" s="914"/>
      <c r="QZU31" s="912"/>
      <c r="QZV31" s="916"/>
      <c r="QZW31" s="917"/>
      <c r="QZX31" s="917"/>
      <c r="QZY31" s="917"/>
      <c r="QZZ31" s="917"/>
      <c r="RAA31" s="917"/>
      <c r="RAB31" s="917"/>
      <c r="RAC31" s="917"/>
      <c r="RAD31" s="918"/>
      <c r="RAE31" s="914"/>
      <c r="RAF31" s="912"/>
      <c r="RAG31" s="916"/>
      <c r="RAH31" s="917"/>
      <c r="RAI31" s="917"/>
      <c r="RAJ31" s="917"/>
      <c r="RAK31" s="917"/>
      <c r="RAL31" s="917"/>
      <c r="RAM31" s="917"/>
      <c r="RAN31" s="917"/>
      <c r="RAO31" s="918"/>
      <c r="RAP31" s="914"/>
      <c r="RAQ31" s="912"/>
      <c r="RAR31" s="916"/>
      <c r="RAS31" s="917"/>
      <c r="RAT31" s="917"/>
      <c r="RAU31" s="917"/>
      <c r="RAV31" s="917"/>
      <c r="RAW31" s="917"/>
      <c r="RAX31" s="917"/>
      <c r="RAY31" s="917"/>
      <c r="RAZ31" s="918"/>
      <c r="RBA31" s="914"/>
      <c r="RBB31" s="912"/>
      <c r="RBC31" s="916"/>
      <c r="RBD31" s="917"/>
      <c r="RBE31" s="917"/>
      <c r="RBF31" s="917"/>
      <c r="RBG31" s="917"/>
      <c r="RBH31" s="917"/>
      <c r="RBI31" s="917"/>
      <c r="RBJ31" s="917"/>
      <c r="RBK31" s="918"/>
      <c r="RBL31" s="914"/>
      <c r="RBM31" s="912"/>
      <c r="RBN31" s="916"/>
      <c r="RBO31" s="917"/>
      <c r="RBP31" s="917"/>
      <c r="RBQ31" s="917"/>
      <c r="RBR31" s="917"/>
      <c r="RBS31" s="917"/>
      <c r="RBT31" s="917"/>
      <c r="RBU31" s="917"/>
      <c r="RBV31" s="918"/>
      <c r="RBW31" s="914"/>
      <c r="RBX31" s="912"/>
      <c r="RBY31" s="916"/>
      <c r="RBZ31" s="917"/>
      <c r="RCA31" s="917"/>
      <c r="RCB31" s="917"/>
      <c r="RCC31" s="917"/>
      <c r="RCD31" s="917"/>
      <c r="RCE31" s="917"/>
      <c r="RCF31" s="917"/>
      <c r="RCG31" s="918"/>
      <c r="RCH31" s="914"/>
      <c r="RCI31" s="912"/>
      <c r="RCJ31" s="916"/>
      <c r="RCK31" s="917"/>
      <c r="RCL31" s="917"/>
      <c r="RCM31" s="917"/>
      <c r="RCN31" s="917"/>
      <c r="RCO31" s="917"/>
      <c r="RCP31" s="917"/>
      <c r="RCQ31" s="917"/>
      <c r="RCR31" s="918"/>
      <c r="RCS31" s="914"/>
      <c r="RCT31" s="912"/>
      <c r="RCU31" s="916"/>
      <c r="RCV31" s="917"/>
      <c r="RCW31" s="917"/>
      <c r="RCX31" s="917"/>
      <c r="RCY31" s="917"/>
      <c r="RCZ31" s="917"/>
      <c r="RDA31" s="917"/>
      <c r="RDB31" s="917"/>
      <c r="RDC31" s="918"/>
      <c r="RDD31" s="914"/>
      <c r="RDE31" s="912"/>
      <c r="RDF31" s="916"/>
      <c r="RDG31" s="917"/>
      <c r="RDH31" s="917"/>
      <c r="RDI31" s="917"/>
      <c r="RDJ31" s="917"/>
      <c r="RDK31" s="917"/>
      <c r="RDL31" s="917"/>
      <c r="RDM31" s="917"/>
      <c r="RDN31" s="918"/>
      <c r="RDO31" s="914"/>
      <c r="RDP31" s="912"/>
      <c r="RDQ31" s="916"/>
      <c r="RDR31" s="917"/>
      <c r="RDS31" s="917"/>
      <c r="RDT31" s="917"/>
      <c r="RDU31" s="917"/>
      <c r="RDV31" s="917"/>
      <c r="RDW31" s="917"/>
      <c r="RDX31" s="917"/>
      <c r="RDY31" s="918"/>
      <c r="RDZ31" s="914"/>
      <c r="REA31" s="912"/>
      <c r="REB31" s="916"/>
      <c r="REC31" s="917"/>
      <c r="RED31" s="917"/>
      <c r="REE31" s="917"/>
      <c r="REF31" s="917"/>
      <c r="REG31" s="917"/>
      <c r="REH31" s="917"/>
      <c r="REI31" s="917"/>
      <c r="REJ31" s="918"/>
      <c r="REK31" s="914"/>
      <c r="REL31" s="912"/>
      <c r="REM31" s="916"/>
      <c r="REN31" s="917"/>
      <c r="REO31" s="917"/>
      <c r="REP31" s="917"/>
      <c r="REQ31" s="917"/>
      <c r="RER31" s="917"/>
      <c r="RES31" s="917"/>
      <c r="RET31" s="917"/>
      <c r="REU31" s="918"/>
      <c r="REV31" s="914"/>
      <c r="REW31" s="912"/>
      <c r="REX31" s="916"/>
      <c r="REY31" s="917"/>
      <c r="REZ31" s="917"/>
      <c r="RFA31" s="917"/>
      <c r="RFB31" s="917"/>
      <c r="RFC31" s="917"/>
      <c r="RFD31" s="917"/>
      <c r="RFE31" s="917"/>
      <c r="RFF31" s="918"/>
      <c r="RFG31" s="914"/>
      <c r="RFH31" s="912"/>
      <c r="RFI31" s="916"/>
      <c r="RFJ31" s="917"/>
      <c r="RFK31" s="917"/>
      <c r="RFL31" s="917"/>
      <c r="RFM31" s="917"/>
      <c r="RFN31" s="917"/>
      <c r="RFO31" s="917"/>
      <c r="RFP31" s="917"/>
      <c r="RFQ31" s="918"/>
      <c r="RFR31" s="914"/>
      <c r="RFS31" s="912"/>
      <c r="RFT31" s="916"/>
      <c r="RFU31" s="917"/>
      <c r="RFV31" s="917"/>
      <c r="RFW31" s="917"/>
      <c r="RFX31" s="917"/>
      <c r="RFY31" s="917"/>
      <c r="RFZ31" s="917"/>
      <c r="RGA31" s="917"/>
      <c r="RGB31" s="918"/>
      <c r="RGC31" s="914"/>
      <c r="RGD31" s="912"/>
      <c r="RGE31" s="916"/>
      <c r="RGF31" s="917"/>
      <c r="RGG31" s="917"/>
      <c r="RGH31" s="917"/>
      <c r="RGI31" s="917"/>
      <c r="RGJ31" s="917"/>
      <c r="RGK31" s="917"/>
      <c r="RGL31" s="917"/>
      <c r="RGM31" s="918"/>
      <c r="RGN31" s="914"/>
      <c r="RGO31" s="912"/>
      <c r="RGP31" s="916"/>
      <c r="RGQ31" s="917"/>
      <c r="RGR31" s="917"/>
      <c r="RGS31" s="917"/>
      <c r="RGT31" s="917"/>
      <c r="RGU31" s="917"/>
      <c r="RGV31" s="917"/>
      <c r="RGW31" s="917"/>
      <c r="RGX31" s="918"/>
      <c r="RGY31" s="914"/>
      <c r="RGZ31" s="912"/>
      <c r="RHA31" s="916"/>
      <c r="RHB31" s="917"/>
      <c r="RHC31" s="917"/>
      <c r="RHD31" s="917"/>
      <c r="RHE31" s="917"/>
      <c r="RHF31" s="917"/>
      <c r="RHG31" s="917"/>
      <c r="RHH31" s="917"/>
      <c r="RHI31" s="918"/>
      <c r="RHJ31" s="914"/>
      <c r="RHK31" s="912"/>
      <c r="RHL31" s="916"/>
      <c r="RHM31" s="917"/>
      <c r="RHN31" s="917"/>
      <c r="RHO31" s="917"/>
      <c r="RHP31" s="917"/>
      <c r="RHQ31" s="917"/>
      <c r="RHR31" s="917"/>
      <c r="RHS31" s="917"/>
      <c r="RHT31" s="918"/>
      <c r="RHU31" s="914"/>
      <c r="RHV31" s="912"/>
      <c r="RHW31" s="916"/>
      <c r="RHX31" s="917"/>
      <c r="RHY31" s="917"/>
      <c r="RHZ31" s="917"/>
      <c r="RIA31" s="917"/>
      <c r="RIB31" s="917"/>
      <c r="RIC31" s="917"/>
      <c r="RID31" s="917"/>
      <c r="RIE31" s="918"/>
      <c r="RIF31" s="914"/>
      <c r="RIG31" s="912"/>
      <c r="RIH31" s="916"/>
      <c r="RII31" s="917"/>
      <c r="RIJ31" s="917"/>
      <c r="RIK31" s="917"/>
      <c r="RIL31" s="917"/>
      <c r="RIM31" s="917"/>
      <c r="RIN31" s="917"/>
      <c r="RIO31" s="917"/>
      <c r="RIP31" s="918"/>
      <c r="RIQ31" s="914"/>
      <c r="RIR31" s="912"/>
      <c r="RIS31" s="916"/>
      <c r="RIT31" s="917"/>
      <c r="RIU31" s="917"/>
      <c r="RIV31" s="917"/>
      <c r="RIW31" s="917"/>
      <c r="RIX31" s="917"/>
      <c r="RIY31" s="917"/>
      <c r="RIZ31" s="917"/>
      <c r="RJA31" s="918"/>
      <c r="RJB31" s="914"/>
      <c r="RJC31" s="912"/>
      <c r="RJD31" s="916"/>
      <c r="RJE31" s="917"/>
      <c r="RJF31" s="917"/>
      <c r="RJG31" s="917"/>
      <c r="RJH31" s="917"/>
      <c r="RJI31" s="917"/>
      <c r="RJJ31" s="917"/>
      <c r="RJK31" s="917"/>
      <c r="RJL31" s="918"/>
      <c r="RJM31" s="914"/>
      <c r="RJN31" s="912"/>
      <c r="RJO31" s="916"/>
      <c r="RJP31" s="917"/>
      <c r="RJQ31" s="917"/>
      <c r="RJR31" s="917"/>
      <c r="RJS31" s="917"/>
      <c r="RJT31" s="917"/>
      <c r="RJU31" s="917"/>
      <c r="RJV31" s="917"/>
      <c r="RJW31" s="918"/>
      <c r="RJX31" s="914"/>
      <c r="RJY31" s="912"/>
      <c r="RJZ31" s="916"/>
      <c r="RKA31" s="917"/>
      <c r="RKB31" s="917"/>
      <c r="RKC31" s="917"/>
      <c r="RKD31" s="917"/>
      <c r="RKE31" s="917"/>
      <c r="RKF31" s="917"/>
      <c r="RKG31" s="917"/>
      <c r="RKH31" s="918"/>
      <c r="RKI31" s="914"/>
      <c r="RKJ31" s="912"/>
      <c r="RKK31" s="916"/>
      <c r="RKL31" s="917"/>
      <c r="RKM31" s="917"/>
      <c r="RKN31" s="917"/>
      <c r="RKO31" s="917"/>
      <c r="RKP31" s="917"/>
      <c r="RKQ31" s="917"/>
      <c r="RKR31" s="917"/>
      <c r="RKS31" s="918"/>
      <c r="RKT31" s="914"/>
      <c r="RKU31" s="912"/>
      <c r="RKV31" s="916"/>
      <c r="RKW31" s="917"/>
      <c r="RKX31" s="917"/>
      <c r="RKY31" s="917"/>
      <c r="RKZ31" s="917"/>
      <c r="RLA31" s="917"/>
      <c r="RLB31" s="917"/>
      <c r="RLC31" s="917"/>
      <c r="RLD31" s="918"/>
      <c r="RLE31" s="914"/>
      <c r="RLF31" s="912"/>
      <c r="RLG31" s="916"/>
      <c r="RLH31" s="917"/>
      <c r="RLI31" s="917"/>
      <c r="RLJ31" s="917"/>
      <c r="RLK31" s="917"/>
      <c r="RLL31" s="917"/>
      <c r="RLM31" s="917"/>
      <c r="RLN31" s="917"/>
      <c r="RLO31" s="918"/>
      <c r="RLP31" s="914"/>
      <c r="RLQ31" s="912"/>
      <c r="RLR31" s="916"/>
      <c r="RLS31" s="917"/>
      <c r="RLT31" s="917"/>
      <c r="RLU31" s="917"/>
      <c r="RLV31" s="917"/>
      <c r="RLW31" s="917"/>
      <c r="RLX31" s="917"/>
      <c r="RLY31" s="917"/>
      <c r="RLZ31" s="918"/>
      <c r="RMA31" s="914"/>
      <c r="RMB31" s="912"/>
      <c r="RMC31" s="916"/>
      <c r="RMD31" s="917"/>
      <c r="RME31" s="917"/>
      <c r="RMF31" s="917"/>
      <c r="RMG31" s="917"/>
      <c r="RMH31" s="917"/>
      <c r="RMI31" s="917"/>
      <c r="RMJ31" s="917"/>
      <c r="RMK31" s="918"/>
      <c r="RML31" s="914"/>
      <c r="RMM31" s="912"/>
      <c r="RMN31" s="916"/>
      <c r="RMO31" s="917"/>
      <c r="RMP31" s="917"/>
      <c r="RMQ31" s="917"/>
      <c r="RMR31" s="917"/>
      <c r="RMS31" s="917"/>
      <c r="RMT31" s="917"/>
      <c r="RMU31" s="917"/>
      <c r="RMV31" s="918"/>
      <c r="RMW31" s="914"/>
      <c r="RMX31" s="912"/>
      <c r="RMY31" s="916"/>
      <c r="RMZ31" s="917"/>
      <c r="RNA31" s="917"/>
      <c r="RNB31" s="917"/>
      <c r="RNC31" s="917"/>
      <c r="RND31" s="917"/>
      <c r="RNE31" s="917"/>
      <c r="RNF31" s="917"/>
      <c r="RNG31" s="918"/>
      <c r="RNH31" s="914"/>
      <c r="RNI31" s="912"/>
      <c r="RNJ31" s="916"/>
      <c r="RNK31" s="917"/>
      <c r="RNL31" s="917"/>
      <c r="RNM31" s="917"/>
      <c r="RNN31" s="917"/>
      <c r="RNO31" s="917"/>
      <c r="RNP31" s="917"/>
      <c r="RNQ31" s="917"/>
      <c r="RNR31" s="918"/>
      <c r="RNS31" s="914"/>
      <c r="RNT31" s="912"/>
      <c r="RNU31" s="916"/>
      <c r="RNV31" s="917"/>
      <c r="RNW31" s="917"/>
      <c r="RNX31" s="917"/>
      <c r="RNY31" s="917"/>
      <c r="RNZ31" s="917"/>
      <c r="ROA31" s="917"/>
      <c r="ROB31" s="917"/>
      <c r="ROC31" s="918"/>
      <c r="ROD31" s="914"/>
      <c r="ROE31" s="912"/>
      <c r="ROF31" s="916"/>
      <c r="ROG31" s="917"/>
      <c r="ROH31" s="917"/>
      <c r="ROI31" s="917"/>
      <c r="ROJ31" s="917"/>
      <c r="ROK31" s="917"/>
      <c r="ROL31" s="917"/>
      <c r="ROM31" s="917"/>
      <c r="RON31" s="918"/>
      <c r="ROO31" s="914"/>
      <c r="ROP31" s="912"/>
      <c r="ROQ31" s="916"/>
      <c r="ROR31" s="917"/>
      <c r="ROS31" s="917"/>
      <c r="ROT31" s="917"/>
      <c r="ROU31" s="917"/>
      <c r="ROV31" s="917"/>
      <c r="ROW31" s="917"/>
      <c r="ROX31" s="917"/>
      <c r="ROY31" s="918"/>
      <c r="ROZ31" s="914"/>
      <c r="RPA31" s="912"/>
      <c r="RPB31" s="916"/>
      <c r="RPC31" s="917"/>
      <c r="RPD31" s="917"/>
      <c r="RPE31" s="917"/>
      <c r="RPF31" s="917"/>
      <c r="RPG31" s="917"/>
      <c r="RPH31" s="917"/>
      <c r="RPI31" s="917"/>
      <c r="RPJ31" s="918"/>
      <c r="RPK31" s="914"/>
      <c r="RPL31" s="912"/>
      <c r="RPM31" s="916"/>
      <c r="RPN31" s="917"/>
      <c r="RPO31" s="917"/>
      <c r="RPP31" s="917"/>
      <c r="RPQ31" s="917"/>
      <c r="RPR31" s="917"/>
      <c r="RPS31" s="917"/>
      <c r="RPT31" s="917"/>
      <c r="RPU31" s="918"/>
      <c r="RPV31" s="914"/>
      <c r="RPW31" s="912"/>
      <c r="RPX31" s="916"/>
      <c r="RPY31" s="917"/>
      <c r="RPZ31" s="917"/>
      <c r="RQA31" s="917"/>
      <c r="RQB31" s="917"/>
      <c r="RQC31" s="917"/>
      <c r="RQD31" s="917"/>
      <c r="RQE31" s="917"/>
      <c r="RQF31" s="918"/>
      <c r="RQG31" s="914"/>
      <c r="RQH31" s="912"/>
      <c r="RQI31" s="916"/>
      <c r="RQJ31" s="917"/>
      <c r="RQK31" s="917"/>
      <c r="RQL31" s="917"/>
      <c r="RQM31" s="917"/>
      <c r="RQN31" s="917"/>
      <c r="RQO31" s="917"/>
      <c r="RQP31" s="917"/>
      <c r="RQQ31" s="918"/>
      <c r="RQR31" s="914"/>
      <c r="RQS31" s="912"/>
      <c r="RQT31" s="916"/>
      <c r="RQU31" s="917"/>
      <c r="RQV31" s="917"/>
      <c r="RQW31" s="917"/>
      <c r="RQX31" s="917"/>
      <c r="RQY31" s="917"/>
      <c r="RQZ31" s="917"/>
      <c r="RRA31" s="917"/>
      <c r="RRB31" s="918"/>
      <c r="RRC31" s="914"/>
      <c r="RRD31" s="912"/>
      <c r="RRE31" s="916"/>
      <c r="RRF31" s="917"/>
      <c r="RRG31" s="917"/>
      <c r="RRH31" s="917"/>
      <c r="RRI31" s="917"/>
      <c r="RRJ31" s="917"/>
      <c r="RRK31" s="917"/>
      <c r="RRL31" s="917"/>
      <c r="RRM31" s="918"/>
      <c r="RRN31" s="914"/>
      <c r="RRO31" s="912"/>
      <c r="RRP31" s="916"/>
      <c r="RRQ31" s="917"/>
      <c r="RRR31" s="917"/>
      <c r="RRS31" s="917"/>
      <c r="RRT31" s="917"/>
      <c r="RRU31" s="917"/>
      <c r="RRV31" s="917"/>
      <c r="RRW31" s="917"/>
      <c r="RRX31" s="918"/>
      <c r="RRY31" s="914"/>
      <c r="RRZ31" s="912"/>
      <c r="RSA31" s="916"/>
      <c r="RSB31" s="917"/>
      <c r="RSC31" s="917"/>
      <c r="RSD31" s="917"/>
      <c r="RSE31" s="917"/>
      <c r="RSF31" s="917"/>
      <c r="RSG31" s="917"/>
      <c r="RSH31" s="917"/>
      <c r="RSI31" s="918"/>
      <c r="RSJ31" s="914"/>
      <c r="RSK31" s="912"/>
      <c r="RSL31" s="916"/>
      <c r="RSM31" s="917"/>
      <c r="RSN31" s="917"/>
      <c r="RSO31" s="917"/>
      <c r="RSP31" s="917"/>
      <c r="RSQ31" s="917"/>
      <c r="RSR31" s="917"/>
      <c r="RSS31" s="917"/>
      <c r="RST31" s="918"/>
      <c r="RSU31" s="914"/>
      <c r="RSV31" s="912"/>
      <c r="RSW31" s="916"/>
      <c r="RSX31" s="917"/>
      <c r="RSY31" s="917"/>
      <c r="RSZ31" s="917"/>
      <c r="RTA31" s="917"/>
      <c r="RTB31" s="917"/>
      <c r="RTC31" s="917"/>
      <c r="RTD31" s="917"/>
      <c r="RTE31" s="918"/>
      <c r="RTF31" s="914"/>
      <c r="RTG31" s="912"/>
      <c r="RTH31" s="916"/>
      <c r="RTI31" s="917"/>
      <c r="RTJ31" s="917"/>
      <c r="RTK31" s="917"/>
      <c r="RTL31" s="917"/>
      <c r="RTM31" s="917"/>
      <c r="RTN31" s="917"/>
      <c r="RTO31" s="917"/>
      <c r="RTP31" s="918"/>
      <c r="RTQ31" s="914"/>
      <c r="RTR31" s="912"/>
      <c r="RTS31" s="916"/>
      <c r="RTT31" s="917"/>
      <c r="RTU31" s="917"/>
      <c r="RTV31" s="917"/>
      <c r="RTW31" s="917"/>
      <c r="RTX31" s="917"/>
      <c r="RTY31" s="917"/>
      <c r="RTZ31" s="917"/>
      <c r="RUA31" s="918"/>
      <c r="RUB31" s="914"/>
      <c r="RUC31" s="912"/>
      <c r="RUD31" s="916"/>
      <c r="RUE31" s="917"/>
      <c r="RUF31" s="917"/>
      <c r="RUG31" s="917"/>
      <c r="RUH31" s="917"/>
      <c r="RUI31" s="917"/>
      <c r="RUJ31" s="917"/>
      <c r="RUK31" s="917"/>
      <c r="RUL31" s="918"/>
      <c r="RUM31" s="914"/>
      <c r="RUN31" s="912"/>
      <c r="RUO31" s="916"/>
      <c r="RUP31" s="917"/>
      <c r="RUQ31" s="917"/>
      <c r="RUR31" s="917"/>
      <c r="RUS31" s="917"/>
      <c r="RUT31" s="917"/>
      <c r="RUU31" s="917"/>
      <c r="RUV31" s="917"/>
      <c r="RUW31" s="918"/>
      <c r="RUX31" s="914"/>
      <c r="RUY31" s="912"/>
      <c r="RUZ31" s="916"/>
      <c r="RVA31" s="917"/>
      <c r="RVB31" s="917"/>
      <c r="RVC31" s="917"/>
      <c r="RVD31" s="917"/>
      <c r="RVE31" s="917"/>
      <c r="RVF31" s="917"/>
      <c r="RVG31" s="917"/>
      <c r="RVH31" s="918"/>
      <c r="RVI31" s="914"/>
      <c r="RVJ31" s="912"/>
      <c r="RVK31" s="916"/>
      <c r="RVL31" s="917"/>
      <c r="RVM31" s="917"/>
      <c r="RVN31" s="917"/>
      <c r="RVO31" s="917"/>
      <c r="RVP31" s="917"/>
      <c r="RVQ31" s="917"/>
      <c r="RVR31" s="917"/>
      <c r="RVS31" s="918"/>
      <c r="RVT31" s="914"/>
      <c r="RVU31" s="912"/>
      <c r="RVV31" s="916"/>
      <c r="RVW31" s="917"/>
      <c r="RVX31" s="917"/>
      <c r="RVY31" s="917"/>
      <c r="RVZ31" s="917"/>
      <c r="RWA31" s="917"/>
      <c r="RWB31" s="917"/>
      <c r="RWC31" s="917"/>
      <c r="RWD31" s="918"/>
      <c r="RWE31" s="914"/>
      <c r="RWF31" s="912"/>
      <c r="RWG31" s="916"/>
      <c r="RWH31" s="917"/>
      <c r="RWI31" s="917"/>
      <c r="RWJ31" s="917"/>
      <c r="RWK31" s="917"/>
      <c r="RWL31" s="917"/>
      <c r="RWM31" s="917"/>
      <c r="RWN31" s="917"/>
      <c r="RWO31" s="918"/>
      <c r="RWP31" s="914"/>
      <c r="RWQ31" s="912"/>
      <c r="RWR31" s="916"/>
      <c r="RWS31" s="917"/>
      <c r="RWT31" s="917"/>
      <c r="RWU31" s="917"/>
      <c r="RWV31" s="917"/>
      <c r="RWW31" s="917"/>
      <c r="RWX31" s="917"/>
      <c r="RWY31" s="917"/>
      <c r="RWZ31" s="918"/>
      <c r="RXA31" s="914"/>
      <c r="RXB31" s="912"/>
      <c r="RXC31" s="916"/>
      <c r="RXD31" s="917"/>
      <c r="RXE31" s="917"/>
      <c r="RXF31" s="917"/>
      <c r="RXG31" s="917"/>
      <c r="RXH31" s="917"/>
      <c r="RXI31" s="917"/>
      <c r="RXJ31" s="917"/>
      <c r="RXK31" s="918"/>
      <c r="RXL31" s="914"/>
      <c r="RXM31" s="912"/>
      <c r="RXN31" s="916"/>
      <c r="RXO31" s="917"/>
      <c r="RXP31" s="917"/>
      <c r="RXQ31" s="917"/>
      <c r="RXR31" s="917"/>
      <c r="RXS31" s="917"/>
      <c r="RXT31" s="917"/>
      <c r="RXU31" s="917"/>
      <c r="RXV31" s="918"/>
      <c r="RXW31" s="914"/>
      <c r="RXX31" s="912"/>
      <c r="RXY31" s="916"/>
      <c r="RXZ31" s="917"/>
      <c r="RYA31" s="917"/>
      <c r="RYB31" s="917"/>
      <c r="RYC31" s="917"/>
      <c r="RYD31" s="917"/>
      <c r="RYE31" s="917"/>
      <c r="RYF31" s="917"/>
      <c r="RYG31" s="918"/>
      <c r="RYH31" s="914"/>
      <c r="RYI31" s="912"/>
      <c r="RYJ31" s="916"/>
      <c r="RYK31" s="917"/>
      <c r="RYL31" s="917"/>
      <c r="RYM31" s="917"/>
      <c r="RYN31" s="917"/>
      <c r="RYO31" s="917"/>
      <c r="RYP31" s="917"/>
      <c r="RYQ31" s="917"/>
      <c r="RYR31" s="918"/>
      <c r="RYS31" s="914"/>
      <c r="RYT31" s="912"/>
      <c r="RYU31" s="916"/>
      <c r="RYV31" s="917"/>
      <c r="RYW31" s="917"/>
      <c r="RYX31" s="917"/>
      <c r="RYY31" s="917"/>
      <c r="RYZ31" s="917"/>
      <c r="RZA31" s="917"/>
      <c r="RZB31" s="917"/>
      <c r="RZC31" s="918"/>
      <c r="RZD31" s="914"/>
      <c r="RZE31" s="912"/>
      <c r="RZF31" s="916"/>
      <c r="RZG31" s="917"/>
      <c r="RZH31" s="917"/>
      <c r="RZI31" s="917"/>
      <c r="RZJ31" s="917"/>
      <c r="RZK31" s="917"/>
      <c r="RZL31" s="917"/>
      <c r="RZM31" s="917"/>
      <c r="RZN31" s="918"/>
      <c r="RZO31" s="914"/>
      <c r="RZP31" s="912"/>
      <c r="RZQ31" s="916"/>
      <c r="RZR31" s="917"/>
      <c r="RZS31" s="917"/>
      <c r="RZT31" s="917"/>
      <c r="RZU31" s="917"/>
      <c r="RZV31" s="917"/>
      <c r="RZW31" s="917"/>
      <c r="RZX31" s="917"/>
      <c r="RZY31" s="918"/>
      <c r="RZZ31" s="914"/>
      <c r="SAA31" s="912"/>
      <c r="SAB31" s="916"/>
      <c r="SAC31" s="917"/>
      <c r="SAD31" s="917"/>
      <c r="SAE31" s="917"/>
      <c r="SAF31" s="917"/>
      <c r="SAG31" s="917"/>
      <c r="SAH31" s="917"/>
      <c r="SAI31" s="917"/>
      <c r="SAJ31" s="918"/>
      <c r="SAK31" s="914"/>
      <c r="SAL31" s="912"/>
      <c r="SAM31" s="916"/>
      <c r="SAN31" s="917"/>
      <c r="SAO31" s="917"/>
      <c r="SAP31" s="917"/>
      <c r="SAQ31" s="917"/>
      <c r="SAR31" s="917"/>
      <c r="SAS31" s="917"/>
      <c r="SAT31" s="917"/>
      <c r="SAU31" s="918"/>
      <c r="SAV31" s="914"/>
      <c r="SAW31" s="912"/>
      <c r="SAX31" s="916"/>
      <c r="SAY31" s="917"/>
      <c r="SAZ31" s="917"/>
      <c r="SBA31" s="917"/>
      <c r="SBB31" s="917"/>
      <c r="SBC31" s="917"/>
      <c r="SBD31" s="917"/>
      <c r="SBE31" s="917"/>
      <c r="SBF31" s="918"/>
      <c r="SBG31" s="914"/>
      <c r="SBH31" s="912"/>
      <c r="SBI31" s="916"/>
      <c r="SBJ31" s="917"/>
      <c r="SBK31" s="917"/>
      <c r="SBL31" s="917"/>
      <c r="SBM31" s="917"/>
      <c r="SBN31" s="917"/>
      <c r="SBO31" s="917"/>
      <c r="SBP31" s="917"/>
      <c r="SBQ31" s="918"/>
      <c r="SBR31" s="914"/>
      <c r="SBS31" s="912"/>
      <c r="SBT31" s="916"/>
      <c r="SBU31" s="917"/>
      <c r="SBV31" s="917"/>
      <c r="SBW31" s="917"/>
      <c r="SBX31" s="917"/>
      <c r="SBY31" s="917"/>
      <c r="SBZ31" s="917"/>
      <c r="SCA31" s="917"/>
      <c r="SCB31" s="918"/>
      <c r="SCC31" s="914"/>
      <c r="SCD31" s="912"/>
      <c r="SCE31" s="916"/>
      <c r="SCF31" s="917"/>
      <c r="SCG31" s="917"/>
      <c r="SCH31" s="917"/>
      <c r="SCI31" s="917"/>
      <c r="SCJ31" s="917"/>
      <c r="SCK31" s="917"/>
      <c r="SCL31" s="917"/>
      <c r="SCM31" s="918"/>
      <c r="SCN31" s="914"/>
      <c r="SCO31" s="912"/>
      <c r="SCP31" s="916"/>
      <c r="SCQ31" s="917"/>
      <c r="SCR31" s="917"/>
      <c r="SCS31" s="917"/>
      <c r="SCT31" s="917"/>
      <c r="SCU31" s="917"/>
      <c r="SCV31" s="917"/>
      <c r="SCW31" s="917"/>
      <c r="SCX31" s="918"/>
      <c r="SCY31" s="914"/>
      <c r="SCZ31" s="912"/>
      <c r="SDA31" s="916"/>
      <c r="SDB31" s="917"/>
      <c r="SDC31" s="917"/>
      <c r="SDD31" s="917"/>
      <c r="SDE31" s="917"/>
      <c r="SDF31" s="917"/>
      <c r="SDG31" s="917"/>
      <c r="SDH31" s="917"/>
      <c r="SDI31" s="918"/>
      <c r="SDJ31" s="914"/>
      <c r="SDK31" s="912"/>
      <c r="SDL31" s="916"/>
      <c r="SDM31" s="917"/>
      <c r="SDN31" s="917"/>
      <c r="SDO31" s="917"/>
      <c r="SDP31" s="917"/>
      <c r="SDQ31" s="917"/>
      <c r="SDR31" s="917"/>
      <c r="SDS31" s="917"/>
      <c r="SDT31" s="918"/>
      <c r="SDU31" s="914"/>
      <c r="SDV31" s="912"/>
      <c r="SDW31" s="916"/>
      <c r="SDX31" s="917"/>
      <c r="SDY31" s="917"/>
      <c r="SDZ31" s="917"/>
      <c r="SEA31" s="917"/>
      <c r="SEB31" s="917"/>
      <c r="SEC31" s="917"/>
      <c r="SED31" s="917"/>
      <c r="SEE31" s="918"/>
      <c r="SEF31" s="914"/>
      <c r="SEG31" s="912"/>
      <c r="SEH31" s="916"/>
      <c r="SEI31" s="917"/>
      <c r="SEJ31" s="917"/>
      <c r="SEK31" s="917"/>
      <c r="SEL31" s="917"/>
      <c r="SEM31" s="917"/>
      <c r="SEN31" s="917"/>
      <c r="SEO31" s="917"/>
      <c r="SEP31" s="918"/>
      <c r="SEQ31" s="914"/>
      <c r="SER31" s="912"/>
      <c r="SES31" s="916"/>
      <c r="SET31" s="917"/>
      <c r="SEU31" s="917"/>
      <c r="SEV31" s="917"/>
      <c r="SEW31" s="917"/>
      <c r="SEX31" s="917"/>
      <c r="SEY31" s="917"/>
      <c r="SEZ31" s="917"/>
      <c r="SFA31" s="918"/>
      <c r="SFB31" s="914"/>
      <c r="SFC31" s="912"/>
      <c r="SFD31" s="916"/>
      <c r="SFE31" s="917"/>
      <c r="SFF31" s="917"/>
      <c r="SFG31" s="917"/>
      <c r="SFH31" s="917"/>
      <c r="SFI31" s="917"/>
      <c r="SFJ31" s="917"/>
      <c r="SFK31" s="917"/>
      <c r="SFL31" s="918"/>
      <c r="SFM31" s="914"/>
      <c r="SFN31" s="912"/>
      <c r="SFO31" s="916"/>
      <c r="SFP31" s="917"/>
      <c r="SFQ31" s="917"/>
      <c r="SFR31" s="917"/>
      <c r="SFS31" s="917"/>
      <c r="SFT31" s="917"/>
      <c r="SFU31" s="917"/>
      <c r="SFV31" s="917"/>
      <c r="SFW31" s="918"/>
      <c r="SFX31" s="914"/>
      <c r="SFY31" s="912"/>
      <c r="SFZ31" s="916"/>
      <c r="SGA31" s="917"/>
      <c r="SGB31" s="917"/>
      <c r="SGC31" s="917"/>
      <c r="SGD31" s="917"/>
      <c r="SGE31" s="917"/>
      <c r="SGF31" s="917"/>
      <c r="SGG31" s="917"/>
      <c r="SGH31" s="918"/>
      <c r="SGI31" s="914"/>
      <c r="SGJ31" s="912"/>
      <c r="SGK31" s="916"/>
      <c r="SGL31" s="917"/>
      <c r="SGM31" s="917"/>
      <c r="SGN31" s="917"/>
      <c r="SGO31" s="917"/>
      <c r="SGP31" s="917"/>
      <c r="SGQ31" s="917"/>
      <c r="SGR31" s="917"/>
      <c r="SGS31" s="918"/>
      <c r="SGT31" s="914"/>
      <c r="SGU31" s="912"/>
      <c r="SGV31" s="916"/>
      <c r="SGW31" s="917"/>
      <c r="SGX31" s="917"/>
      <c r="SGY31" s="917"/>
      <c r="SGZ31" s="917"/>
      <c r="SHA31" s="917"/>
      <c r="SHB31" s="917"/>
      <c r="SHC31" s="917"/>
      <c r="SHD31" s="918"/>
      <c r="SHE31" s="914"/>
      <c r="SHF31" s="912"/>
      <c r="SHG31" s="916"/>
      <c r="SHH31" s="917"/>
      <c r="SHI31" s="917"/>
      <c r="SHJ31" s="917"/>
      <c r="SHK31" s="917"/>
      <c r="SHL31" s="917"/>
      <c r="SHM31" s="917"/>
      <c r="SHN31" s="917"/>
      <c r="SHO31" s="918"/>
      <c r="SHP31" s="914"/>
      <c r="SHQ31" s="912"/>
      <c r="SHR31" s="916"/>
      <c r="SHS31" s="917"/>
      <c r="SHT31" s="917"/>
      <c r="SHU31" s="917"/>
      <c r="SHV31" s="917"/>
      <c r="SHW31" s="917"/>
      <c r="SHX31" s="917"/>
      <c r="SHY31" s="917"/>
      <c r="SHZ31" s="918"/>
      <c r="SIA31" s="914"/>
      <c r="SIB31" s="912"/>
      <c r="SIC31" s="916"/>
      <c r="SID31" s="917"/>
      <c r="SIE31" s="917"/>
      <c r="SIF31" s="917"/>
      <c r="SIG31" s="917"/>
      <c r="SIH31" s="917"/>
      <c r="SII31" s="917"/>
      <c r="SIJ31" s="917"/>
      <c r="SIK31" s="918"/>
      <c r="SIL31" s="914"/>
      <c r="SIM31" s="912"/>
      <c r="SIN31" s="916"/>
      <c r="SIO31" s="917"/>
      <c r="SIP31" s="917"/>
      <c r="SIQ31" s="917"/>
      <c r="SIR31" s="917"/>
      <c r="SIS31" s="917"/>
      <c r="SIT31" s="917"/>
      <c r="SIU31" s="917"/>
      <c r="SIV31" s="918"/>
      <c r="SIW31" s="914"/>
      <c r="SIX31" s="912"/>
      <c r="SIY31" s="916"/>
      <c r="SIZ31" s="917"/>
      <c r="SJA31" s="917"/>
      <c r="SJB31" s="917"/>
      <c r="SJC31" s="917"/>
      <c r="SJD31" s="917"/>
      <c r="SJE31" s="917"/>
      <c r="SJF31" s="917"/>
      <c r="SJG31" s="918"/>
      <c r="SJH31" s="914"/>
      <c r="SJI31" s="912"/>
      <c r="SJJ31" s="916"/>
      <c r="SJK31" s="917"/>
      <c r="SJL31" s="917"/>
      <c r="SJM31" s="917"/>
      <c r="SJN31" s="917"/>
      <c r="SJO31" s="917"/>
      <c r="SJP31" s="917"/>
      <c r="SJQ31" s="917"/>
      <c r="SJR31" s="918"/>
      <c r="SJS31" s="914"/>
      <c r="SJT31" s="912"/>
      <c r="SJU31" s="916"/>
      <c r="SJV31" s="917"/>
      <c r="SJW31" s="917"/>
      <c r="SJX31" s="917"/>
      <c r="SJY31" s="917"/>
      <c r="SJZ31" s="917"/>
      <c r="SKA31" s="917"/>
      <c r="SKB31" s="917"/>
      <c r="SKC31" s="918"/>
      <c r="SKD31" s="914"/>
      <c r="SKE31" s="912"/>
      <c r="SKF31" s="916"/>
      <c r="SKG31" s="917"/>
      <c r="SKH31" s="917"/>
      <c r="SKI31" s="917"/>
      <c r="SKJ31" s="917"/>
      <c r="SKK31" s="917"/>
      <c r="SKL31" s="917"/>
      <c r="SKM31" s="917"/>
      <c r="SKN31" s="918"/>
      <c r="SKO31" s="914"/>
      <c r="SKP31" s="912"/>
      <c r="SKQ31" s="916"/>
      <c r="SKR31" s="917"/>
      <c r="SKS31" s="917"/>
      <c r="SKT31" s="917"/>
      <c r="SKU31" s="917"/>
      <c r="SKV31" s="917"/>
      <c r="SKW31" s="917"/>
      <c r="SKX31" s="917"/>
      <c r="SKY31" s="918"/>
      <c r="SKZ31" s="914"/>
      <c r="SLA31" s="912"/>
      <c r="SLB31" s="916"/>
      <c r="SLC31" s="917"/>
      <c r="SLD31" s="917"/>
      <c r="SLE31" s="917"/>
      <c r="SLF31" s="917"/>
      <c r="SLG31" s="917"/>
      <c r="SLH31" s="917"/>
      <c r="SLI31" s="917"/>
      <c r="SLJ31" s="918"/>
      <c r="SLK31" s="914"/>
      <c r="SLL31" s="912"/>
      <c r="SLM31" s="916"/>
      <c r="SLN31" s="917"/>
      <c r="SLO31" s="917"/>
      <c r="SLP31" s="917"/>
      <c r="SLQ31" s="917"/>
      <c r="SLR31" s="917"/>
      <c r="SLS31" s="917"/>
      <c r="SLT31" s="917"/>
      <c r="SLU31" s="918"/>
      <c r="SLV31" s="914"/>
      <c r="SLW31" s="912"/>
      <c r="SLX31" s="916"/>
      <c r="SLY31" s="917"/>
      <c r="SLZ31" s="917"/>
      <c r="SMA31" s="917"/>
      <c r="SMB31" s="917"/>
      <c r="SMC31" s="917"/>
      <c r="SMD31" s="917"/>
      <c r="SME31" s="917"/>
      <c r="SMF31" s="918"/>
      <c r="SMG31" s="914"/>
      <c r="SMH31" s="912"/>
      <c r="SMI31" s="916"/>
      <c r="SMJ31" s="917"/>
      <c r="SMK31" s="917"/>
      <c r="SML31" s="917"/>
      <c r="SMM31" s="917"/>
      <c r="SMN31" s="917"/>
      <c r="SMO31" s="917"/>
      <c r="SMP31" s="917"/>
      <c r="SMQ31" s="918"/>
      <c r="SMR31" s="914"/>
      <c r="SMS31" s="912"/>
      <c r="SMT31" s="916"/>
      <c r="SMU31" s="917"/>
      <c r="SMV31" s="917"/>
      <c r="SMW31" s="917"/>
      <c r="SMX31" s="917"/>
      <c r="SMY31" s="917"/>
      <c r="SMZ31" s="917"/>
      <c r="SNA31" s="917"/>
      <c r="SNB31" s="918"/>
      <c r="SNC31" s="914"/>
      <c r="SND31" s="912"/>
      <c r="SNE31" s="916"/>
      <c r="SNF31" s="917"/>
      <c r="SNG31" s="917"/>
      <c r="SNH31" s="917"/>
      <c r="SNI31" s="917"/>
      <c r="SNJ31" s="917"/>
      <c r="SNK31" s="917"/>
      <c r="SNL31" s="917"/>
      <c r="SNM31" s="918"/>
      <c r="SNN31" s="914"/>
      <c r="SNO31" s="912"/>
      <c r="SNP31" s="916"/>
      <c r="SNQ31" s="917"/>
      <c r="SNR31" s="917"/>
      <c r="SNS31" s="917"/>
      <c r="SNT31" s="917"/>
      <c r="SNU31" s="917"/>
      <c r="SNV31" s="917"/>
      <c r="SNW31" s="917"/>
      <c r="SNX31" s="918"/>
      <c r="SNY31" s="914"/>
      <c r="SNZ31" s="912"/>
      <c r="SOA31" s="916"/>
      <c r="SOB31" s="917"/>
      <c r="SOC31" s="917"/>
      <c r="SOD31" s="917"/>
      <c r="SOE31" s="917"/>
      <c r="SOF31" s="917"/>
      <c r="SOG31" s="917"/>
      <c r="SOH31" s="917"/>
      <c r="SOI31" s="918"/>
      <c r="SOJ31" s="914"/>
      <c r="SOK31" s="912"/>
      <c r="SOL31" s="916"/>
      <c r="SOM31" s="917"/>
      <c r="SON31" s="917"/>
      <c r="SOO31" s="917"/>
      <c r="SOP31" s="917"/>
      <c r="SOQ31" s="917"/>
      <c r="SOR31" s="917"/>
      <c r="SOS31" s="917"/>
      <c r="SOT31" s="918"/>
      <c r="SOU31" s="914"/>
      <c r="SOV31" s="912"/>
      <c r="SOW31" s="916"/>
      <c r="SOX31" s="917"/>
      <c r="SOY31" s="917"/>
      <c r="SOZ31" s="917"/>
      <c r="SPA31" s="917"/>
      <c r="SPB31" s="917"/>
      <c r="SPC31" s="917"/>
      <c r="SPD31" s="917"/>
      <c r="SPE31" s="918"/>
      <c r="SPF31" s="914"/>
      <c r="SPG31" s="912"/>
      <c r="SPH31" s="916"/>
      <c r="SPI31" s="917"/>
      <c r="SPJ31" s="917"/>
      <c r="SPK31" s="917"/>
      <c r="SPL31" s="917"/>
      <c r="SPM31" s="917"/>
      <c r="SPN31" s="917"/>
      <c r="SPO31" s="917"/>
      <c r="SPP31" s="918"/>
      <c r="SPQ31" s="914"/>
      <c r="SPR31" s="912"/>
      <c r="SPS31" s="916"/>
      <c r="SPT31" s="917"/>
      <c r="SPU31" s="917"/>
      <c r="SPV31" s="917"/>
      <c r="SPW31" s="917"/>
      <c r="SPX31" s="917"/>
      <c r="SPY31" s="917"/>
      <c r="SPZ31" s="917"/>
      <c r="SQA31" s="918"/>
      <c r="SQB31" s="914"/>
      <c r="SQC31" s="912"/>
      <c r="SQD31" s="916"/>
      <c r="SQE31" s="917"/>
      <c r="SQF31" s="917"/>
      <c r="SQG31" s="917"/>
      <c r="SQH31" s="917"/>
      <c r="SQI31" s="917"/>
      <c r="SQJ31" s="917"/>
      <c r="SQK31" s="917"/>
      <c r="SQL31" s="918"/>
      <c r="SQM31" s="914"/>
      <c r="SQN31" s="912"/>
      <c r="SQO31" s="916"/>
      <c r="SQP31" s="917"/>
      <c r="SQQ31" s="917"/>
      <c r="SQR31" s="917"/>
      <c r="SQS31" s="917"/>
      <c r="SQT31" s="917"/>
      <c r="SQU31" s="917"/>
      <c r="SQV31" s="917"/>
      <c r="SQW31" s="918"/>
      <c r="SQX31" s="914"/>
      <c r="SQY31" s="912"/>
      <c r="SQZ31" s="916"/>
      <c r="SRA31" s="917"/>
      <c r="SRB31" s="917"/>
      <c r="SRC31" s="917"/>
      <c r="SRD31" s="917"/>
      <c r="SRE31" s="917"/>
      <c r="SRF31" s="917"/>
      <c r="SRG31" s="917"/>
      <c r="SRH31" s="918"/>
      <c r="SRI31" s="914"/>
      <c r="SRJ31" s="912"/>
      <c r="SRK31" s="916"/>
      <c r="SRL31" s="917"/>
      <c r="SRM31" s="917"/>
      <c r="SRN31" s="917"/>
      <c r="SRO31" s="917"/>
      <c r="SRP31" s="917"/>
      <c r="SRQ31" s="917"/>
      <c r="SRR31" s="917"/>
      <c r="SRS31" s="918"/>
      <c r="SRT31" s="914"/>
      <c r="SRU31" s="912"/>
      <c r="SRV31" s="916"/>
      <c r="SRW31" s="917"/>
      <c r="SRX31" s="917"/>
      <c r="SRY31" s="917"/>
      <c r="SRZ31" s="917"/>
      <c r="SSA31" s="917"/>
      <c r="SSB31" s="917"/>
      <c r="SSC31" s="917"/>
      <c r="SSD31" s="918"/>
      <c r="SSE31" s="914"/>
      <c r="SSF31" s="912"/>
      <c r="SSG31" s="916"/>
      <c r="SSH31" s="917"/>
      <c r="SSI31" s="917"/>
      <c r="SSJ31" s="917"/>
      <c r="SSK31" s="917"/>
      <c r="SSL31" s="917"/>
      <c r="SSM31" s="917"/>
      <c r="SSN31" s="917"/>
      <c r="SSO31" s="918"/>
      <c r="SSP31" s="914"/>
      <c r="SSQ31" s="912"/>
      <c r="SSR31" s="916"/>
      <c r="SSS31" s="917"/>
      <c r="SST31" s="917"/>
      <c r="SSU31" s="917"/>
      <c r="SSV31" s="917"/>
      <c r="SSW31" s="917"/>
      <c r="SSX31" s="917"/>
      <c r="SSY31" s="917"/>
      <c r="SSZ31" s="918"/>
      <c r="STA31" s="914"/>
      <c r="STB31" s="912"/>
      <c r="STC31" s="916"/>
      <c r="STD31" s="917"/>
      <c r="STE31" s="917"/>
      <c r="STF31" s="917"/>
      <c r="STG31" s="917"/>
      <c r="STH31" s="917"/>
      <c r="STI31" s="917"/>
      <c r="STJ31" s="917"/>
      <c r="STK31" s="918"/>
      <c r="STL31" s="914"/>
      <c r="STM31" s="912"/>
      <c r="STN31" s="916"/>
      <c r="STO31" s="917"/>
      <c r="STP31" s="917"/>
      <c r="STQ31" s="917"/>
      <c r="STR31" s="917"/>
      <c r="STS31" s="917"/>
      <c r="STT31" s="917"/>
      <c r="STU31" s="917"/>
      <c r="STV31" s="918"/>
      <c r="STW31" s="914"/>
      <c r="STX31" s="912"/>
      <c r="STY31" s="916"/>
      <c r="STZ31" s="917"/>
      <c r="SUA31" s="917"/>
      <c r="SUB31" s="917"/>
      <c r="SUC31" s="917"/>
      <c r="SUD31" s="917"/>
      <c r="SUE31" s="917"/>
      <c r="SUF31" s="917"/>
      <c r="SUG31" s="918"/>
      <c r="SUH31" s="914"/>
      <c r="SUI31" s="912"/>
      <c r="SUJ31" s="916"/>
      <c r="SUK31" s="917"/>
      <c r="SUL31" s="917"/>
      <c r="SUM31" s="917"/>
      <c r="SUN31" s="917"/>
      <c r="SUO31" s="917"/>
      <c r="SUP31" s="917"/>
      <c r="SUQ31" s="917"/>
      <c r="SUR31" s="918"/>
      <c r="SUS31" s="914"/>
      <c r="SUT31" s="912"/>
      <c r="SUU31" s="916"/>
      <c r="SUV31" s="917"/>
      <c r="SUW31" s="917"/>
      <c r="SUX31" s="917"/>
      <c r="SUY31" s="917"/>
      <c r="SUZ31" s="917"/>
      <c r="SVA31" s="917"/>
      <c r="SVB31" s="917"/>
      <c r="SVC31" s="918"/>
      <c r="SVD31" s="914"/>
      <c r="SVE31" s="912"/>
      <c r="SVF31" s="916"/>
      <c r="SVG31" s="917"/>
      <c r="SVH31" s="917"/>
      <c r="SVI31" s="917"/>
      <c r="SVJ31" s="917"/>
      <c r="SVK31" s="917"/>
      <c r="SVL31" s="917"/>
      <c r="SVM31" s="917"/>
      <c r="SVN31" s="918"/>
      <c r="SVO31" s="914"/>
      <c r="SVP31" s="912"/>
      <c r="SVQ31" s="916"/>
      <c r="SVR31" s="917"/>
      <c r="SVS31" s="917"/>
      <c r="SVT31" s="917"/>
      <c r="SVU31" s="917"/>
      <c r="SVV31" s="917"/>
      <c r="SVW31" s="917"/>
      <c r="SVX31" s="917"/>
      <c r="SVY31" s="918"/>
      <c r="SVZ31" s="914"/>
      <c r="SWA31" s="912"/>
      <c r="SWB31" s="916"/>
      <c r="SWC31" s="917"/>
      <c r="SWD31" s="917"/>
      <c r="SWE31" s="917"/>
      <c r="SWF31" s="917"/>
      <c r="SWG31" s="917"/>
      <c r="SWH31" s="917"/>
      <c r="SWI31" s="917"/>
      <c r="SWJ31" s="918"/>
      <c r="SWK31" s="914"/>
      <c r="SWL31" s="912"/>
      <c r="SWM31" s="916"/>
      <c r="SWN31" s="917"/>
      <c r="SWO31" s="917"/>
      <c r="SWP31" s="917"/>
      <c r="SWQ31" s="917"/>
      <c r="SWR31" s="917"/>
      <c r="SWS31" s="917"/>
      <c r="SWT31" s="917"/>
      <c r="SWU31" s="918"/>
      <c r="SWV31" s="914"/>
      <c r="SWW31" s="912"/>
      <c r="SWX31" s="916"/>
      <c r="SWY31" s="917"/>
      <c r="SWZ31" s="917"/>
      <c r="SXA31" s="917"/>
      <c r="SXB31" s="917"/>
      <c r="SXC31" s="917"/>
      <c r="SXD31" s="917"/>
      <c r="SXE31" s="917"/>
      <c r="SXF31" s="918"/>
      <c r="SXG31" s="914"/>
      <c r="SXH31" s="912"/>
      <c r="SXI31" s="916"/>
      <c r="SXJ31" s="917"/>
      <c r="SXK31" s="917"/>
      <c r="SXL31" s="917"/>
      <c r="SXM31" s="917"/>
      <c r="SXN31" s="917"/>
      <c r="SXO31" s="917"/>
      <c r="SXP31" s="917"/>
      <c r="SXQ31" s="918"/>
      <c r="SXR31" s="914"/>
      <c r="SXS31" s="912"/>
      <c r="SXT31" s="916"/>
      <c r="SXU31" s="917"/>
      <c r="SXV31" s="917"/>
      <c r="SXW31" s="917"/>
      <c r="SXX31" s="917"/>
      <c r="SXY31" s="917"/>
      <c r="SXZ31" s="917"/>
      <c r="SYA31" s="917"/>
      <c r="SYB31" s="918"/>
      <c r="SYC31" s="914"/>
      <c r="SYD31" s="912"/>
      <c r="SYE31" s="916"/>
      <c r="SYF31" s="917"/>
      <c r="SYG31" s="917"/>
      <c r="SYH31" s="917"/>
      <c r="SYI31" s="917"/>
      <c r="SYJ31" s="917"/>
      <c r="SYK31" s="917"/>
      <c r="SYL31" s="917"/>
      <c r="SYM31" s="918"/>
      <c r="SYN31" s="914"/>
      <c r="SYO31" s="912"/>
      <c r="SYP31" s="916"/>
      <c r="SYQ31" s="917"/>
      <c r="SYR31" s="917"/>
      <c r="SYS31" s="917"/>
      <c r="SYT31" s="917"/>
      <c r="SYU31" s="917"/>
      <c r="SYV31" s="917"/>
      <c r="SYW31" s="917"/>
      <c r="SYX31" s="918"/>
      <c r="SYY31" s="914"/>
      <c r="SYZ31" s="912"/>
      <c r="SZA31" s="916"/>
      <c r="SZB31" s="917"/>
      <c r="SZC31" s="917"/>
      <c r="SZD31" s="917"/>
      <c r="SZE31" s="917"/>
      <c r="SZF31" s="917"/>
      <c r="SZG31" s="917"/>
      <c r="SZH31" s="917"/>
      <c r="SZI31" s="918"/>
      <c r="SZJ31" s="914"/>
      <c r="SZK31" s="912"/>
      <c r="SZL31" s="916"/>
      <c r="SZM31" s="917"/>
      <c r="SZN31" s="917"/>
      <c r="SZO31" s="917"/>
      <c r="SZP31" s="917"/>
      <c r="SZQ31" s="917"/>
      <c r="SZR31" s="917"/>
      <c r="SZS31" s="917"/>
      <c r="SZT31" s="918"/>
      <c r="SZU31" s="914"/>
      <c r="SZV31" s="912"/>
      <c r="SZW31" s="916"/>
      <c r="SZX31" s="917"/>
      <c r="SZY31" s="917"/>
      <c r="SZZ31" s="917"/>
      <c r="TAA31" s="917"/>
      <c r="TAB31" s="917"/>
      <c r="TAC31" s="917"/>
      <c r="TAD31" s="917"/>
      <c r="TAE31" s="918"/>
      <c r="TAF31" s="914"/>
      <c r="TAG31" s="912"/>
      <c r="TAH31" s="916"/>
      <c r="TAI31" s="917"/>
      <c r="TAJ31" s="917"/>
      <c r="TAK31" s="917"/>
      <c r="TAL31" s="917"/>
      <c r="TAM31" s="917"/>
      <c r="TAN31" s="917"/>
      <c r="TAO31" s="917"/>
      <c r="TAP31" s="918"/>
      <c r="TAQ31" s="914"/>
      <c r="TAR31" s="912"/>
      <c r="TAS31" s="916"/>
      <c r="TAT31" s="917"/>
      <c r="TAU31" s="917"/>
      <c r="TAV31" s="917"/>
      <c r="TAW31" s="917"/>
      <c r="TAX31" s="917"/>
      <c r="TAY31" s="917"/>
      <c r="TAZ31" s="917"/>
      <c r="TBA31" s="918"/>
      <c r="TBB31" s="914"/>
      <c r="TBC31" s="912"/>
      <c r="TBD31" s="916"/>
      <c r="TBE31" s="917"/>
      <c r="TBF31" s="917"/>
      <c r="TBG31" s="917"/>
      <c r="TBH31" s="917"/>
      <c r="TBI31" s="917"/>
      <c r="TBJ31" s="917"/>
      <c r="TBK31" s="917"/>
      <c r="TBL31" s="918"/>
      <c r="TBM31" s="914"/>
      <c r="TBN31" s="912"/>
      <c r="TBO31" s="916"/>
      <c r="TBP31" s="917"/>
      <c r="TBQ31" s="917"/>
      <c r="TBR31" s="917"/>
      <c r="TBS31" s="917"/>
      <c r="TBT31" s="917"/>
      <c r="TBU31" s="917"/>
      <c r="TBV31" s="917"/>
      <c r="TBW31" s="918"/>
      <c r="TBX31" s="914"/>
      <c r="TBY31" s="912"/>
      <c r="TBZ31" s="916"/>
      <c r="TCA31" s="917"/>
      <c r="TCB31" s="917"/>
      <c r="TCC31" s="917"/>
      <c r="TCD31" s="917"/>
      <c r="TCE31" s="917"/>
      <c r="TCF31" s="917"/>
      <c r="TCG31" s="917"/>
      <c r="TCH31" s="918"/>
      <c r="TCI31" s="914"/>
      <c r="TCJ31" s="912"/>
      <c r="TCK31" s="916"/>
      <c r="TCL31" s="917"/>
      <c r="TCM31" s="917"/>
      <c r="TCN31" s="917"/>
      <c r="TCO31" s="917"/>
      <c r="TCP31" s="917"/>
      <c r="TCQ31" s="917"/>
      <c r="TCR31" s="917"/>
      <c r="TCS31" s="918"/>
      <c r="TCT31" s="914"/>
      <c r="TCU31" s="912"/>
      <c r="TCV31" s="916"/>
      <c r="TCW31" s="917"/>
      <c r="TCX31" s="917"/>
      <c r="TCY31" s="917"/>
      <c r="TCZ31" s="917"/>
      <c r="TDA31" s="917"/>
      <c r="TDB31" s="917"/>
      <c r="TDC31" s="917"/>
      <c r="TDD31" s="918"/>
      <c r="TDE31" s="914"/>
      <c r="TDF31" s="912"/>
      <c r="TDG31" s="916"/>
      <c r="TDH31" s="917"/>
      <c r="TDI31" s="917"/>
      <c r="TDJ31" s="917"/>
      <c r="TDK31" s="917"/>
      <c r="TDL31" s="917"/>
      <c r="TDM31" s="917"/>
      <c r="TDN31" s="917"/>
      <c r="TDO31" s="918"/>
      <c r="TDP31" s="914"/>
      <c r="TDQ31" s="912"/>
      <c r="TDR31" s="916"/>
      <c r="TDS31" s="917"/>
      <c r="TDT31" s="917"/>
      <c r="TDU31" s="917"/>
      <c r="TDV31" s="917"/>
      <c r="TDW31" s="917"/>
      <c r="TDX31" s="917"/>
      <c r="TDY31" s="917"/>
      <c r="TDZ31" s="918"/>
      <c r="TEA31" s="914"/>
      <c r="TEB31" s="912"/>
      <c r="TEC31" s="916"/>
      <c r="TED31" s="917"/>
      <c r="TEE31" s="917"/>
      <c r="TEF31" s="917"/>
      <c r="TEG31" s="917"/>
      <c r="TEH31" s="917"/>
      <c r="TEI31" s="917"/>
      <c r="TEJ31" s="917"/>
      <c r="TEK31" s="918"/>
      <c r="TEL31" s="914"/>
      <c r="TEM31" s="912"/>
      <c r="TEN31" s="916"/>
      <c r="TEO31" s="917"/>
      <c r="TEP31" s="917"/>
      <c r="TEQ31" s="917"/>
      <c r="TER31" s="917"/>
      <c r="TES31" s="917"/>
      <c r="TET31" s="917"/>
      <c r="TEU31" s="917"/>
      <c r="TEV31" s="918"/>
      <c r="TEW31" s="914"/>
      <c r="TEX31" s="912"/>
      <c r="TEY31" s="916"/>
      <c r="TEZ31" s="917"/>
      <c r="TFA31" s="917"/>
      <c r="TFB31" s="917"/>
      <c r="TFC31" s="917"/>
      <c r="TFD31" s="917"/>
      <c r="TFE31" s="917"/>
      <c r="TFF31" s="917"/>
      <c r="TFG31" s="918"/>
      <c r="TFH31" s="914"/>
      <c r="TFI31" s="912"/>
      <c r="TFJ31" s="916"/>
      <c r="TFK31" s="917"/>
      <c r="TFL31" s="917"/>
      <c r="TFM31" s="917"/>
      <c r="TFN31" s="917"/>
      <c r="TFO31" s="917"/>
      <c r="TFP31" s="917"/>
      <c r="TFQ31" s="917"/>
      <c r="TFR31" s="918"/>
      <c r="TFS31" s="914"/>
      <c r="TFT31" s="912"/>
      <c r="TFU31" s="916"/>
      <c r="TFV31" s="917"/>
      <c r="TFW31" s="917"/>
      <c r="TFX31" s="917"/>
      <c r="TFY31" s="917"/>
      <c r="TFZ31" s="917"/>
      <c r="TGA31" s="917"/>
      <c r="TGB31" s="917"/>
      <c r="TGC31" s="918"/>
      <c r="TGD31" s="914"/>
      <c r="TGE31" s="912"/>
      <c r="TGF31" s="916"/>
      <c r="TGG31" s="917"/>
      <c r="TGH31" s="917"/>
      <c r="TGI31" s="917"/>
      <c r="TGJ31" s="917"/>
      <c r="TGK31" s="917"/>
      <c r="TGL31" s="917"/>
      <c r="TGM31" s="917"/>
      <c r="TGN31" s="918"/>
      <c r="TGO31" s="914"/>
      <c r="TGP31" s="912"/>
      <c r="TGQ31" s="916"/>
      <c r="TGR31" s="917"/>
      <c r="TGS31" s="917"/>
      <c r="TGT31" s="917"/>
      <c r="TGU31" s="917"/>
      <c r="TGV31" s="917"/>
      <c r="TGW31" s="917"/>
      <c r="TGX31" s="917"/>
      <c r="TGY31" s="918"/>
      <c r="TGZ31" s="914"/>
      <c r="THA31" s="912"/>
      <c r="THB31" s="916"/>
      <c r="THC31" s="917"/>
      <c r="THD31" s="917"/>
      <c r="THE31" s="917"/>
      <c r="THF31" s="917"/>
      <c r="THG31" s="917"/>
      <c r="THH31" s="917"/>
      <c r="THI31" s="917"/>
      <c r="THJ31" s="918"/>
      <c r="THK31" s="914"/>
      <c r="THL31" s="912"/>
      <c r="THM31" s="916"/>
      <c r="THN31" s="917"/>
      <c r="THO31" s="917"/>
      <c r="THP31" s="917"/>
      <c r="THQ31" s="917"/>
      <c r="THR31" s="917"/>
      <c r="THS31" s="917"/>
      <c r="THT31" s="917"/>
      <c r="THU31" s="918"/>
      <c r="THV31" s="914"/>
      <c r="THW31" s="912"/>
      <c r="THX31" s="916"/>
      <c r="THY31" s="917"/>
      <c r="THZ31" s="917"/>
      <c r="TIA31" s="917"/>
      <c r="TIB31" s="917"/>
      <c r="TIC31" s="917"/>
      <c r="TID31" s="917"/>
      <c r="TIE31" s="917"/>
      <c r="TIF31" s="918"/>
      <c r="TIG31" s="914"/>
      <c r="TIH31" s="912"/>
      <c r="TII31" s="916"/>
      <c r="TIJ31" s="917"/>
      <c r="TIK31" s="917"/>
      <c r="TIL31" s="917"/>
      <c r="TIM31" s="917"/>
      <c r="TIN31" s="917"/>
      <c r="TIO31" s="917"/>
      <c r="TIP31" s="917"/>
      <c r="TIQ31" s="918"/>
      <c r="TIR31" s="914"/>
      <c r="TIS31" s="912"/>
      <c r="TIT31" s="916"/>
      <c r="TIU31" s="917"/>
      <c r="TIV31" s="917"/>
      <c r="TIW31" s="917"/>
      <c r="TIX31" s="917"/>
      <c r="TIY31" s="917"/>
      <c r="TIZ31" s="917"/>
      <c r="TJA31" s="917"/>
      <c r="TJB31" s="918"/>
      <c r="TJC31" s="914"/>
      <c r="TJD31" s="912"/>
      <c r="TJE31" s="916"/>
      <c r="TJF31" s="917"/>
      <c r="TJG31" s="917"/>
      <c r="TJH31" s="917"/>
      <c r="TJI31" s="917"/>
      <c r="TJJ31" s="917"/>
      <c r="TJK31" s="917"/>
      <c r="TJL31" s="917"/>
      <c r="TJM31" s="918"/>
      <c r="TJN31" s="914"/>
      <c r="TJO31" s="912"/>
      <c r="TJP31" s="916"/>
      <c r="TJQ31" s="917"/>
      <c r="TJR31" s="917"/>
      <c r="TJS31" s="917"/>
      <c r="TJT31" s="917"/>
      <c r="TJU31" s="917"/>
      <c r="TJV31" s="917"/>
      <c r="TJW31" s="917"/>
      <c r="TJX31" s="918"/>
      <c r="TJY31" s="914"/>
      <c r="TJZ31" s="912"/>
      <c r="TKA31" s="916"/>
      <c r="TKB31" s="917"/>
      <c r="TKC31" s="917"/>
      <c r="TKD31" s="917"/>
      <c r="TKE31" s="917"/>
      <c r="TKF31" s="917"/>
      <c r="TKG31" s="917"/>
      <c r="TKH31" s="917"/>
      <c r="TKI31" s="918"/>
      <c r="TKJ31" s="914"/>
      <c r="TKK31" s="912"/>
      <c r="TKL31" s="916"/>
      <c r="TKM31" s="917"/>
      <c r="TKN31" s="917"/>
      <c r="TKO31" s="917"/>
      <c r="TKP31" s="917"/>
      <c r="TKQ31" s="917"/>
      <c r="TKR31" s="917"/>
      <c r="TKS31" s="917"/>
      <c r="TKT31" s="918"/>
      <c r="TKU31" s="914"/>
      <c r="TKV31" s="912"/>
      <c r="TKW31" s="916"/>
      <c r="TKX31" s="917"/>
      <c r="TKY31" s="917"/>
      <c r="TKZ31" s="917"/>
      <c r="TLA31" s="917"/>
      <c r="TLB31" s="917"/>
      <c r="TLC31" s="917"/>
      <c r="TLD31" s="917"/>
      <c r="TLE31" s="918"/>
      <c r="TLF31" s="914"/>
      <c r="TLG31" s="912"/>
      <c r="TLH31" s="916"/>
      <c r="TLI31" s="917"/>
      <c r="TLJ31" s="917"/>
      <c r="TLK31" s="917"/>
      <c r="TLL31" s="917"/>
      <c r="TLM31" s="917"/>
      <c r="TLN31" s="917"/>
      <c r="TLO31" s="917"/>
      <c r="TLP31" s="918"/>
      <c r="TLQ31" s="914"/>
      <c r="TLR31" s="912"/>
      <c r="TLS31" s="916"/>
      <c r="TLT31" s="917"/>
      <c r="TLU31" s="917"/>
      <c r="TLV31" s="917"/>
      <c r="TLW31" s="917"/>
      <c r="TLX31" s="917"/>
      <c r="TLY31" s="917"/>
      <c r="TLZ31" s="917"/>
      <c r="TMA31" s="918"/>
      <c r="TMB31" s="914"/>
      <c r="TMC31" s="912"/>
      <c r="TMD31" s="916"/>
      <c r="TME31" s="917"/>
      <c r="TMF31" s="917"/>
      <c r="TMG31" s="917"/>
      <c r="TMH31" s="917"/>
      <c r="TMI31" s="917"/>
      <c r="TMJ31" s="917"/>
      <c r="TMK31" s="917"/>
      <c r="TML31" s="918"/>
      <c r="TMM31" s="914"/>
      <c r="TMN31" s="912"/>
      <c r="TMO31" s="916"/>
      <c r="TMP31" s="917"/>
      <c r="TMQ31" s="917"/>
      <c r="TMR31" s="917"/>
      <c r="TMS31" s="917"/>
      <c r="TMT31" s="917"/>
      <c r="TMU31" s="917"/>
      <c r="TMV31" s="917"/>
      <c r="TMW31" s="918"/>
      <c r="TMX31" s="914"/>
      <c r="TMY31" s="912"/>
      <c r="TMZ31" s="916"/>
      <c r="TNA31" s="917"/>
      <c r="TNB31" s="917"/>
      <c r="TNC31" s="917"/>
      <c r="TND31" s="917"/>
      <c r="TNE31" s="917"/>
      <c r="TNF31" s="917"/>
      <c r="TNG31" s="917"/>
      <c r="TNH31" s="918"/>
      <c r="TNI31" s="914"/>
      <c r="TNJ31" s="912"/>
      <c r="TNK31" s="916"/>
      <c r="TNL31" s="917"/>
      <c r="TNM31" s="917"/>
      <c r="TNN31" s="917"/>
      <c r="TNO31" s="917"/>
      <c r="TNP31" s="917"/>
      <c r="TNQ31" s="917"/>
      <c r="TNR31" s="917"/>
      <c r="TNS31" s="918"/>
      <c r="TNT31" s="914"/>
      <c r="TNU31" s="912"/>
      <c r="TNV31" s="916"/>
      <c r="TNW31" s="917"/>
      <c r="TNX31" s="917"/>
      <c r="TNY31" s="917"/>
      <c r="TNZ31" s="917"/>
      <c r="TOA31" s="917"/>
      <c r="TOB31" s="917"/>
      <c r="TOC31" s="917"/>
      <c r="TOD31" s="918"/>
      <c r="TOE31" s="914"/>
      <c r="TOF31" s="912"/>
      <c r="TOG31" s="916"/>
      <c r="TOH31" s="917"/>
      <c r="TOI31" s="917"/>
      <c r="TOJ31" s="917"/>
      <c r="TOK31" s="917"/>
      <c r="TOL31" s="917"/>
      <c r="TOM31" s="917"/>
      <c r="TON31" s="917"/>
      <c r="TOO31" s="918"/>
      <c r="TOP31" s="914"/>
      <c r="TOQ31" s="912"/>
      <c r="TOR31" s="916"/>
      <c r="TOS31" s="917"/>
      <c r="TOT31" s="917"/>
      <c r="TOU31" s="917"/>
      <c r="TOV31" s="917"/>
      <c r="TOW31" s="917"/>
      <c r="TOX31" s="917"/>
      <c r="TOY31" s="917"/>
      <c r="TOZ31" s="918"/>
      <c r="TPA31" s="914"/>
      <c r="TPB31" s="912"/>
      <c r="TPC31" s="916"/>
      <c r="TPD31" s="917"/>
      <c r="TPE31" s="917"/>
      <c r="TPF31" s="917"/>
      <c r="TPG31" s="917"/>
      <c r="TPH31" s="917"/>
      <c r="TPI31" s="917"/>
      <c r="TPJ31" s="917"/>
      <c r="TPK31" s="918"/>
      <c r="TPL31" s="914"/>
      <c r="TPM31" s="912"/>
      <c r="TPN31" s="916"/>
      <c r="TPO31" s="917"/>
      <c r="TPP31" s="917"/>
      <c r="TPQ31" s="917"/>
      <c r="TPR31" s="917"/>
      <c r="TPS31" s="917"/>
      <c r="TPT31" s="917"/>
      <c r="TPU31" s="917"/>
      <c r="TPV31" s="918"/>
      <c r="TPW31" s="914"/>
      <c r="TPX31" s="912"/>
      <c r="TPY31" s="916"/>
      <c r="TPZ31" s="917"/>
      <c r="TQA31" s="917"/>
      <c r="TQB31" s="917"/>
      <c r="TQC31" s="917"/>
      <c r="TQD31" s="917"/>
      <c r="TQE31" s="917"/>
      <c r="TQF31" s="917"/>
      <c r="TQG31" s="918"/>
      <c r="TQH31" s="914"/>
      <c r="TQI31" s="912"/>
      <c r="TQJ31" s="916"/>
      <c r="TQK31" s="917"/>
      <c r="TQL31" s="917"/>
      <c r="TQM31" s="917"/>
      <c r="TQN31" s="917"/>
      <c r="TQO31" s="917"/>
      <c r="TQP31" s="917"/>
      <c r="TQQ31" s="917"/>
      <c r="TQR31" s="918"/>
      <c r="TQS31" s="914"/>
      <c r="TQT31" s="912"/>
      <c r="TQU31" s="916"/>
      <c r="TQV31" s="917"/>
      <c r="TQW31" s="917"/>
      <c r="TQX31" s="917"/>
      <c r="TQY31" s="917"/>
      <c r="TQZ31" s="917"/>
      <c r="TRA31" s="917"/>
      <c r="TRB31" s="917"/>
      <c r="TRC31" s="918"/>
      <c r="TRD31" s="914"/>
      <c r="TRE31" s="912"/>
      <c r="TRF31" s="916"/>
      <c r="TRG31" s="917"/>
      <c r="TRH31" s="917"/>
      <c r="TRI31" s="917"/>
      <c r="TRJ31" s="917"/>
      <c r="TRK31" s="917"/>
      <c r="TRL31" s="917"/>
      <c r="TRM31" s="917"/>
      <c r="TRN31" s="918"/>
      <c r="TRO31" s="914"/>
      <c r="TRP31" s="912"/>
      <c r="TRQ31" s="916"/>
      <c r="TRR31" s="917"/>
      <c r="TRS31" s="917"/>
      <c r="TRT31" s="917"/>
      <c r="TRU31" s="917"/>
      <c r="TRV31" s="917"/>
      <c r="TRW31" s="917"/>
      <c r="TRX31" s="917"/>
      <c r="TRY31" s="918"/>
      <c r="TRZ31" s="914"/>
      <c r="TSA31" s="912"/>
      <c r="TSB31" s="916"/>
      <c r="TSC31" s="917"/>
      <c r="TSD31" s="917"/>
      <c r="TSE31" s="917"/>
      <c r="TSF31" s="917"/>
      <c r="TSG31" s="917"/>
      <c r="TSH31" s="917"/>
      <c r="TSI31" s="917"/>
      <c r="TSJ31" s="918"/>
      <c r="TSK31" s="914"/>
      <c r="TSL31" s="912"/>
      <c r="TSM31" s="916"/>
      <c r="TSN31" s="917"/>
      <c r="TSO31" s="917"/>
      <c r="TSP31" s="917"/>
      <c r="TSQ31" s="917"/>
      <c r="TSR31" s="917"/>
      <c r="TSS31" s="917"/>
      <c r="TST31" s="917"/>
      <c r="TSU31" s="918"/>
      <c r="TSV31" s="914"/>
      <c r="TSW31" s="912"/>
      <c r="TSX31" s="916"/>
      <c r="TSY31" s="917"/>
      <c r="TSZ31" s="917"/>
      <c r="TTA31" s="917"/>
      <c r="TTB31" s="917"/>
      <c r="TTC31" s="917"/>
      <c r="TTD31" s="917"/>
      <c r="TTE31" s="917"/>
      <c r="TTF31" s="918"/>
      <c r="TTG31" s="914"/>
      <c r="TTH31" s="912"/>
      <c r="TTI31" s="916"/>
      <c r="TTJ31" s="917"/>
      <c r="TTK31" s="917"/>
      <c r="TTL31" s="917"/>
      <c r="TTM31" s="917"/>
      <c r="TTN31" s="917"/>
      <c r="TTO31" s="917"/>
      <c r="TTP31" s="917"/>
      <c r="TTQ31" s="918"/>
      <c r="TTR31" s="914"/>
      <c r="TTS31" s="912"/>
      <c r="TTT31" s="916"/>
      <c r="TTU31" s="917"/>
      <c r="TTV31" s="917"/>
      <c r="TTW31" s="917"/>
      <c r="TTX31" s="917"/>
      <c r="TTY31" s="917"/>
      <c r="TTZ31" s="917"/>
      <c r="TUA31" s="917"/>
      <c r="TUB31" s="918"/>
      <c r="TUC31" s="914"/>
      <c r="TUD31" s="912"/>
      <c r="TUE31" s="916"/>
      <c r="TUF31" s="917"/>
      <c r="TUG31" s="917"/>
      <c r="TUH31" s="917"/>
      <c r="TUI31" s="917"/>
      <c r="TUJ31" s="917"/>
      <c r="TUK31" s="917"/>
      <c r="TUL31" s="917"/>
      <c r="TUM31" s="918"/>
      <c r="TUN31" s="914"/>
      <c r="TUO31" s="912"/>
      <c r="TUP31" s="916"/>
      <c r="TUQ31" s="917"/>
      <c r="TUR31" s="917"/>
      <c r="TUS31" s="917"/>
      <c r="TUT31" s="917"/>
      <c r="TUU31" s="917"/>
      <c r="TUV31" s="917"/>
      <c r="TUW31" s="917"/>
      <c r="TUX31" s="918"/>
      <c r="TUY31" s="914"/>
      <c r="TUZ31" s="912"/>
      <c r="TVA31" s="916"/>
      <c r="TVB31" s="917"/>
      <c r="TVC31" s="917"/>
      <c r="TVD31" s="917"/>
      <c r="TVE31" s="917"/>
      <c r="TVF31" s="917"/>
      <c r="TVG31" s="917"/>
      <c r="TVH31" s="917"/>
      <c r="TVI31" s="918"/>
      <c r="TVJ31" s="914"/>
      <c r="TVK31" s="912"/>
      <c r="TVL31" s="916"/>
      <c r="TVM31" s="917"/>
      <c r="TVN31" s="917"/>
      <c r="TVO31" s="917"/>
      <c r="TVP31" s="917"/>
      <c r="TVQ31" s="917"/>
      <c r="TVR31" s="917"/>
      <c r="TVS31" s="917"/>
      <c r="TVT31" s="918"/>
      <c r="TVU31" s="914"/>
      <c r="TVV31" s="912"/>
      <c r="TVW31" s="916"/>
      <c r="TVX31" s="917"/>
      <c r="TVY31" s="917"/>
      <c r="TVZ31" s="917"/>
      <c r="TWA31" s="917"/>
      <c r="TWB31" s="917"/>
      <c r="TWC31" s="917"/>
      <c r="TWD31" s="917"/>
      <c r="TWE31" s="918"/>
      <c r="TWF31" s="914"/>
      <c r="TWG31" s="912"/>
      <c r="TWH31" s="916"/>
      <c r="TWI31" s="917"/>
      <c r="TWJ31" s="917"/>
      <c r="TWK31" s="917"/>
      <c r="TWL31" s="917"/>
      <c r="TWM31" s="917"/>
      <c r="TWN31" s="917"/>
      <c r="TWO31" s="917"/>
      <c r="TWP31" s="918"/>
      <c r="TWQ31" s="914"/>
      <c r="TWR31" s="912"/>
      <c r="TWS31" s="916"/>
      <c r="TWT31" s="917"/>
      <c r="TWU31" s="917"/>
      <c r="TWV31" s="917"/>
      <c r="TWW31" s="917"/>
      <c r="TWX31" s="917"/>
      <c r="TWY31" s="917"/>
      <c r="TWZ31" s="917"/>
      <c r="TXA31" s="918"/>
      <c r="TXB31" s="914"/>
      <c r="TXC31" s="912"/>
      <c r="TXD31" s="916"/>
      <c r="TXE31" s="917"/>
      <c r="TXF31" s="917"/>
      <c r="TXG31" s="917"/>
      <c r="TXH31" s="917"/>
      <c r="TXI31" s="917"/>
      <c r="TXJ31" s="917"/>
      <c r="TXK31" s="917"/>
      <c r="TXL31" s="918"/>
      <c r="TXM31" s="914"/>
      <c r="TXN31" s="912"/>
      <c r="TXO31" s="916"/>
      <c r="TXP31" s="917"/>
      <c r="TXQ31" s="917"/>
      <c r="TXR31" s="917"/>
      <c r="TXS31" s="917"/>
      <c r="TXT31" s="917"/>
      <c r="TXU31" s="917"/>
      <c r="TXV31" s="917"/>
      <c r="TXW31" s="918"/>
      <c r="TXX31" s="914"/>
      <c r="TXY31" s="912"/>
      <c r="TXZ31" s="916"/>
      <c r="TYA31" s="917"/>
      <c r="TYB31" s="917"/>
      <c r="TYC31" s="917"/>
      <c r="TYD31" s="917"/>
      <c r="TYE31" s="917"/>
      <c r="TYF31" s="917"/>
      <c r="TYG31" s="917"/>
      <c r="TYH31" s="918"/>
      <c r="TYI31" s="914"/>
      <c r="TYJ31" s="912"/>
      <c r="TYK31" s="916"/>
      <c r="TYL31" s="917"/>
      <c r="TYM31" s="917"/>
      <c r="TYN31" s="917"/>
      <c r="TYO31" s="917"/>
      <c r="TYP31" s="917"/>
      <c r="TYQ31" s="917"/>
      <c r="TYR31" s="917"/>
      <c r="TYS31" s="918"/>
      <c r="TYT31" s="914"/>
      <c r="TYU31" s="912"/>
      <c r="TYV31" s="916"/>
      <c r="TYW31" s="917"/>
      <c r="TYX31" s="917"/>
      <c r="TYY31" s="917"/>
      <c r="TYZ31" s="917"/>
      <c r="TZA31" s="917"/>
      <c r="TZB31" s="917"/>
      <c r="TZC31" s="917"/>
      <c r="TZD31" s="918"/>
      <c r="TZE31" s="914"/>
      <c r="TZF31" s="912"/>
      <c r="TZG31" s="916"/>
      <c r="TZH31" s="917"/>
      <c r="TZI31" s="917"/>
      <c r="TZJ31" s="917"/>
      <c r="TZK31" s="917"/>
      <c r="TZL31" s="917"/>
      <c r="TZM31" s="917"/>
      <c r="TZN31" s="917"/>
      <c r="TZO31" s="918"/>
      <c r="TZP31" s="914"/>
      <c r="TZQ31" s="912"/>
      <c r="TZR31" s="916"/>
      <c r="TZS31" s="917"/>
      <c r="TZT31" s="917"/>
      <c r="TZU31" s="917"/>
      <c r="TZV31" s="917"/>
      <c r="TZW31" s="917"/>
      <c r="TZX31" s="917"/>
      <c r="TZY31" s="917"/>
      <c r="TZZ31" s="918"/>
      <c r="UAA31" s="914"/>
      <c r="UAB31" s="912"/>
      <c r="UAC31" s="916"/>
      <c r="UAD31" s="917"/>
      <c r="UAE31" s="917"/>
      <c r="UAF31" s="917"/>
      <c r="UAG31" s="917"/>
      <c r="UAH31" s="917"/>
      <c r="UAI31" s="917"/>
      <c r="UAJ31" s="917"/>
      <c r="UAK31" s="918"/>
      <c r="UAL31" s="914"/>
      <c r="UAM31" s="912"/>
      <c r="UAN31" s="916"/>
      <c r="UAO31" s="917"/>
      <c r="UAP31" s="917"/>
      <c r="UAQ31" s="917"/>
      <c r="UAR31" s="917"/>
      <c r="UAS31" s="917"/>
      <c r="UAT31" s="917"/>
      <c r="UAU31" s="917"/>
      <c r="UAV31" s="918"/>
      <c r="UAW31" s="914"/>
      <c r="UAX31" s="912"/>
      <c r="UAY31" s="916"/>
      <c r="UAZ31" s="917"/>
      <c r="UBA31" s="917"/>
      <c r="UBB31" s="917"/>
      <c r="UBC31" s="917"/>
      <c r="UBD31" s="917"/>
      <c r="UBE31" s="917"/>
      <c r="UBF31" s="917"/>
      <c r="UBG31" s="918"/>
      <c r="UBH31" s="914"/>
      <c r="UBI31" s="912"/>
      <c r="UBJ31" s="916"/>
      <c r="UBK31" s="917"/>
      <c r="UBL31" s="917"/>
      <c r="UBM31" s="917"/>
      <c r="UBN31" s="917"/>
      <c r="UBO31" s="917"/>
      <c r="UBP31" s="917"/>
      <c r="UBQ31" s="917"/>
      <c r="UBR31" s="918"/>
      <c r="UBS31" s="914"/>
      <c r="UBT31" s="912"/>
      <c r="UBU31" s="916"/>
      <c r="UBV31" s="917"/>
      <c r="UBW31" s="917"/>
      <c r="UBX31" s="917"/>
      <c r="UBY31" s="917"/>
      <c r="UBZ31" s="917"/>
      <c r="UCA31" s="917"/>
      <c r="UCB31" s="917"/>
      <c r="UCC31" s="918"/>
      <c r="UCD31" s="914"/>
      <c r="UCE31" s="912"/>
      <c r="UCF31" s="916"/>
      <c r="UCG31" s="917"/>
      <c r="UCH31" s="917"/>
      <c r="UCI31" s="917"/>
      <c r="UCJ31" s="917"/>
      <c r="UCK31" s="917"/>
      <c r="UCL31" s="917"/>
      <c r="UCM31" s="917"/>
      <c r="UCN31" s="918"/>
      <c r="UCO31" s="914"/>
      <c r="UCP31" s="912"/>
      <c r="UCQ31" s="916"/>
      <c r="UCR31" s="917"/>
      <c r="UCS31" s="917"/>
      <c r="UCT31" s="917"/>
      <c r="UCU31" s="917"/>
      <c r="UCV31" s="917"/>
      <c r="UCW31" s="917"/>
      <c r="UCX31" s="917"/>
      <c r="UCY31" s="918"/>
      <c r="UCZ31" s="914"/>
      <c r="UDA31" s="912"/>
      <c r="UDB31" s="916"/>
      <c r="UDC31" s="917"/>
      <c r="UDD31" s="917"/>
      <c r="UDE31" s="917"/>
      <c r="UDF31" s="917"/>
      <c r="UDG31" s="917"/>
      <c r="UDH31" s="917"/>
      <c r="UDI31" s="917"/>
      <c r="UDJ31" s="918"/>
      <c r="UDK31" s="914"/>
      <c r="UDL31" s="912"/>
      <c r="UDM31" s="916"/>
      <c r="UDN31" s="917"/>
      <c r="UDO31" s="917"/>
      <c r="UDP31" s="917"/>
      <c r="UDQ31" s="917"/>
      <c r="UDR31" s="917"/>
      <c r="UDS31" s="917"/>
      <c r="UDT31" s="917"/>
      <c r="UDU31" s="918"/>
      <c r="UDV31" s="914"/>
      <c r="UDW31" s="912"/>
      <c r="UDX31" s="916"/>
      <c r="UDY31" s="917"/>
      <c r="UDZ31" s="917"/>
      <c r="UEA31" s="917"/>
      <c r="UEB31" s="917"/>
      <c r="UEC31" s="917"/>
      <c r="UED31" s="917"/>
      <c r="UEE31" s="917"/>
      <c r="UEF31" s="918"/>
      <c r="UEG31" s="914"/>
      <c r="UEH31" s="912"/>
      <c r="UEI31" s="916"/>
      <c r="UEJ31" s="917"/>
      <c r="UEK31" s="917"/>
      <c r="UEL31" s="917"/>
      <c r="UEM31" s="917"/>
      <c r="UEN31" s="917"/>
      <c r="UEO31" s="917"/>
      <c r="UEP31" s="917"/>
      <c r="UEQ31" s="918"/>
      <c r="UER31" s="914"/>
      <c r="UES31" s="912"/>
      <c r="UET31" s="916"/>
      <c r="UEU31" s="917"/>
      <c r="UEV31" s="917"/>
      <c r="UEW31" s="917"/>
      <c r="UEX31" s="917"/>
      <c r="UEY31" s="917"/>
      <c r="UEZ31" s="917"/>
      <c r="UFA31" s="917"/>
      <c r="UFB31" s="918"/>
      <c r="UFC31" s="914"/>
      <c r="UFD31" s="912"/>
      <c r="UFE31" s="916"/>
      <c r="UFF31" s="917"/>
      <c r="UFG31" s="917"/>
      <c r="UFH31" s="917"/>
      <c r="UFI31" s="917"/>
      <c r="UFJ31" s="917"/>
      <c r="UFK31" s="917"/>
      <c r="UFL31" s="917"/>
      <c r="UFM31" s="918"/>
      <c r="UFN31" s="914"/>
      <c r="UFO31" s="912"/>
      <c r="UFP31" s="916"/>
      <c r="UFQ31" s="917"/>
      <c r="UFR31" s="917"/>
      <c r="UFS31" s="917"/>
      <c r="UFT31" s="917"/>
      <c r="UFU31" s="917"/>
      <c r="UFV31" s="917"/>
      <c r="UFW31" s="917"/>
      <c r="UFX31" s="918"/>
      <c r="UFY31" s="914"/>
      <c r="UFZ31" s="912"/>
      <c r="UGA31" s="916"/>
      <c r="UGB31" s="917"/>
      <c r="UGC31" s="917"/>
      <c r="UGD31" s="917"/>
      <c r="UGE31" s="917"/>
      <c r="UGF31" s="917"/>
      <c r="UGG31" s="917"/>
      <c r="UGH31" s="917"/>
      <c r="UGI31" s="918"/>
      <c r="UGJ31" s="914"/>
      <c r="UGK31" s="912"/>
      <c r="UGL31" s="916"/>
      <c r="UGM31" s="917"/>
      <c r="UGN31" s="917"/>
      <c r="UGO31" s="917"/>
      <c r="UGP31" s="917"/>
      <c r="UGQ31" s="917"/>
      <c r="UGR31" s="917"/>
      <c r="UGS31" s="917"/>
      <c r="UGT31" s="918"/>
      <c r="UGU31" s="914"/>
      <c r="UGV31" s="912"/>
      <c r="UGW31" s="916"/>
      <c r="UGX31" s="917"/>
      <c r="UGY31" s="917"/>
      <c r="UGZ31" s="917"/>
      <c r="UHA31" s="917"/>
      <c r="UHB31" s="917"/>
      <c r="UHC31" s="917"/>
      <c r="UHD31" s="917"/>
      <c r="UHE31" s="918"/>
      <c r="UHF31" s="914"/>
      <c r="UHG31" s="912"/>
      <c r="UHH31" s="916"/>
      <c r="UHI31" s="917"/>
      <c r="UHJ31" s="917"/>
      <c r="UHK31" s="917"/>
      <c r="UHL31" s="917"/>
      <c r="UHM31" s="917"/>
      <c r="UHN31" s="917"/>
      <c r="UHO31" s="917"/>
      <c r="UHP31" s="918"/>
      <c r="UHQ31" s="914"/>
      <c r="UHR31" s="912"/>
      <c r="UHS31" s="916"/>
      <c r="UHT31" s="917"/>
      <c r="UHU31" s="917"/>
      <c r="UHV31" s="917"/>
      <c r="UHW31" s="917"/>
      <c r="UHX31" s="917"/>
      <c r="UHY31" s="917"/>
      <c r="UHZ31" s="917"/>
      <c r="UIA31" s="918"/>
      <c r="UIB31" s="914"/>
      <c r="UIC31" s="912"/>
      <c r="UID31" s="916"/>
      <c r="UIE31" s="917"/>
      <c r="UIF31" s="917"/>
      <c r="UIG31" s="917"/>
      <c r="UIH31" s="917"/>
      <c r="UII31" s="917"/>
      <c r="UIJ31" s="917"/>
      <c r="UIK31" s="917"/>
      <c r="UIL31" s="918"/>
      <c r="UIM31" s="914"/>
      <c r="UIN31" s="912"/>
      <c r="UIO31" s="916"/>
      <c r="UIP31" s="917"/>
      <c r="UIQ31" s="917"/>
      <c r="UIR31" s="917"/>
      <c r="UIS31" s="917"/>
      <c r="UIT31" s="917"/>
      <c r="UIU31" s="917"/>
      <c r="UIV31" s="917"/>
      <c r="UIW31" s="918"/>
      <c r="UIX31" s="914"/>
      <c r="UIY31" s="912"/>
      <c r="UIZ31" s="916"/>
      <c r="UJA31" s="917"/>
      <c r="UJB31" s="917"/>
      <c r="UJC31" s="917"/>
      <c r="UJD31" s="917"/>
      <c r="UJE31" s="917"/>
      <c r="UJF31" s="917"/>
      <c r="UJG31" s="917"/>
      <c r="UJH31" s="918"/>
      <c r="UJI31" s="914"/>
      <c r="UJJ31" s="912"/>
      <c r="UJK31" s="916"/>
      <c r="UJL31" s="917"/>
      <c r="UJM31" s="917"/>
      <c r="UJN31" s="917"/>
      <c r="UJO31" s="917"/>
      <c r="UJP31" s="917"/>
      <c r="UJQ31" s="917"/>
      <c r="UJR31" s="917"/>
      <c r="UJS31" s="918"/>
      <c r="UJT31" s="914"/>
      <c r="UJU31" s="912"/>
      <c r="UJV31" s="916"/>
      <c r="UJW31" s="917"/>
      <c r="UJX31" s="917"/>
      <c r="UJY31" s="917"/>
      <c r="UJZ31" s="917"/>
      <c r="UKA31" s="917"/>
      <c r="UKB31" s="917"/>
      <c r="UKC31" s="917"/>
      <c r="UKD31" s="918"/>
      <c r="UKE31" s="914"/>
      <c r="UKF31" s="912"/>
      <c r="UKG31" s="916"/>
      <c r="UKH31" s="917"/>
      <c r="UKI31" s="917"/>
      <c r="UKJ31" s="917"/>
      <c r="UKK31" s="917"/>
      <c r="UKL31" s="917"/>
      <c r="UKM31" s="917"/>
      <c r="UKN31" s="917"/>
      <c r="UKO31" s="918"/>
      <c r="UKP31" s="914"/>
      <c r="UKQ31" s="912"/>
      <c r="UKR31" s="916"/>
      <c r="UKS31" s="917"/>
      <c r="UKT31" s="917"/>
      <c r="UKU31" s="917"/>
      <c r="UKV31" s="917"/>
      <c r="UKW31" s="917"/>
      <c r="UKX31" s="917"/>
      <c r="UKY31" s="917"/>
      <c r="UKZ31" s="918"/>
      <c r="ULA31" s="914"/>
      <c r="ULB31" s="912"/>
      <c r="ULC31" s="916"/>
      <c r="ULD31" s="917"/>
      <c r="ULE31" s="917"/>
      <c r="ULF31" s="917"/>
      <c r="ULG31" s="917"/>
      <c r="ULH31" s="917"/>
      <c r="ULI31" s="917"/>
      <c r="ULJ31" s="917"/>
      <c r="ULK31" s="918"/>
      <c r="ULL31" s="914"/>
      <c r="ULM31" s="912"/>
      <c r="ULN31" s="916"/>
      <c r="ULO31" s="917"/>
      <c r="ULP31" s="917"/>
      <c r="ULQ31" s="917"/>
      <c r="ULR31" s="917"/>
      <c r="ULS31" s="917"/>
      <c r="ULT31" s="917"/>
      <c r="ULU31" s="917"/>
      <c r="ULV31" s="918"/>
      <c r="ULW31" s="914"/>
      <c r="ULX31" s="912"/>
      <c r="ULY31" s="916"/>
      <c r="ULZ31" s="917"/>
      <c r="UMA31" s="917"/>
      <c r="UMB31" s="917"/>
      <c r="UMC31" s="917"/>
      <c r="UMD31" s="917"/>
      <c r="UME31" s="917"/>
      <c r="UMF31" s="917"/>
      <c r="UMG31" s="918"/>
      <c r="UMH31" s="914"/>
      <c r="UMI31" s="912"/>
      <c r="UMJ31" s="916"/>
      <c r="UMK31" s="917"/>
      <c r="UML31" s="917"/>
      <c r="UMM31" s="917"/>
      <c r="UMN31" s="917"/>
      <c r="UMO31" s="917"/>
      <c r="UMP31" s="917"/>
      <c r="UMQ31" s="917"/>
      <c r="UMR31" s="918"/>
      <c r="UMS31" s="914"/>
      <c r="UMT31" s="912"/>
      <c r="UMU31" s="916"/>
      <c r="UMV31" s="917"/>
      <c r="UMW31" s="917"/>
      <c r="UMX31" s="917"/>
      <c r="UMY31" s="917"/>
      <c r="UMZ31" s="917"/>
      <c r="UNA31" s="917"/>
      <c r="UNB31" s="917"/>
      <c r="UNC31" s="918"/>
      <c r="UND31" s="914"/>
      <c r="UNE31" s="912"/>
      <c r="UNF31" s="916"/>
      <c r="UNG31" s="917"/>
      <c r="UNH31" s="917"/>
      <c r="UNI31" s="917"/>
      <c r="UNJ31" s="917"/>
      <c r="UNK31" s="917"/>
      <c r="UNL31" s="917"/>
      <c r="UNM31" s="917"/>
      <c r="UNN31" s="918"/>
      <c r="UNO31" s="914"/>
      <c r="UNP31" s="912"/>
      <c r="UNQ31" s="916"/>
      <c r="UNR31" s="917"/>
      <c r="UNS31" s="917"/>
      <c r="UNT31" s="917"/>
      <c r="UNU31" s="917"/>
      <c r="UNV31" s="917"/>
      <c r="UNW31" s="917"/>
      <c r="UNX31" s="917"/>
      <c r="UNY31" s="918"/>
      <c r="UNZ31" s="914"/>
      <c r="UOA31" s="912"/>
      <c r="UOB31" s="916"/>
      <c r="UOC31" s="917"/>
      <c r="UOD31" s="917"/>
      <c r="UOE31" s="917"/>
      <c r="UOF31" s="917"/>
      <c r="UOG31" s="917"/>
      <c r="UOH31" s="917"/>
      <c r="UOI31" s="917"/>
      <c r="UOJ31" s="918"/>
      <c r="UOK31" s="914"/>
      <c r="UOL31" s="912"/>
      <c r="UOM31" s="916"/>
      <c r="UON31" s="917"/>
      <c r="UOO31" s="917"/>
      <c r="UOP31" s="917"/>
      <c r="UOQ31" s="917"/>
      <c r="UOR31" s="917"/>
      <c r="UOS31" s="917"/>
      <c r="UOT31" s="917"/>
      <c r="UOU31" s="918"/>
      <c r="UOV31" s="914"/>
      <c r="UOW31" s="912"/>
      <c r="UOX31" s="916"/>
      <c r="UOY31" s="917"/>
      <c r="UOZ31" s="917"/>
      <c r="UPA31" s="917"/>
      <c r="UPB31" s="917"/>
      <c r="UPC31" s="917"/>
      <c r="UPD31" s="917"/>
      <c r="UPE31" s="917"/>
      <c r="UPF31" s="918"/>
      <c r="UPG31" s="914"/>
      <c r="UPH31" s="912"/>
      <c r="UPI31" s="916"/>
      <c r="UPJ31" s="917"/>
      <c r="UPK31" s="917"/>
      <c r="UPL31" s="917"/>
      <c r="UPM31" s="917"/>
      <c r="UPN31" s="917"/>
      <c r="UPO31" s="917"/>
      <c r="UPP31" s="917"/>
      <c r="UPQ31" s="918"/>
      <c r="UPR31" s="914"/>
      <c r="UPS31" s="912"/>
      <c r="UPT31" s="916"/>
      <c r="UPU31" s="917"/>
      <c r="UPV31" s="917"/>
      <c r="UPW31" s="917"/>
      <c r="UPX31" s="917"/>
      <c r="UPY31" s="917"/>
      <c r="UPZ31" s="917"/>
      <c r="UQA31" s="917"/>
      <c r="UQB31" s="918"/>
      <c r="UQC31" s="914"/>
      <c r="UQD31" s="912"/>
      <c r="UQE31" s="916"/>
      <c r="UQF31" s="917"/>
      <c r="UQG31" s="917"/>
      <c r="UQH31" s="917"/>
      <c r="UQI31" s="917"/>
      <c r="UQJ31" s="917"/>
      <c r="UQK31" s="917"/>
      <c r="UQL31" s="917"/>
      <c r="UQM31" s="918"/>
      <c r="UQN31" s="914"/>
      <c r="UQO31" s="912"/>
      <c r="UQP31" s="916"/>
      <c r="UQQ31" s="917"/>
      <c r="UQR31" s="917"/>
      <c r="UQS31" s="917"/>
      <c r="UQT31" s="917"/>
      <c r="UQU31" s="917"/>
      <c r="UQV31" s="917"/>
      <c r="UQW31" s="917"/>
      <c r="UQX31" s="918"/>
      <c r="UQY31" s="914"/>
      <c r="UQZ31" s="912"/>
      <c r="URA31" s="916"/>
      <c r="URB31" s="917"/>
      <c r="URC31" s="917"/>
      <c r="URD31" s="917"/>
      <c r="URE31" s="917"/>
      <c r="URF31" s="917"/>
      <c r="URG31" s="917"/>
      <c r="URH31" s="917"/>
      <c r="URI31" s="918"/>
      <c r="URJ31" s="914"/>
      <c r="URK31" s="912"/>
      <c r="URL31" s="916"/>
      <c r="URM31" s="917"/>
      <c r="URN31" s="917"/>
      <c r="URO31" s="917"/>
      <c r="URP31" s="917"/>
      <c r="URQ31" s="917"/>
      <c r="URR31" s="917"/>
      <c r="URS31" s="917"/>
      <c r="URT31" s="918"/>
      <c r="URU31" s="914"/>
      <c r="URV31" s="912"/>
      <c r="URW31" s="916"/>
      <c r="URX31" s="917"/>
      <c r="URY31" s="917"/>
      <c r="URZ31" s="917"/>
      <c r="USA31" s="917"/>
      <c r="USB31" s="917"/>
      <c r="USC31" s="917"/>
      <c r="USD31" s="917"/>
      <c r="USE31" s="918"/>
      <c r="USF31" s="914"/>
      <c r="USG31" s="912"/>
      <c r="USH31" s="916"/>
      <c r="USI31" s="917"/>
      <c r="USJ31" s="917"/>
      <c r="USK31" s="917"/>
      <c r="USL31" s="917"/>
      <c r="USM31" s="917"/>
      <c r="USN31" s="917"/>
      <c r="USO31" s="917"/>
      <c r="USP31" s="918"/>
      <c r="USQ31" s="914"/>
      <c r="USR31" s="912"/>
      <c r="USS31" s="916"/>
      <c r="UST31" s="917"/>
      <c r="USU31" s="917"/>
      <c r="USV31" s="917"/>
      <c r="USW31" s="917"/>
      <c r="USX31" s="917"/>
      <c r="USY31" s="917"/>
      <c r="USZ31" s="917"/>
      <c r="UTA31" s="918"/>
      <c r="UTB31" s="914"/>
      <c r="UTC31" s="912"/>
      <c r="UTD31" s="916"/>
      <c r="UTE31" s="917"/>
      <c r="UTF31" s="917"/>
      <c r="UTG31" s="917"/>
      <c r="UTH31" s="917"/>
      <c r="UTI31" s="917"/>
      <c r="UTJ31" s="917"/>
      <c r="UTK31" s="917"/>
      <c r="UTL31" s="918"/>
      <c r="UTM31" s="914"/>
      <c r="UTN31" s="912"/>
      <c r="UTO31" s="916"/>
      <c r="UTP31" s="917"/>
      <c r="UTQ31" s="917"/>
      <c r="UTR31" s="917"/>
      <c r="UTS31" s="917"/>
      <c r="UTT31" s="917"/>
      <c r="UTU31" s="917"/>
      <c r="UTV31" s="917"/>
      <c r="UTW31" s="918"/>
      <c r="UTX31" s="914"/>
      <c r="UTY31" s="912"/>
      <c r="UTZ31" s="916"/>
      <c r="UUA31" s="917"/>
      <c r="UUB31" s="917"/>
      <c r="UUC31" s="917"/>
      <c r="UUD31" s="917"/>
      <c r="UUE31" s="917"/>
      <c r="UUF31" s="917"/>
      <c r="UUG31" s="917"/>
      <c r="UUH31" s="918"/>
      <c r="UUI31" s="914"/>
      <c r="UUJ31" s="912"/>
      <c r="UUK31" s="916"/>
      <c r="UUL31" s="917"/>
      <c r="UUM31" s="917"/>
      <c r="UUN31" s="917"/>
      <c r="UUO31" s="917"/>
      <c r="UUP31" s="917"/>
      <c r="UUQ31" s="917"/>
      <c r="UUR31" s="917"/>
      <c r="UUS31" s="918"/>
      <c r="UUT31" s="914"/>
      <c r="UUU31" s="912"/>
      <c r="UUV31" s="916"/>
      <c r="UUW31" s="917"/>
      <c r="UUX31" s="917"/>
      <c r="UUY31" s="917"/>
      <c r="UUZ31" s="917"/>
      <c r="UVA31" s="917"/>
      <c r="UVB31" s="917"/>
      <c r="UVC31" s="917"/>
      <c r="UVD31" s="918"/>
      <c r="UVE31" s="914"/>
      <c r="UVF31" s="912"/>
      <c r="UVG31" s="916"/>
      <c r="UVH31" s="917"/>
      <c r="UVI31" s="917"/>
      <c r="UVJ31" s="917"/>
      <c r="UVK31" s="917"/>
      <c r="UVL31" s="917"/>
      <c r="UVM31" s="917"/>
      <c r="UVN31" s="917"/>
      <c r="UVO31" s="918"/>
      <c r="UVP31" s="914"/>
      <c r="UVQ31" s="912"/>
      <c r="UVR31" s="916"/>
      <c r="UVS31" s="917"/>
      <c r="UVT31" s="917"/>
      <c r="UVU31" s="917"/>
      <c r="UVV31" s="917"/>
      <c r="UVW31" s="917"/>
      <c r="UVX31" s="917"/>
      <c r="UVY31" s="917"/>
      <c r="UVZ31" s="918"/>
      <c r="UWA31" s="914"/>
      <c r="UWB31" s="912"/>
      <c r="UWC31" s="916"/>
      <c r="UWD31" s="917"/>
      <c r="UWE31" s="917"/>
      <c r="UWF31" s="917"/>
      <c r="UWG31" s="917"/>
      <c r="UWH31" s="917"/>
      <c r="UWI31" s="917"/>
      <c r="UWJ31" s="917"/>
      <c r="UWK31" s="918"/>
      <c r="UWL31" s="914"/>
      <c r="UWM31" s="912"/>
      <c r="UWN31" s="916"/>
      <c r="UWO31" s="917"/>
      <c r="UWP31" s="917"/>
      <c r="UWQ31" s="917"/>
      <c r="UWR31" s="917"/>
      <c r="UWS31" s="917"/>
      <c r="UWT31" s="917"/>
      <c r="UWU31" s="917"/>
      <c r="UWV31" s="918"/>
      <c r="UWW31" s="914"/>
      <c r="UWX31" s="912"/>
      <c r="UWY31" s="916"/>
      <c r="UWZ31" s="917"/>
      <c r="UXA31" s="917"/>
      <c r="UXB31" s="917"/>
      <c r="UXC31" s="917"/>
      <c r="UXD31" s="917"/>
      <c r="UXE31" s="917"/>
      <c r="UXF31" s="917"/>
      <c r="UXG31" s="918"/>
      <c r="UXH31" s="914"/>
      <c r="UXI31" s="912"/>
      <c r="UXJ31" s="916"/>
      <c r="UXK31" s="917"/>
      <c r="UXL31" s="917"/>
      <c r="UXM31" s="917"/>
      <c r="UXN31" s="917"/>
      <c r="UXO31" s="917"/>
      <c r="UXP31" s="917"/>
      <c r="UXQ31" s="917"/>
      <c r="UXR31" s="918"/>
      <c r="UXS31" s="914"/>
      <c r="UXT31" s="912"/>
      <c r="UXU31" s="916"/>
      <c r="UXV31" s="917"/>
      <c r="UXW31" s="917"/>
      <c r="UXX31" s="917"/>
      <c r="UXY31" s="917"/>
      <c r="UXZ31" s="917"/>
      <c r="UYA31" s="917"/>
      <c r="UYB31" s="917"/>
      <c r="UYC31" s="918"/>
      <c r="UYD31" s="914"/>
      <c r="UYE31" s="912"/>
      <c r="UYF31" s="916"/>
      <c r="UYG31" s="917"/>
      <c r="UYH31" s="917"/>
      <c r="UYI31" s="917"/>
      <c r="UYJ31" s="917"/>
      <c r="UYK31" s="917"/>
      <c r="UYL31" s="917"/>
      <c r="UYM31" s="917"/>
      <c r="UYN31" s="918"/>
      <c r="UYO31" s="914"/>
      <c r="UYP31" s="912"/>
      <c r="UYQ31" s="916"/>
      <c r="UYR31" s="917"/>
      <c r="UYS31" s="917"/>
      <c r="UYT31" s="917"/>
      <c r="UYU31" s="917"/>
      <c r="UYV31" s="917"/>
      <c r="UYW31" s="917"/>
      <c r="UYX31" s="917"/>
      <c r="UYY31" s="918"/>
      <c r="UYZ31" s="914"/>
      <c r="UZA31" s="912"/>
      <c r="UZB31" s="916"/>
      <c r="UZC31" s="917"/>
      <c r="UZD31" s="917"/>
      <c r="UZE31" s="917"/>
      <c r="UZF31" s="917"/>
      <c r="UZG31" s="917"/>
      <c r="UZH31" s="917"/>
      <c r="UZI31" s="917"/>
      <c r="UZJ31" s="918"/>
      <c r="UZK31" s="914"/>
      <c r="UZL31" s="912"/>
      <c r="UZM31" s="916"/>
      <c r="UZN31" s="917"/>
      <c r="UZO31" s="917"/>
      <c r="UZP31" s="917"/>
      <c r="UZQ31" s="917"/>
      <c r="UZR31" s="917"/>
      <c r="UZS31" s="917"/>
      <c r="UZT31" s="917"/>
      <c r="UZU31" s="918"/>
      <c r="UZV31" s="914"/>
      <c r="UZW31" s="912"/>
      <c r="UZX31" s="916"/>
      <c r="UZY31" s="917"/>
      <c r="UZZ31" s="917"/>
      <c r="VAA31" s="917"/>
      <c r="VAB31" s="917"/>
      <c r="VAC31" s="917"/>
      <c r="VAD31" s="917"/>
      <c r="VAE31" s="917"/>
      <c r="VAF31" s="918"/>
      <c r="VAG31" s="914"/>
      <c r="VAH31" s="912"/>
      <c r="VAI31" s="916"/>
      <c r="VAJ31" s="917"/>
      <c r="VAK31" s="917"/>
      <c r="VAL31" s="917"/>
      <c r="VAM31" s="917"/>
      <c r="VAN31" s="917"/>
      <c r="VAO31" s="917"/>
      <c r="VAP31" s="917"/>
      <c r="VAQ31" s="918"/>
      <c r="VAR31" s="914"/>
      <c r="VAS31" s="912"/>
      <c r="VAT31" s="916"/>
      <c r="VAU31" s="917"/>
      <c r="VAV31" s="917"/>
      <c r="VAW31" s="917"/>
      <c r="VAX31" s="917"/>
      <c r="VAY31" s="917"/>
      <c r="VAZ31" s="917"/>
      <c r="VBA31" s="917"/>
      <c r="VBB31" s="918"/>
      <c r="VBC31" s="914"/>
      <c r="VBD31" s="912"/>
      <c r="VBE31" s="916"/>
      <c r="VBF31" s="917"/>
      <c r="VBG31" s="917"/>
      <c r="VBH31" s="917"/>
      <c r="VBI31" s="917"/>
      <c r="VBJ31" s="917"/>
      <c r="VBK31" s="917"/>
      <c r="VBL31" s="917"/>
      <c r="VBM31" s="918"/>
      <c r="VBN31" s="914"/>
      <c r="VBO31" s="912"/>
      <c r="VBP31" s="916"/>
      <c r="VBQ31" s="917"/>
      <c r="VBR31" s="917"/>
      <c r="VBS31" s="917"/>
      <c r="VBT31" s="917"/>
      <c r="VBU31" s="917"/>
      <c r="VBV31" s="917"/>
      <c r="VBW31" s="917"/>
      <c r="VBX31" s="918"/>
      <c r="VBY31" s="914"/>
      <c r="VBZ31" s="912"/>
      <c r="VCA31" s="916"/>
      <c r="VCB31" s="917"/>
      <c r="VCC31" s="917"/>
      <c r="VCD31" s="917"/>
      <c r="VCE31" s="917"/>
      <c r="VCF31" s="917"/>
      <c r="VCG31" s="917"/>
      <c r="VCH31" s="917"/>
      <c r="VCI31" s="918"/>
      <c r="VCJ31" s="914"/>
      <c r="VCK31" s="912"/>
      <c r="VCL31" s="916"/>
      <c r="VCM31" s="917"/>
      <c r="VCN31" s="917"/>
      <c r="VCO31" s="917"/>
      <c r="VCP31" s="917"/>
      <c r="VCQ31" s="917"/>
      <c r="VCR31" s="917"/>
      <c r="VCS31" s="917"/>
      <c r="VCT31" s="918"/>
      <c r="VCU31" s="914"/>
      <c r="VCV31" s="912"/>
      <c r="VCW31" s="916"/>
      <c r="VCX31" s="917"/>
      <c r="VCY31" s="917"/>
      <c r="VCZ31" s="917"/>
      <c r="VDA31" s="917"/>
      <c r="VDB31" s="917"/>
      <c r="VDC31" s="917"/>
      <c r="VDD31" s="917"/>
      <c r="VDE31" s="918"/>
      <c r="VDF31" s="914"/>
      <c r="VDG31" s="912"/>
      <c r="VDH31" s="916"/>
      <c r="VDI31" s="917"/>
      <c r="VDJ31" s="917"/>
      <c r="VDK31" s="917"/>
      <c r="VDL31" s="917"/>
      <c r="VDM31" s="917"/>
      <c r="VDN31" s="917"/>
      <c r="VDO31" s="917"/>
      <c r="VDP31" s="918"/>
      <c r="VDQ31" s="914"/>
      <c r="VDR31" s="912"/>
      <c r="VDS31" s="916"/>
      <c r="VDT31" s="917"/>
      <c r="VDU31" s="917"/>
      <c r="VDV31" s="917"/>
      <c r="VDW31" s="917"/>
      <c r="VDX31" s="917"/>
      <c r="VDY31" s="917"/>
      <c r="VDZ31" s="917"/>
      <c r="VEA31" s="918"/>
      <c r="VEB31" s="914"/>
      <c r="VEC31" s="912"/>
      <c r="VED31" s="916"/>
      <c r="VEE31" s="917"/>
      <c r="VEF31" s="917"/>
      <c r="VEG31" s="917"/>
      <c r="VEH31" s="917"/>
      <c r="VEI31" s="917"/>
      <c r="VEJ31" s="917"/>
      <c r="VEK31" s="917"/>
      <c r="VEL31" s="918"/>
      <c r="VEM31" s="914"/>
      <c r="VEN31" s="912"/>
      <c r="VEO31" s="916"/>
      <c r="VEP31" s="917"/>
      <c r="VEQ31" s="917"/>
      <c r="VER31" s="917"/>
      <c r="VES31" s="917"/>
      <c r="VET31" s="917"/>
      <c r="VEU31" s="917"/>
      <c r="VEV31" s="917"/>
      <c r="VEW31" s="918"/>
      <c r="VEX31" s="914"/>
      <c r="VEY31" s="912"/>
      <c r="VEZ31" s="916"/>
      <c r="VFA31" s="917"/>
      <c r="VFB31" s="917"/>
      <c r="VFC31" s="917"/>
      <c r="VFD31" s="917"/>
      <c r="VFE31" s="917"/>
      <c r="VFF31" s="917"/>
      <c r="VFG31" s="917"/>
      <c r="VFH31" s="918"/>
      <c r="VFI31" s="914"/>
      <c r="VFJ31" s="912"/>
      <c r="VFK31" s="916"/>
      <c r="VFL31" s="917"/>
      <c r="VFM31" s="917"/>
      <c r="VFN31" s="917"/>
      <c r="VFO31" s="917"/>
      <c r="VFP31" s="917"/>
      <c r="VFQ31" s="917"/>
      <c r="VFR31" s="917"/>
      <c r="VFS31" s="918"/>
      <c r="VFT31" s="914"/>
      <c r="VFU31" s="912"/>
      <c r="VFV31" s="916"/>
      <c r="VFW31" s="917"/>
      <c r="VFX31" s="917"/>
      <c r="VFY31" s="917"/>
      <c r="VFZ31" s="917"/>
      <c r="VGA31" s="917"/>
      <c r="VGB31" s="917"/>
      <c r="VGC31" s="917"/>
      <c r="VGD31" s="918"/>
      <c r="VGE31" s="914"/>
      <c r="VGF31" s="912"/>
      <c r="VGG31" s="916"/>
      <c r="VGH31" s="917"/>
      <c r="VGI31" s="917"/>
      <c r="VGJ31" s="917"/>
      <c r="VGK31" s="917"/>
      <c r="VGL31" s="917"/>
      <c r="VGM31" s="917"/>
      <c r="VGN31" s="917"/>
      <c r="VGO31" s="918"/>
      <c r="VGP31" s="914"/>
      <c r="VGQ31" s="912"/>
      <c r="VGR31" s="916"/>
      <c r="VGS31" s="917"/>
      <c r="VGT31" s="917"/>
      <c r="VGU31" s="917"/>
      <c r="VGV31" s="917"/>
      <c r="VGW31" s="917"/>
      <c r="VGX31" s="917"/>
      <c r="VGY31" s="917"/>
      <c r="VGZ31" s="918"/>
      <c r="VHA31" s="914"/>
      <c r="VHB31" s="912"/>
      <c r="VHC31" s="916"/>
      <c r="VHD31" s="917"/>
      <c r="VHE31" s="917"/>
      <c r="VHF31" s="917"/>
      <c r="VHG31" s="917"/>
      <c r="VHH31" s="917"/>
      <c r="VHI31" s="917"/>
      <c r="VHJ31" s="917"/>
      <c r="VHK31" s="918"/>
      <c r="VHL31" s="914"/>
      <c r="VHM31" s="912"/>
      <c r="VHN31" s="916"/>
      <c r="VHO31" s="917"/>
      <c r="VHP31" s="917"/>
      <c r="VHQ31" s="917"/>
      <c r="VHR31" s="917"/>
      <c r="VHS31" s="917"/>
      <c r="VHT31" s="917"/>
      <c r="VHU31" s="917"/>
      <c r="VHV31" s="918"/>
      <c r="VHW31" s="914"/>
      <c r="VHX31" s="912"/>
      <c r="VHY31" s="916"/>
      <c r="VHZ31" s="917"/>
      <c r="VIA31" s="917"/>
      <c r="VIB31" s="917"/>
      <c r="VIC31" s="917"/>
      <c r="VID31" s="917"/>
      <c r="VIE31" s="917"/>
      <c r="VIF31" s="917"/>
      <c r="VIG31" s="918"/>
      <c r="VIH31" s="914"/>
      <c r="VII31" s="912"/>
      <c r="VIJ31" s="916"/>
      <c r="VIK31" s="917"/>
      <c r="VIL31" s="917"/>
      <c r="VIM31" s="917"/>
      <c r="VIN31" s="917"/>
      <c r="VIO31" s="917"/>
      <c r="VIP31" s="917"/>
      <c r="VIQ31" s="917"/>
      <c r="VIR31" s="918"/>
      <c r="VIS31" s="914"/>
      <c r="VIT31" s="912"/>
      <c r="VIU31" s="916"/>
      <c r="VIV31" s="917"/>
      <c r="VIW31" s="917"/>
      <c r="VIX31" s="917"/>
      <c r="VIY31" s="917"/>
      <c r="VIZ31" s="917"/>
      <c r="VJA31" s="917"/>
      <c r="VJB31" s="917"/>
      <c r="VJC31" s="918"/>
      <c r="VJD31" s="914"/>
      <c r="VJE31" s="912"/>
      <c r="VJF31" s="916"/>
      <c r="VJG31" s="917"/>
      <c r="VJH31" s="917"/>
      <c r="VJI31" s="917"/>
      <c r="VJJ31" s="917"/>
      <c r="VJK31" s="917"/>
      <c r="VJL31" s="917"/>
      <c r="VJM31" s="917"/>
      <c r="VJN31" s="918"/>
      <c r="VJO31" s="914"/>
      <c r="VJP31" s="912"/>
      <c r="VJQ31" s="916"/>
      <c r="VJR31" s="917"/>
      <c r="VJS31" s="917"/>
      <c r="VJT31" s="917"/>
      <c r="VJU31" s="917"/>
      <c r="VJV31" s="917"/>
      <c r="VJW31" s="917"/>
      <c r="VJX31" s="917"/>
      <c r="VJY31" s="918"/>
      <c r="VJZ31" s="914"/>
      <c r="VKA31" s="912"/>
      <c r="VKB31" s="916"/>
      <c r="VKC31" s="917"/>
      <c r="VKD31" s="917"/>
      <c r="VKE31" s="917"/>
      <c r="VKF31" s="917"/>
      <c r="VKG31" s="917"/>
      <c r="VKH31" s="917"/>
      <c r="VKI31" s="917"/>
      <c r="VKJ31" s="918"/>
      <c r="VKK31" s="914"/>
      <c r="VKL31" s="912"/>
      <c r="VKM31" s="916"/>
      <c r="VKN31" s="917"/>
      <c r="VKO31" s="917"/>
      <c r="VKP31" s="917"/>
      <c r="VKQ31" s="917"/>
      <c r="VKR31" s="917"/>
      <c r="VKS31" s="917"/>
      <c r="VKT31" s="917"/>
      <c r="VKU31" s="918"/>
      <c r="VKV31" s="914"/>
      <c r="VKW31" s="912"/>
      <c r="VKX31" s="916"/>
      <c r="VKY31" s="917"/>
      <c r="VKZ31" s="917"/>
      <c r="VLA31" s="917"/>
      <c r="VLB31" s="917"/>
      <c r="VLC31" s="917"/>
      <c r="VLD31" s="917"/>
      <c r="VLE31" s="917"/>
      <c r="VLF31" s="918"/>
      <c r="VLG31" s="914"/>
      <c r="VLH31" s="912"/>
      <c r="VLI31" s="916"/>
      <c r="VLJ31" s="917"/>
      <c r="VLK31" s="917"/>
      <c r="VLL31" s="917"/>
      <c r="VLM31" s="917"/>
      <c r="VLN31" s="917"/>
      <c r="VLO31" s="917"/>
      <c r="VLP31" s="917"/>
      <c r="VLQ31" s="918"/>
      <c r="VLR31" s="914"/>
      <c r="VLS31" s="912"/>
      <c r="VLT31" s="916"/>
      <c r="VLU31" s="917"/>
      <c r="VLV31" s="917"/>
      <c r="VLW31" s="917"/>
      <c r="VLX31" s="917"/>
      <c r="VLY31" s="917"/>
      <c r="VLZ31" s="917"/>
      <c r="VMA31" s="917"/>
      <c r="VMB31" s="918"/>
      <c r="VMC31" s="914"/>
      <c r="VMD31" s="912"/>
      <c r="VME31" s="916"/>
      <c r="VMF31" s="917"/>
      <c r="VMG31" s="917"/>
      <c r="VMH31" s="917"/>
      <c r="VMI31" s="917"/>
      <c r="VMJ31" s="917"/>
      <c r="VMK31" s="917"/>
      <c r="VML31" s="917"/>
      <c r="VMM31" s="918"/>
      <c r="VMN31" s="914"/>
      <c r="VMO31" s="912"/>
      <c r="VMP31" s="916"/>
      <c r="VMQ31" s="917"/>
      <c r="VMR31" s="917"/>
      <c r="VMS31" s="917"/>
      <c r="VMT31" s="917"/>
      <c r="VMU31" s="917"/>
      <c r="VMV31" s="917"/>
      <c r="VMW31" s="917"/>
      <c r="VMX31" s="918"/>
      <c r="VMY31" s="914"/>
      <c r="VMZ31" s="912"/>
      <c r="VNA31" s="916"/>
      <c r="VNB31" s="917"/>
      <c r="VNC31" s="917"/>
      <c r="VND31" s="917"/>
      <c r="VNE31" s="917"/>
      <c r="VNF31" s="917"/>
      <c r="VNG31" s="917"/>
      <c r="VNH31" s="917"/>
      <c r="VNI31" s="918"/>
      <c r="VNJ31" s="914"/>
      <c r="VNK31" s="912"/>
      <c r="VNL31" s="916"/>
      <c r="VNM31" s="917"/>
      <c r="VNN31" s="917"/>
      <c r="VNO31" s="917"/>
      <c r="VNP31" s="917"/>
      <c r="VNQ31" s="917"/>
      <c r="VNR31" s="917"/>
      <c r="VNS31" s="917"/>
      <c r="VNT31" s="918"/>
      <c r="VNU31" s="914"/>
      <c r="VNV31" s="912"/>
      <c r="VNW31" s="916"/>
      <c r="VNX31" s="917"/>
      <c r="VNY31" s="917"/>
      <c r="VNZ31" s="917"/>
      <c r="VOA31" s="917"/>
      <c r="VOB31" s="917"/>
      <c r="VOC31" s="917"/>
      <c r="VOD31" s="917"/>
      <c r="VOE31" s="918"/>
      <c r="VOF31" s="914"/>
      <c r="VOG31" s="912"/>
      <c r="VOH31" s="916"/>
      <c r="VOI31" s="917"/>
      <c r="VOJ31" s="917"/>
      <c r="VOK31" s="917"/>
      <c r="VOL31" s="917"/>
      <c r="VOM31" s="917"/>
      <c r="VON31" s="917"/>
      <c r="VOO31" s="917"/>
      <c r="VOP31" s="918"/>
      <c r="VOQ31" s="914"/>
      <c r="VOR31" s="912"/>
      <c r="VOS31" s="916"/>
      <c r="VOT31" s="917"/>
      <c r="VOU31" s="917"/>
      <c r="VOV31" s="917"/>
      <c r="VOW31" s="917"/>
      <c r="VOX31" s="917"/>
      <c r="VOY31" s="917"/>
      <c r="VOZ31" s="917"/>
      <c r="VPA31" s="918"/>
      <c r="VPB31" s="914"/>
      <c r="VPC31" s="912"/>
      <c r="VPD31" s="916"/>
      <c r="VPE31" s="917"/>
      <c r="VPF31" s="917"/>
      <c r="VPG31" s="917"/>
      <c r="VPH31" s="917"/>
      <c r="VPI31" s="917"/>
      <c r="VPJ31" s="917"/>
      <c r="VPK31" s="917"/>
      <c r="VPL31" s="918"/>
      <c r="VPM31" s="914"/>
      <c r="VPN31" s="912"/>
      <c r="VPO31" s="916"/>
      <c r="VPP31" s="917"/>
      <c r="VPQ31" s="917"/>
      <c r="VPR31" s="917"/>
      <c r="VPS31" s="917"/>
      <c r="VPT31" s="917"/>
      <c r="VPU31" s="917"/>
      <c r="VPV31" s="917"/>
      <c r="VPW31" s="918"/>
      <c r="VPX31" s="914"/>
      <c r="VPY31" s="912"/>
      <c r="VPZ31" s="916"/>
      <c r="VQA31" s="917"/>
      <c r="VQB31" s="917"/>
      <c r="VQC31" s="917"/>
      <c r="VQD31" s="917"/>
      <c r="VQE31" s="917"/>
      <c r="VQF31" s="917"/>
      <c r="VQG31" s="917"/>
      <c r="VQH31" s="918"/>
      <c r="VQI31" s="914"/>
      <c r="VQJ31" s="912"/>
      <c r="VQK31" s="916"/>
      <c r="VQL31" s="917"/>
      <c r="VQM31" s="917"/>
      <c r="VQN31" s="917"/>
      <c r="VQO31" s="917"/>
      <c r="VQP31" s="917"/>
      <c r="VQQ31" s="917"/>
      <c r="VQR31" s="917"/>
      <c r="VQS31" s="918"/>
      <c r="VQT31" s="914"/>
      <c r="VQU31" s="912"/>
      <c r="VQV31" s="916"/>
      <c r="VQW31" s="917"/>
      <c r="VQX31" s="917"/>
      <c r="VQY31" s="917"/>
      <c r="VQZ31" s="917"/>
      <c r="VRA31" s="917"/>
      <c r="VRB31" s="917"/>
      <c r="VRC31" s="917"/>
      <c r="VRD31" s="918"/>
      <c r="VRE31" s="914"/>
      <c r="VRF31" s="912"/>
      <c r="VRG31" s="916"/>
      <c r="VRH31" s="917"/>
      <c r="VRI31" s="917"/>
      <c r="VRJ31" s="917"/>
      <c r="VRK31" s="917"/>
      <c r="VRL31" s="917"/>
      <c r="VRM31" s="917"/>
      <c r="VRN31" s="917"/>
      <c r="VRO31" s="918"/>
      <c r="VRP31" s="914"/>
      <c r="VRQ31" s="912"/>
      <c r="VRR31" s="916"/>
      <c r="VRS31" s="917"/>
      <c r="VRT31" s="917"/>
      <c r="VRU31" s="917"/>
      <c r="VRV31" s="917"/>
      <c r="VRW31" s="917"/>
      <c r="VRX31" s="917"/>
      <c r="VRY31" s="917"/>
      <c r="VRZ31" s="918"/>
      <c r="VSA31" s="914"/>
      <c r="VSB31" s="912"/>
      <c r="VSC31" s="916"/>
      <c r="VSD31" s="917"/>
      <c r="VSE31" s="917"/>
      <c r="VSF31" s="917"/>
      <c r="VSG31" s="917"/>
      <c r="VSH31" s="917"/>
      <c r="VSI31" s="917"/>
      <c r="VSJ31" s="917"/>
      <c r="VSK31" s="918"/>
      <c r="VSL31" s="914"/>
      <c r="VSM31" s="912"/>
      <c r="VSN31" s="916"/>
      <c r="VSO31" s="917"/>
      <c r="VSP31" s="917"/>
      <c r="VSQ31" s="917"/>
      <c r="VSR31" s="917"/>
      <c r="VSS31" s="917"/>
      <c r="VST31" s="917"/>
      <c r="VSU31" s="917"/>
      <c r="VSV31" s="918"/>
      <c r="VSW31" s="914"/>
      <c r="VSX31" s="912"/>
      <c r="VSY31" s="916"/>
      <c r="VSZ31" s="917"/>
      <c r="VTA31" s="917"/>
      <c r="VTB31" s="917"/>
      <c r="VTC31" s="917"/>
      <c r="VTD31" s="917"/>
      <c r="VTE31" s="917"/>
      <c r="VTF31" s="917"/>
      <c r="VTG31" s="918"/>
      <c r="VTH31" s="914"/>
      <c r="VTI31" s="912"/>
      <c r="VTJ31" s="916"/>
      <c r="VTK31" s="917"/>
      <c r="VTL31" s="917"/>
      <c r="VTM31" s="917"/>
      <c r="VTN31" s="917"/>
      <c r="VTO31" s="917"/>
      <c r="VTP31" s="917"/>
      <c r="VTQ31" s="917"/>
      <c r="VTR31" s="918"/>
      <c r="VTS31" s="914"/>
      <c r="VTT31" s="912"/>
      <c r="VTU31" s="916"/>
      <c r="VTV31" s="917"/>
      <c r="VTW31" s="917"/>
      <c r="VTX31" s="917"/>
      <c r="VTY31" s="917"/>
      <c r="VTZ31" s="917"/>
      <c r="VUA31" s="917"/>
      <c r="VUB31" s="917"/>
      <c r="VUC31" s="918"/>
      <c r="VUD31" s="914"/>
      <c r="VUE31" s="912"/>
      <c r="VUF31" s="916"/>
      <c r="VUG31" s="917"/>
      <c r="VUH31" s="917"/>
      <c r="VUI31" s="917"/>
      <c r="VUJ31" s="917"/>
      <c r="VUK31" s="917"/>
      <c r="VUL31" s="917"/>
      <c r="VUM31" s="917"/>
      <c r="VUN31" s="918"/>
      <c r="VUO31" s="914"/>
      <c r="VUP31" s="912"/>
      <c r="VUQ31" s="916"/>
      <c r="VUR31" s="917"/>
      <c r="VUS31" s="917"/>
      <c r="VUT31" s="917"/>
      <c r="VUU31" s="917"/>
      <c r="VUV31" s="917"/>
      <c r="VUW31" s="917"/>
      <c r="VUX31" s="917"/>
      <c r="VUY31" s="918"/>
      <c r="VUZ31" s="914"/>
      <c r="VVA31" s="912"/>
      <c r="VVB31" s="916"/>
      <c r="VVC31" s="917"/>
      <c r="VVD31" s="917"/>
      <c r="VVE31" s="917"/>
      <c r="VVF31" s="917"/>
      <c r="VVG31" s="917"/>
      <c r="VVH31" s="917"/>
      <c r="VVI31" s="917"/>
      <c r="VVJ31" s="918"/>
      <c r="VVK31" s="914"/>
      <c r="VVL31" s="912"/>
      <c r="VVM31" s="916"/>
      <c r="VVN31" s="917"/>
      <c r="VVO31" s="917"/>
      <c r="VVP31" s="917"/>
      <c r="VVQ31" s="917"/>
      <c r="VVR31" s="917"/>
      <c r="VVS31" s="917"/>
      <c r="VVT31" s="917"/>
      <c r="VVU31" s="918"/>
      <c r="VVV31" s="914"/>
      <c r="VVW31" s="912"/>
      <c r="VVX31" s="916"/>
      <c r="VVY31" s="917"/>
      <c r="VVZ31" s="917"/>
      <c r="VWA31" s="917"/>
      <c r="VWB31" s="917"/>
      <c r="VWC31" s="917"/>
      <c r="VWD31" s="917"/>
      <c r="VWE31" s="917"/>
      <c r="VWF31" s="918"/>
      <c r="VWG31" s="914"/>
      <c r="VWH31" s="912"/>
      <c r="VWI31" s="916"/>
      <c r="VWJ31" s="917"/>
      <c r="VWK31" s="917"/>
      <c r="VWL31" s="917"/>
      <c r="VWM31" s="917"/>
      <c r="VWN31" s="917"/>
      <c r="VWO31" s="917"/>
      <c r="VWP31" s="917"/>
      <c r="VWQ31" s="918"/>
      <c r="VWR31" s="914"/>
      <c r="VWS31" s="912"/>
      <c r="VWT31" s="916"/>
      <c r="VWU31" s="917"/>
      <c r="VWV31" s="917"/>
      <c r="VWW31" s="917"/>
      <c r="VWX31" s="917"/>
      <c r="VWY31" s="917"/>
      <c r="VWZ31" s="917"/>
      <c r="VXA31" s="917"/>
      <c r="VXB31" s="918"/>
      <c r="VXC31" s="914"/>
      <c r="VXD31" s="912"/>
      <c r="VXE31" s="916"/>
      <c r="VXF31" s="917"/>
      <c r="VXG31" s="917"/>
      <c r="VXH31" s="917"/>
      <c r="VXI31" s="917"/>
      <c r="VXJ31" s="917"/>
      <c r="VXK31" s="917"/>
      <c r="VXL31" s="917"/>
      <c r="VXM31" s="918"/>
      <c r="VXN31" s="914"/>
      <c r="VXO31" s="912"/>
      <c r="VXP31" s="916"/>
      <c r="VXQ31" s="917"/>
      <c r="VXR31" s="917"/>
      <c r="VXS31" s="917"/>
      <c r="VXT31" s="917"/>
      <c r="VXU31" s="917"/>
      <c r="VXV31" s="917"/>
      <c r="VXW31" s="917"/>
      <c r="VXX31" s="918"/>
      <c r="VXY31" s="914"/>
      <c r="VXZ31" s="912"/>
      <c r="VYA31" s="916"/>
      <c r="VYB31" s="917"/>
      <c r="VYC31" s="917"/>
      <c r="VYD31" s="917"/>
      <c r="VYE31" s="917"/>
      <c r="VYF31" s="917"/>
      <c r="VYG31" s="917"/>
      <c r="VYH31" s="917"/>
      <c r="VYI31" s="918"/>
      <c r="VYJ31" s="914"/>
      <c r="VYK31" s="912"/>
      <c r="VYL31" s="916"/>
      <c r="VYM31" s="917"/>
      <c r="VYN31" s="917"/>
      <c r="VYO31" s="917"/>
      <c r="VYP31" s="917"/>
      <c r="VYQ31" s="917"/>
      <c r="VYR31" s="917"/>
      <c r="VYS31" s="917"/>
      <c r="VYT31" s="918"/>
      <c r="VYU31" s="914"/>
      <c r="VYV31" s="912"/>
      <c r="VYW31" s="916"/>
      <c r="VYX31" s="917"/>
      <c r="VYY31" s="917"/>
      <c r="VYZ31" s="917"/>
      <c r="VZA31" s="917"/>
      <c r="VZB31" s="917"/>
      <c r="VZC31" s="917"/>
      <c r="VZD31" s="917"/>
      <c r="VZE31" s="918"/>
      <c r="VZF31" s="914"/>
      <c r="VZG31" s="912"/>
      <c r="VZH31" s="916"/>
      <c r="VZI31" s="917"/>
      <c r="VZJ31" s="917"/>
      <c r="VZK31" s="917"/>
      <c r="VZL31" s="917"/>
      <c r="VZM31" s="917"/>
      <c r="VZN31" s="917"/>
      <c r="VZO31" s="917"/>
      <c r="VZP31" s="918"/>
      <c r="VZQ31" s="914"/>
      <c r="VZR31" s="912"/>
      <c r="VZS31" s="916"/>
      <c r="VZT31" s="917"/>
      <c r="VZU31" s="917"/>
      <c r="VZV31" s="917"/>
      <c r="VZW31" s="917"/>
      <c r="VZX31" s="917"/>
      <c r="VZY31" s="917"/>
      <c r="VZZ31" s="917"/>
      <c r="WAA31" s="918"/>
      <c r="WAB31" s="914"/>
      <c r="WAC31" s="912"/>
      <c r="WAD31" s="916"/>
      <c r="WAE31" s="917"/>
      <c r="WAF31" s="917"/>
      <c r="WAG31" s="917"/>
      <c r="WAH31" s="917"/>
      <c r="WAI31" s="917"/>
      <c r="WAJ31" s="917"/>
      <c r="WAK31" s="917"/>
      <c r="WAL31" s="918"/>
      <c r="WAM31" s="914"/>
      <c r="WAN31" s="912"/>
      <c r="WAO31" s="916"/>
      <c r="WAP31" s="917"/>
      <c r="WAQ31" s="917"/>
      <c r="WAR31" s="917"/>
      <c r="WAS31" s="917"/>
      <c r="WAT31" s="917"/>
      <c r="WAU31" s="917"/>
      <c r="WAV31" s="917"/>
      <c r="WAW31" s="918"/>
      <c r="WAX31" s="914"/>
      <c r="WAY31" s="912"/>
      <c r="WAZ31" s="916"/>
      <c r="WBA31" s="917"/>
      <c r="WBB31" s="917"/>
      <c r="WBC31" s="917"/>
      <c r="WBD31" s="917"/>
      <c r="WBE31" s="917"/>
      <c r="WBF31" s="917"/>
      <c r="WBG31" s="917"/>
      <c r="WBH31" s="918"/>
      <c r="WBI31" s="914"/>
      <c r="WBJ31" s="912"/>
      <c r="WBK31" s="916"/>
      <c r="WBL31" s="917"/>
      <c r="WBM31" s="917"/>
      <c r="WBN31" s="917"/>
      <c r="WBO31" s="917"/>
      <c r="WBP31" s="917"/>
      <c r="WBQ31" s="917"/>
      <c r="WBR31" s="917"/>
      <c r="WBS31" s="918"/>
      <c r="WBT31" s="914"/>
      <c r="WBU31" s="912"/>
      <c r="WBV31" s="916"/>
      <c r="WBW31" s="917"/>
      <c r="WBX31" s="917"/>
      <c r="WBY31" s="917"/>
      <c r="WBZ31" s="917"/>
      <c r="WCA31" s="917"/>
      <c r="WCB31" s="917"/>
      <c r="WCC31" s="917"/>
      <c r="WCD31" s="918"/>
      <c r="WCE31" s="914"/>
      <c r="WCF31" s="912"/>
      <c r="WCG31" s="916"/>
      <c r="WCH31" s="917"/>
      <c r="WCI31" s="917"/>
      <c r="WCJ31" s="917"/>
      <c r="WCK31" s="917"/>
      <c r="WCL31" s="917"/>
      <c r="WCM31" s="917"/>
      <c r="WCN31" s="917"/>
      <c r="WCO31" s="918"/>
      <c r="WCP31" s="914"/>
      <c r="WCQ31" s="912"/>
      <c r="WCR31" s="916"/>
      <c r="WCS31" s="917"/>
      <c r="WCT31" s="917"/>
      <c r="WCU31" s="917"/>
      <c r="WCV31" s="917"/>
      <c r="WCW31" s="917"/>
      <c r="WCX31" s="917"/>
      <c r="WCY31" s="917"/>
      <c r="WCZ31" s="918"/>
      <c r="WDA31" s="914"/>
      <c r="WDB31" s="912"/>
      <c r="WDC31" s="916"/>
      <c r="WDD31" s="917"/>
      <c r="WDE31" s="917"/>
      <c r="WDF31" s="917"/>
      <c r="WDG31" s="917"/>
      <c r="WDH31" s="917"/>
      <c r="WDI31" s="917"/>
      <c r="WDJ31" s="917"/>
      <c r="WDK31" s="918"/>
      <c r="WDL31" s="914"/>
      <c r="WDM31" s="912"/>
      <c r="WDN31" s="916"/>
      <c r="WDO31" s="917"/>
      <c r="WDP31" s="917"/>
      <c r="WDQ31" s="917"/>
      <c r="WDR31" s="917"/>
      <c r="WDS31" s="917"/>
      <c r="WDT31" s="917"/>
      <c r="WDU31" s="917"/>
      <c r="WDV31" s="918"/>
      <c r="WDW31" s="914"/>
      <c r="WDX31" s="912"/>
      <c r="WDY31" s="916"/>
      <c r="WDZ31" s="917"/>
      <c r="WEA31" s="917"/>
      <c r="WEB31" s="917"/>
      <c r="WEC31" s="917"/>
      <c r="WED31" s="917"/>
      <c r="WEE31" s="917"/>
      <c r="WEF31" s="917"/>
      <c r="WEG31" s="918"/>
      <c r="WEH31" s="914"/>
      <c r="WEI31" s="912"/>
      <c r="WEJ31" s="916"/>
      <c r="WEK31" s="917"/>
      <c r="WEL31" s="917"/>
      <c r="WEM31" s="917"/>
      <c r="WEN31" s="917"/>
      <c r="WEO31" s="917"/>
      <c r="WEP31" s="917"/>
      <c r="WEQ31" s="917"/>
      <c r="WER31" s="918"/>
      <c r="WES31" s="914"/>
      <c r="WET31" s="912"/>
      <c r="WEU31" s="916"/>
      <c r="WEV31" s="917"/>
      <c r="WEW31" s="917"/>
      <c r="WEX31" s="917"/>
      <c r="WEY31" s="917"/>
      <c r="WEZ31" s="917"/>
      <c r="WFA31" s="917"/>
      <c r="WFB31" s="917"/>
      <c r="WFC31" s="918"/>
      <c r="WFD31" s="914"/>
      <c r="WFE31" s="912"/>
      <c r="WFF31" s="916"/>
      <c r="WFG31" s="917"/>
      <c r="WFH31" s="917"/>
      <c r="WFI31" s="917"/>
      <c r="WFJ31" s="917"/>
      <c r="WFK31" s="917"/>
      <c r="WFL31" s="917"/>
      <c r="WFM31" s="917"/>
      <c r="WFN31" s="918"/>
      <c r="WFO31" s="914"/>
      <c r="WFP31" s="912"/>
      <c r="WFQ31" s="916"/>
      <c r="WFR31" s="917"/>
      <c r="WFS31" s="917"/>
      <c r="WFT31" s="917"/>
      <c r="WFU31" s="917"/>
      <c r="WFV31" s="917"/>
      <c r="WFW31" s="917"/>
      <c r="WFX31" s="917"/>
      <c r="WFY31" s="918"/>
      <c r="WFZ31" s="914"/>
      <c r="WGA31" s="912"/>
      <c r="WGB31" s="916"/>
      <c r="WGC31" s="917"/>
      <c r="WGD31" s="917"/>
      <c r="WGE31" s="917"/>
      <c r="WGF31" s="917"/>
      <c r="WGG31" s="917"/>
      <c r="WGH31" s="917"/>
      <c r="WGI31" s="917"/>
      <c r="WGJ31" s="918"/>
      <c r="WGK31" s="914"/>
      <c r="WGL31" s="912"/>
      <c r="WGM31" s="916"/>
      <c r="WGN31" s="917"/>
      <c r="WGO31" s="917"/>
      <c r="WGP31" s="917"/>
      <c r="WGQ31" s="917"/>
      <c r="WGR31" s="917"/>
      <c r="WGS31" s="917"/>
      <c r="WGT31" s="917"/>
      <c r="WGU31" s="918"/>
      <c r="WGV31" s="914"/>
      <c r="WGW31" s="912"/>
      <c r="WGX31" s="916"/>
      <c r="WGY31" s="917"/>
      <c r="WGZ31" s="917"/>
      <c r="WHA31" s="917"/>
      <c r="WHB31" s="917"/>
      <c r="WHC31" s="917"/>
      <c r="WHD31" s="917"/>
      <c r="WHE31" s="917"/>
      <c r="WHF31" s="918"/>
      <c r="WHG31" s="914"/>
      <c r="WHH31" s="912"/>
      <c r="WHI31" s="916"/>
      <c r="WHJ31" s="917"/>
      <c r="WHK31" s="917"/>
      <c r="WHL31" s="917"/>
      <c r="WHM31" s="917"/>
      <c r="WHN31" s="917"/>
      <c r="WHO31" s="917"/>
      <c r="WHP31" s="917"/>
      <c r="WHQ31" s="918"/>
      <c r="WHR31" s="914"/>
      <c r="WHS31" s="912"/>
      <c r="WHT31" s="916"/>
      <c r="WHU31" s="917"/>
      <c r="WHV31" s="917"/>
      <c r="WHW31" s="917"/>
      <c r="WHX31" s="917"/>
      <c r="WHY31" s="917"/>
      <c r="WHZ31" s="917"/>
      <c r="WIA31" s="917"/>
      <c r="WIB31" s="918"/>
      <c r="WIC31" s="914"/>
      <c r="WID31" s="912"/>
      <c r="WIE31" s="916"/>
      <c r="WIF31" s="917"/>
      <c r="WIG31" s="917"/>
      <c r="WIH31" s="917"/>
      <c r="WII31" s="917"/>
      <c r="WIJ31" s="917"/>
      <c r="WIK31" s="917"/>
      <c r="WIL31" s="917"/>
      <c r="WIM31" s="918"/>
      <c r="WIN31" s="914"/>
      <c r="WIO31" s="912"/>
      <c r="WIP31" s="916"/>
      <c r="WIQ31" s="917"/>
      <c r="WIR31" s="917"/>
      <c r="WIS31" s="917"/>
      <c r="WIT31" s="917"/>
      <c r="WIU31" s="917"/>
      <c r="WIV31" s="917"/>
      <c r="WIW31" s="917"/>
      <c r="WIX31" s="918"/>
      <c r="WIY31" s="914"/>
      <c r="WIZ31" s="912"/>
      <c r="WJA31" s="916"/>
      <c r="WJB31" s="917"/>
      <c r="WJC31" s="917"/>
      <c r="WJD31" s="917"/>
      <c r="WJE31" s="917"/>
      <c r="WJF31" s="917"/>
      <c r="WJG31" s="917"/>
      <c r="WJH31" s="917"/>
      <c r="WJI31" s="918"/>
      <c r="WJJ31" s="914"/>
      <c r="WJK31" s="912"/>
      <c r="WJL31" s="916"/>
      <c r="WJM31" s="917"/>
      <c r="WJN31" s="917"/>
      <c r="WJO31" s="917"/>
      <c r="WJP31" s="917"/>
      <c r="WJQ31" s="917"/>
      <c r="WJR31" s="917"/>
      <c r="WJS31" s="917"/>
      <c r="WJT31" s="918"/>
      <c r="WJU31" s="914"/>
      <c r="WJV31" s="912"/>
      <c r="WJW31" s="916"/>
      <c r="WJX31" s="917"/>
      <c r="WJY31" s="917"/>
      <c r="WJZ31" s="917"/>
      <c r="WKA31" s="917"/>
      <c r="WKB31" s="917"/>
      <c r="WKC31" s="917"/>
      <c r="WKD31" s="917"/>
      <c r="WKE31" s="918"/>
      <c r="WKF31" s="914"/>
      <c r="WKG31" s="912"/>
      <c r="WKH31" s="916"/>
      <c r="WKI31" s="917"/>
      <c r="WKJ31" s="917"/>
      <c r="WKK31" s="917"/>
      <c r="WKL31" s="917"/>
      <c r="WKM31" s="917"/>
      <c r="WKN31" s="917"/>
      <c r="WKO31" s="917"/>
      <c r="WKP31" s="918"/>
      <c r="WKQ31" s="914"/>
      <c r="WKR31" s="912"/>
      <c r="WKS31" s="916"/>
      <c r="WKT31" s="917"/>
      <c r="WKU31" s="917"/>
      <c r="WKV31" s="917"/>
      <c r="WKW31" s="917"/>
      <c r="WKX31" s="917"/>
      <c r="WKY31" s="917"/>
      <c r="WKZ31" s="917"/>
      <c r="WLA31" s="918"/>
      <c r="WLB31" s="914"/>
      <c r="WLC31" s="912"/>
      <c r="WLD31" s="916"/>
      <c r="WLE31" s="917"/>
      <c r="WLF31" s="917"/>
      <c r="WLG31" s="917"/>
      <c r="WLH31" s="917"/>
      <c r="WLI31" s="917"/>
      <c r="WLJ31" s="917"/>
      <c r="WLK31" s="917"/>
      <c r="WLL31" s="918"/>
      <c r="WLM31" s="914"/>
      <c r="WLN31" s="912"/>
      <c r="WLO31" s="916"/>
      <c r="WLP31" s="917"/>
      <c r="WLQ31" s="917"/>
      <c r="WLR31" s="917"/>
      <c r="WLS31" s="917"/>
      <c r="WLT31" s="917"/>
      <c r="WLU31" s="917"/>
      <c r="WLV31" s="917"/>
      <c r="WLW31" s="918"/>
      <c r="WLX31" s="914"/>
      <c r="WLY31" s="912"/>
      <c r="WLZ31" s="916"/>
      <c r="WMA31" s="917"/>
      <c r="WMB31" s="917"/>
      <c r="WMC31" s="917"/>
      <c r="WMD31" s="917"/>
      <c r="WME31" s="917"/>
      <c r="WMF31" s="917"/>
      <c r="WMG31" s="917"/>
      <c r="WMH31" s="918"/>
      <c r="WMI31" s="914"/>
      <c r="WMJ31" s="912"/>
      <c r="WMK31" s="916"/>
      <c r="WML31" s="917"/>
      <c r="WMM31" s="917"/>
      <c r="WMN31" s="917"/>
      <c r="WMO31" s="917"/>
      <c r="WMP31" s="917"/>
      <c r="WMQ31" s="917"/>
      <c r="WMR31" s="917"/>
      <c r="WMS31" s="918"/>
      <c r="WMT31" s="914"/>
      <c r="WMU31" s="912"/>
      <c r="WMV31" s="916"/>
      <c r="WMW31" s="917"/>
      <c r="WMX31" s="917"/>
      <c r="WMY31" s="917"/>
      <c r="WMZ31" s="917"/>
      <c r="WNA31" s="917"/>
      <c r="WNB31" s="917"/>
      <c r="WNC31" s="917"/>
      <c r="WND31" s="918"/>
      <c r="WNE31" s="914"/>
      <c r="WNF31" s="912"/>
      <c r="WNG31" s="916"/>
      <c r="WNH31" s="917"/>
      <c r="WNI31" s="917"/>
      <c r="WNJ31" s="917"/>
      <c r="WNK31" s="917"/>
      <c r="WNL31" s="917"/>
      <c r="WNM31" s="917"/>
      <c r="WNN31" s="917"/>
      <c r="WNO31" s="918"/>
      <c r="WNP31" s="914"/>
      <c r="WNQ31" s="912"/>
      <c r="WNR31" s="916"/>
      <c r="WNS31" s="917"/>
      <c r="WNT31" s="917"/>
      <c r="WNU31" s="917"/>
      <c r="WNV31" s="917"/>
      <c r="WNW31" s="917"/>
      <c r="WNX31" s="917"/>
      <c r="WNY31" s="917"/>
      <c r="WNZ31" s="918"/>
      <c r="WOA31" s="914"/>
      <c r="WOB31" s="912"/>
      <c r="WOC31" s="916"/>
      <c r="WOD31" s="917"/>
      <c r="WOE31" s="917"/>
      <c r="WOF31" s="917"/>
      <c r="WOG31" s="917"/>
      <c r="WOH31" s="917"/>
      <c r="WOI31" s="917"/>
      <c r="WOJ31" s="917"/>
      <c r="WOK31" s="918"/>
      <c r="WOL31" s="914"/>
      <c r="WOM31" s="912"/>
      <c r="WON31" s="916"/>
      <c r="WOO31" s="917"/>
      <c r="WOP31" s="917"/>
      <c r="WOQ31" s="917"/>
      <c r="WOR31" s="917"/>
      <c r="WOS31" s="917"/>
      <c r="WOT31" s="917"/>
      <c r="WOU31" s="917"/>
      <c r="WOV31" s="918"/>
      <c r="WOW31" s="914"/>
      <c r="WOX31" s="912"/>
      <c r="WOY31" s="916"/>
      <c r="WOZ31" s="917"/>
      <c r="WPA31" s="917"/>
      <c r="WPB31" s="917"/>
      <c r="WPC31" s="917"/>
      <c r="WPD31" s="917"/>
      <c r="WPE31" s="917"/>
      <c r="WPF31" s="917"/>
      <c r="WPG31" s="918"/>
      <c r="WPH31" s="914"/>
      <c r="WPI31" s="912"/>
      <c r="WPJ31" s="916"/>
      <c r="WPK31" s="917"/>
      <c r="WPL31" s="917"/>
      <c r="WPM31" s="917"/>
      <c r="WPN31" s="917"/>
      <c r="WPO31" s="917"/>
      <c r="WPP31" s="917"/>
      <c r="WPQ31" s="917"/>
      <c r="WPR31" s="918"/>
      <c r="WPS31" s="914"/>
      <c r="WPT31" s="912"/>
      <c r="WPU31" s="916"/>
      <c r="WPV31" s="917"/>
      <c r="WPW31" s="917"/>
      <c r="WPX31" s="917"/>
      <c r="WPY31" s="917"/>
      <c r="WPZ31" s="917"/>
      <c r="WQA31" s="917"/>
      <c r="WQB31" s="917"/>
      <c r="WQC31" s="918"/>
      <c r="WQD31" s="914"/>
      <c r="WQE31" s="912"/>
      <c r="WQF31" s="916"/>
      <c r="WQG31" s="917"/>
      <c r="WQH31" s="917"/>
      <c r="WQI31" s="917"/>
      <c r="WQJ31" s="917"/>
      <c r="WQK31" s="917"/>
      <c r="WQL31" s="917"/>
      <c r="WQM31" s="917"/>
      <c r="WQN31" s="918"/>
      <c r="WQO31" s="914"/>
      <c r="WQP31" s="912"/>
      <c r="WQQ31" s="916"/>
      <c r="WQR31" s="917"/>
      <c r="WQS31" s="917"/>
      <c r="WQT31" s="917"/>
      <c r="WQU31" s="917"/>
      <c r="WQV31" s="917"/>
      <c r="WQW31" s="917"/>
      <c r="WQX31" s="917"/>
      <c r="WQY31" s="918"/>
      <c r="WQZ31" s="914"/>
      <c r="WRA31" s="912"/>
      <c r="WRB31" s="916"/>
      <c r="WRC31" s="917"/>
      <c r="WRD31" s="917"/>
      <c r="WRE31" s="917"/>
      <c r="WRF31" s="917"/>
      <c r="WRG31" s="917"/>
      <c r="WRH31" s="917"/>
      <c r="WRI31" s="917"/>
      <c r="WRJ31" s="918"/>
      <c r="WRK31" s="914"/>
      <c r="WRL31" s="912"/>
      <c r="WRM31" s="916"/>
      <c r="WRN31" s="917"/>
      <c r="WRO31" s="917"/>
      <c r="WRP31" s="917"/>
      <c r="WRQ31" s="917"/>
      <c r="WRR31" s="917"/>
      <c r="WRS31" s="917"/>
      <c r="WRT31" s="917"/>
      <c r="WRU31" s="918"/>
      <c r="WRV31" s="914"/>
      <c r="WRW31" s="912"/>
      <c r="WRX31" s="916"/>
      <c r="WRY31" s="917"/>
      <c r="WRZ31" s="917"/>
      <c r="WSA31" s="917"/>
      <c r="WSB31" s="917"/>
      <c r="WSC31" s="917"/>
      <c r="WSD31" s="917"/>
      <c r="WSE31" s="917"/>
      <c r="WSF31" s="918"/>
      <c r="WSG31" s="914"/>
      <c r="WSH31" s="912"/>
      <c r="WSI31" s="916"/>
      <c r="WSJ31" s="917"/>
      <c r="WSK31" s="917"/>
      <c r="WSL31" s="917"/>
      <c r="WSM31" s="917"/>
      <c r="WSN31" s="917"/>
      <c r="WSO31" s="917"/>
      <c r="WSP31" s="917"/>
      <c r="WSQ31" s="918"/>
      <c r="WSR31" s="914"/>
      <c r="WSS31" s="912"/>
      <c r="WST31" s="916"/>
      <c r="WSU31" s="917"/>
      <c r="WSV31" s="917"/>
      <c r="WSW31" s="917"/>
      <c r="WSX31" s="917"/>
      <c r="WSY31" s="917"/>
      <c r="WSZ31" s="917"/>
      <c r="WTA31" s="917"/>
      <c r="WTB31" s="918"/>
      <c r="WTC31" s="914"/>
      <c r="WTD31" s="912"/>
      <c r="WTE31" s="916"/>
      <c r="WTF31" s="917"/>
      <c r="WTG31" s="917"/>
      <c r="WTH31" s="917"/>
      <c r="WTI31" s="917"/>
      <c r="WTJ31" s="917"/>
      <c r="WTK31" s="917"/>
      <c r="WTL31" s="917"/>
      <c r="WTM31" s="918"/>
      <c r="WTN31" s="914"/>
      <c r="WTO31" s="912"/>
      <c r="WTP31" s="916"/>
      <c r="WTQ31" s="917"/>
      <c r="WTR31" s="917"/>
      <c r="WTS31" s="917"/>
      <c r="WTT31" s="917"/>
      <c r="WTU31" s="917"/>
      <c r="WTV31" s="917"/>
      <c r="WTW31" s="917"/>
      <c r="WTX31" s="918"/>
      <c r="WTY31" s="914"/>
      <c r="WTZ31" s="912"/>
      <c r="WUA31" s="916"/>
      <c r="WUB31" s="917"/>
      <c r="WUC31" s="917"/>
      <c r="WUD31" s="917"/>
      <c r="WUE31" s="917"/>
      <c r="WUF31" s="917"/>
      <c r="WUG31" s="917"/>
      <c r="WUH31" s="917"/>
      <c r="WUI31" s="918"/>
      <c r="WUJ31" s="914"/>
      <c r="WUK31" s="912"/>
      <c r="WUL31" s="916"/>
      <c r="WUM31" s="917"/>
      <c r="WUN31" s="917"/>
      <c r="WUO31" s="917"/>
      <c r="WUP31" s="917"/>
      <c r="WUQ31" s="917"/>
      <c r="WUR31" s="917"/>
      <c r="WUS31" s="917"/>
      <c r="WUT31" s="918"/>
      <c r="WUU31" s="914"/>
      <c r="WUV31" s="912"/>
      <c r="WUW31" s="916"/>
      <c r="WUX31" s="917"/>
      <c r="WUY31" s="917"/>
      <c r="WUZ31" s="917"/>
      <c r="WVA31" s="917"/>
      <c r="WVB31" s="917"/>
      <c r="WVC31" s="917"/>
      <c r="WVD31" s="917"/>
      <c r="WVE31" s="918"/>
      <c r="WVF31" s="914"/>
      <c r="WVG31" s="912"/>
      <c r="WVH31" s="916"/>
      <c r="WVI31" s="917"/>
      <c r="WVJ31" s="917"/>
      <c r="WVK31" s="917"/>
      <c r="WVL31" s="917"/>
      <c r="WVM31" s="917"/>
      <c r="WVN31" s="917"/>
      <c r="WVO31" s="917"/>
      <c r="WVP31" s="918"/>
      <c r="WVQ31" s="914"/>
      <c r="WVR31" s="912"/>
      <c r="WVS31" s="916"/>
      <c r="WVT31" s="917"/>
      <c r="WVU31" s="917"/>
      <c r="WVV31" s="917"/>
      <c r="WVW31" s="917"/>
      <c r="WVX31" s="917"/>
      <c r="WVY31" s="917"/>
      <c r="WVZ31" s="917"/>
      <c r="WWA31" s="918"/>
      <c r="WWB31" s="914"/>
      <c r="WWC31" s="912"/>
      <c r="WWD31" s="916"/>
      <c r="WWE31" s="917"/>
      <c r="WWF31" s="917"/>
      <c r="WWG31" s="917"/>
      <c r="WWH31" s="917"/>
      <c r="WWI31" s="917"/>
      <c r="WWJ31" s="917"/>
      <c r="WWK31" s="917"/>
      <c r="WWL31" s="918"/>
      <c r="WWM31" s="914"/>
      <c r="WWN31" s="912"/>
      <c r="WWO31" s="916"/>
      <c r="WWP31" s="917"/>
      <c r="WWQ31" s="917"/>
      <c r="WWR31" s="917"/>
      <c r="WWS31" s="917"/>
      <c r="WWT31" s="917"/>
      <c r="WWU31" s="917"/>
      <c r="WWV31" s="917"/>
      <c r="WWW31" s="918"/>
      <c r="WWX31" s="914"/>
      <c r="WWY31" s="912"/>
      <c r="WWZ31" s="916"/>
      <c r="WXA31" s="917"/>
      <c r="WXB31" s="917"/>
      <c r="WXC31" s="917"/>
      <c r="WXD31" s="917"/>
      <c r="WXE31" s="917"/>
      <c r="WXF31" s="917"/>
      <c r="WXG31" s="917"/>
      <c r="WXH31" s="918"/>
      <c r="WXI31" s="914"/>
      <c r="WXJ31" s="912"/>
      <c r="WXK31" s="916"/>
      <c r="WXL31" s="917"/>
      <c r="WXM31" s="917"/>
      <c r="WXN31" s="917"/>
      <c r="WXO31" s="917"/>
      <c r="WXP31" s="917"/>
      <c r="WXQ31" s="917"/>
      <c r="WXR31" s="917"/>
      <c r="WXS31" s="918"/>
      <c r="WXT31" s="914"/>
      <c r="WXU31" s="912"/>
      <c r="WXV31" s="916"/>
      <c r="WXW31" s="917"/>
      <c r="WXX31" s="917"/>
      <c r="WXY31" s="917"/>
      <c r="WXZ31" s="917"/>
      <c r="WYA31" s="917"/>
      <c r="WYB31" s="917"/>
      <c r="WYC31" s="917"/>
      <c r="WYD31" s="918"/>
      <c r="WYE31" s="914"/>
      <c r="WYF31" s="912"/>
      <c r="WYG31" s="916"/>
      <c r="WYH31" s="917"/>
      <c r="WYI31" s="917"/>
      <c r="WYJ31" s="917"/>
      <c r="WYK31" s="917"/>
      <c r="WYL31" s="917"/>
      <c r="WYM31" s="917"/>
      <c r="WYN31" s="917"/>
      <c r="WYO31" s="918"/>
      <c r="WYP31" s="914"/>
      <c r="WYQ31" s="912"/>
      <c r="WYR31" s="916"/>
      <c r="WYS31" s="917"/>
      <c r="WYT31" s="917"/>
      <c r="WYU31" s="917"/>
      <c r="WYV31" s="917"/>
      <c r="WYW31" s="917"/>
      <c r="WYX31" s="917"/>
      <c r="WYY31" s="917"/>
      <c r="WYZ31" s="918"/>
      <c r="WZA31" s="914"/>
      <c r="WZB31" s="912"/>
      <c r="WZC31" s="916"/>
      <c r="WZD31" s="917"/>
      <c r="WZE31" s="917"/>
      <c r="WZF31" s="917"/>
      <c r="WZG31" s="917"/>
      <c r="WZH31" s="917"/>
      <c r="WZI31" s="917"/>
      <c r="WZJ31" s="917"/>
      <c r="WZK31" s="918"/>
      <c r="WZL31" s="914"/>
      <c r="WZM31" s="912"/>
      <c r="WZN31" s="916"/>
      <c r="WZO31" s="917"/>
      <c r="WZP31" s="917"/>
      <c r="WZQ31" s="917"/>
      <c r="WZR31" s="917"/>
      <c r="WZS31" s="917"/>
      <c r="WZT31" s="917"/>
      <c r="WZU31" s="917"/>
      <c r="WZV31" s="918"/>
      <c r="WZW31" s="914"/>
      <c r="WZX31" s="912"/>
      <c r="WZY31" s="916"/>
      <c r="WZZ31" s="917"/>
      <c r="XAA31" s="917"/>
      <c r="XAB31" s="917"/>
      <c r="XAC31" s="917"/>
      <c r="XAD31" s="917"/>
      <c r="XAE31" s="917"/>
      <c r="XAF31" s="917"/>
      <c r="XAG31" s="918"/>
      <c r="XAH31" s="914"/>
      <c r="XAI31" s="912"/>
      <c r="XAJ31" s="916"/>
      <c r="XAK31" s="917"/>
      <c r="XAL31" s="917"/>
      <c r="XAM31" s="917"/>
      <c r="XAN31" s="917"/>
      <c r="XAO31" s="917"/>
      <c r="XAP31" s="917"/>
      <c r="XAQ31" s="917"/>
      <c r="XAR31" s="918"/>
      <c r="XAS31" s="914"/>
      <c r="XAT31" s="912"/>
      <c r="XAU31" s="916"/>
      <c r="XAV31" s="917"/>
      <c r="XAW31" s="917"/>
      <c r="XAX31" s="917"/>
      <c r="XAY31" s="917"/>
      <c r="XAZ31" s="917"/>
      <c r="XBA31" s="917"/>
      <c r="XBB31" s="917"/>
      <c r="XBC31" s="918"/>
      <c r="XBD31" s="914"/>
      <c r="XBE31" s="912"/>
      <c r="XBF31" s="916"/>
      <c r="XBG31" s="917"/>
      <c r="XBH31" s="917"/>
      <c r="XBI31" s="917"/>
      <c r="XBJ31" s="917"/>
      <c r="XBK31" s="917"/>
      <c r="XBL31" s="917"/>
      <c r="XBM31" s="917"/>
      <c r="XBN31" s="918"/>
      <c r="XBO31" s="914"/>
      <c r="XBP31" s="912"/>
      <c r="XBQ31" s="916"/>
      <c r="XBR31" s="917"/>
      <c r="XBS31" s="917"/>
      <c r="XBT31" s="917"/>
      <c r="XBU31" s="917"/>
      <c r="XBV31" s="917"/>
      <c r="XBW31" s="917"/>
      <c r="XBX31" s="917"/>
      <c r="XBY31" s="918"/>
      <c r="XBZ31" s="914"/>
      <c r="XCA31" s="912"/>
      <c r="XCB31" s="916"/>
      <c r="XCC31" s="917"/>
      <c r="XCD31" s="917"/>
      <c r="XCE31" s="917"/>
      <c r="XCF31" s="917"/>
      <c r="XCG31" s="917"/>
      <c r="XCH31" s="917"/>
      <c r="XCI31" s="917"/>
      <c r="XCJ31" s="918"/>
      <c r="XCK31" s="914"/>
      <c r="XCL31" s="912"/>
      <c r="XCM31" s="916"/>
      <c r="XCN31" s="917"/>
      <c r="XCO31" s="917"/>
      <c r="XCP31" s="917"/>
      <c r="XCQ31" s="917"/>
      <c r="XCR31" s="917"/>
      <c r="XCS31" s="917"/>
      <c r="XCT31" s="917"/>
      <c r="XCU31" s="918"/>
      <c r="XCV31" s="914"/>
      <c r="XCW31" s="912"/>
      <c r="XCX31" s="916"/>
      <c r="XCY31" s="917"/>
      <c r="XCZ31" s="917"/>
      <c r="XDA31" s="917"/>
      <c r="XDB31" s="917"/>
      <c r="XDC31" s="917"/>
      <c r="XDD31" s="917"/>
      <c r="XDE31" s="917"/>
      <c r="XDF31" s="918"/>
      <c r="XDG31" s="914"/>
      <c r="XDH31" s="912"/>
      <c r="XDI31" s="916"/>
      <c r="XDJ31" s="917"/>
      <c r="XDK31" s="917"/>
      <c r="XDL31" s="917"/>
      <c r="XDM31" s="917"/>
      <c r="XDN31" s="917"/>
      <c r="XDO31" s="917"/>
      <c r="XDP31" s="917"/>
      <c r="XDQ31" s="918"/>
      <c r="XDR31" s="914"/>
      <c r="XDS31" s="912"/>
      <c r="XDT31" s="916"/>
      <c r="XDU31" s="917"/>
      <c r="XDV31" s="917"/>
      <c r="XDW31" s="917"/>
      <c r="XDX31" s="917"/>
      <c r="XDY31" s="917"/>
      <c r="XDZ31" s="917"/>
      <c r="XEA31" s="917"/>
      <c r="XEB31" s="918"/>
      <c r="XEC31" s="914"/>
      <c r="XED31" s="912"/>
      <c r="XEE31" s="916"/>
      <c r="XEF31" s="917"/>
      <c r="XEG31" s="917"/>
      <c r="XEH31" s="917"/>
      <c r="XEI31" s="917"/>
      <c r="XEJ31" s="917"/>
      <c r="XEK31" s="917"/>
      <c r="XEL31" s="917"/>
      <c r="XEM31" s="918"/>
      <c r="XEN31" s="914"/>
      <c r="XEO31" s="912"/>
      <c r="XEP31" s="916"/>
      <c r="XEQ31" s="917"/>
      <c r="XER31" s="917"/>
      <c r="XES31" s="917"/>
      <c r="XET31" s="917"/>
      <c r="XEU31" s="917"/>
      <c r="XEV31" s="917"/>
      <c r="XEW31" s="917"/>
      <c r="XEX31" s="918"/>
      <c r="XEY31" s="914"/>
      <c r="XEZ31" s="912"/>
      <c r="XFA31" s="916"/>
      <c r="XFB31" s="917"/>
      <c r="XFC31" s="917"/>
      <c r="XFD31" s="917"/>
    </row>
    <row r="32" spans="1:16384" ht="13">
      <c r="A32" s="692" t="s">
        <v>526</v>
      </c>
      <c r="B32" s="676" t="s">
        <v>408</v>
      </c>
      <c r="C32" s="676" t="s">
        <v>408</v>
      </c>
      <c r="D32" s="676"/>
      <c r="E32" s="676" t="s">
        <v>408</v>
      </c>
      <c r="F32" s="676"/>
      <c r="G32" s="676"/>
      <c r="H32" s="676"/>
      <c r="I32" s="676"/>
      <c r="J32" s="677"/>
      <c r="K32" s="677"/>
    </row>
    <row r="33" spans="1:16384" ht="13">
      <c r="A33" s="670" t="s">
        <v>527</v>
      </c>
      <c r="B33" s="678">
        <f>B4*42*3.79</f>
        <v>189.5</v>
      </c>
      <c r="C33" s="678">
        <f>C4*42*3.79</f>
        <v>280.45999999999998</v>
      </c>
      <c r="D33" s="679"/>
      <c r="E33" s="678">
        <f>E4*42*3.79</f>
        <v>454.8</v>
      </c>
      <c r="F33" s="678"/>
      <c r="G33" s="680"/>
      <c r="H33" s="680"/>
      <c r="I33" s="680"/>
      <c r="J33" s="680"/>
      <c r="K33" s="680" t="s">
        <v>110</v>
      </c>
    </row>
    <row r="34" spans="1:16384" ht="13">
      <c r="A34" s="672" t="s">
        <v>528</v>
      </c>
      <c r="B34" s="681">
        <f>B5/145</f>
        <v>0.72413793103448276</v>
      </c>
      <c r="C34" s="681">
        <f>C5/145</f>
        <v>0.68965517241379315</v>
      </c>
      <c r="D34" s="682"/>
      <c r="E34" s="681">
        <f>E5/145</f>
        <v>1.6896551724137931</v>
      </c>
      <c r="F34" s="681"/>
      <c r="G34" s="682"/>
      <c r="H34" s="682"/>
      <c r="I34" s="682"/>
      <c r="J34" s="682"/>
      <c r="K34" s="682" t="s">
        <v>48</v>
      </c>
    </row>
    <row r="35" spans="1:16384" ht="13">
      <c r="A35" s="674" t="s">
        <v>530</v>
      </c>
      <c r="B35" s="681">
        <f>B6/145</f>
        <v>2.0344827586206895</v>
      </c>
      <c r="C35" s="681">
        <f>C6/145</f>
        <v>3.7241379310344827</v>
      </c>
      <c r="D35" s="683"/>
      <c r="E35" s="681">
        <f>E6/145</f>
        <v>3.8275862068965516</v>
      </c>
      <c r="F35" s="681"/>
      <c r="G35" s="683"/>
      <c r="H35" s="683"/>
      <c r="I35" s="683"/>
      <c r="J35" s="683"/>
      <c r="K35" s="683" t="s">
        <v>48</v>
      </c>
    </row>
    <row r="36" spans="1:16384" ht="13">
      <c r="A36" s="692" t="s">
        <v>526</v>
      </c>
      <c r="B36" s="676" t="s">
        <v>409</v>
      </c>
      <c r="C36" s="676" t="s">
        <v>409</v>
      </c>
      <c r="D36" s="676" t="s">
        <v>409</v>
      </c>
      <c r="E36" s="676" t="s">
        <v>409</v>
      </c>
      <c r="F36" s="676"/>
      <c r="G36" s="676" t="s">
        <v>409</v>
      </c>
      <c r="H36" s="676"/>
      <c r="I36" s="676" t="s">
        <v>409</v>
      </c>
      <c r="J36" s="676" t="s">
        <v>409</v>
      </c>
      <c r="K36" s="676"/>
    </row>
    <row r="37" spans="1:16384" ht="13">
      <c r="A37" s="670" t="s">
        <v>527</v>
      </c>
      <c r="B37" s="678">
        <f>B8*42*3.79</f>
        <v>189.5</v>
      </c>
      <c r="C37" s="678">
        <f>C8*42*3.79</f>
        <v>246.35</v>
      </c>
      <c r="D37" s="678">
        <f>D8*42*3.79</f>
        <v>303.2</v>
      </c>
      <c r="E37" s="678">
        <f>E8*42*3.79</f>
        <v>454.8</v>
      </c>
      <c r="F37" s="678"/>
      <c r="G37" s="678">
        <f>G8*42*3.79</f>
        <v>682.2</v>
      </c>
      <c r="H37" s="679"/>
      <c r="I37" s="678">
        <f>I8*42*3.79</f>
        <v>1193.8499999999999</v>
      </c>
      <c r="J37" s="678">
        <f>J8*42*3.79</f>
        <v>2501.4</v>
      </c>
      <c r="K37" s="680" t="s">
        <v>110</v>
      </c>
    </row>
    <row r="38" spans="1:16384" ht="13">
      <c r="A38" s="672" t="s">
        <v>528</v>
      </c>
      <c r="B38" s="681">
        <f t="shared" ref="B38:G39" si="1">B9/145</f>
        <v>0.72413793103448276</v>
      </c>
      <c r="C38" s="681">
        <f t="shared" si="1"/>
        <v>0.68965517241379315</v>
      </c>
      <c r="D38" s="681">
        <f t="shared" si="1"/>
        <v>0.58620689655172409</v>
      </c>
      <c r="E38" s="681">
        <f t="shared" si="1"/>
        <v>0.8</v>
      </c>
      <c r="F38" s="681"/>
      <c r="G38" s="681">
        <f t="shared" si="1"/>
        <v>2.103448275862069</v>
      </c>
      <c r="H38" s="682"/>
      <c r="I38" s="681">
        <f>I9/145</f>
        <v>2.103448275862069</v>
      </c>
      <c r="J38" s="681">
        <f>J9/145</f>
        <v>2.4</v>
      </c>
      <c r="K38" s="682" t="s">
        <v>48</v>
      </c>
    </row>
    <row r="39" spans="1:16384" ht="13">
      <c r="A39" s="674" t="s">
        <v>530</v>
      </c>
      <c r="B39" s="681">
        <f t="shared" si="1"/>
        <v>5.2758620689655169</v>
      </c>
      <c r="C39" s="681">
        <f t="shared" si="1"/>
        <v>6.3103448275862073</v>
      </c>
      <c r="D39" s="681">
        <f t="shared" si="1"/>
        <v>4.4137931034482758</v>
      </c>
      <c r="E39" s="681">
        <f t="shared" si="1"/>
        <v>7.2</v>
      </c>
      <c r="F39" s="681"/>
      <c r="G39" s="681">
        <f t="shared" si="1"/>
        <v>8.4137931034482758</v>
      </c>
      <c r="H39" s="683"/>
      <c r="I39" s="681">
        <f>I10/145</f>
        <v>12.137931034482758</v>
      </c>
      <c r="J39" s="681">
        <f>J10/145</f>
        <v>6.6</v>
      </c>
      <c r="K39" s="683" t="s">
        <v>48</v>
      </c>
    </row>
    <row r="40" spans="1:16384" ht="13">
      <c r="A40" s="692" t="s">
        <v>526</v>
      </c>
      <c r="B40" s="676"/>
      <c r="C40" s="676"/>
      <c r="D40" s="676"/>
      <c r="E40" s="684" t="s">
        <v>151</v>
      </c>
      <c r="F40" s="684"/>
      <c r="G40" s="676" t="s">
        <v>531</v>
      </c>
      <c r="H40" s="676" t="s">
        <v>532</v>
      </c>
      <c r="I40" s="676" t="s">
        <v>533</v>
      </c>
      <c r="J40" s="676" t="s">
        <v>533</v>
      </c>
      <c r="K40" s="676"/>
    </row>
    <row r="41" spans="1:16384" ht="13">
      <c r="A41" s="670" t="s">
        <v>527</v>
      </c>
      <c r="B41" s="680"/>
      <c r="C41" s="680"/>
      <c r="D41" s="680"/>
      <c r="E41" s="678">
        <f>E12*42*3.79</f>
        <v>322.14999999999998</v>
      </c>
      <c r="F41" s="678"/>
      <c r="G41" s="678">
        <f>G12*42*3.79</f>
        <v>644.29999999999995</v>
      </c>
      <c r="H41" s="678">
        <f>H12*42*3.79</f>
        <v>454.8</v>
      </c>
      <c r="I41" s="678">
        <f>I12*42*3.79</f>
        <v>1193.8499999999999</v>
      </c>
      <c r="J41" s="678">
        <f>J12*42*3.79</f>
        <v>2501.4</v>
      </c>
      <c r="K41" s="680" t="s">
        <v>110</v>
      </c>
    </row>
    <row r="42" spans="1:16384" ht="13">
      <c r="A42" s="672" t="s">
        <v>528</v>
      </c>
      <c r="B42" s="682"/>
      <c r="C42" s="682"/>
      <c r="D42" s="682"/>
      <c r="E42" s="681">
        <f t="shared" ref="E42:J43" si="2">E13/145</f>
        <v>1.103448275862069</v>
      </c>
      <c r="F42" s="681"/>
      <c r="G42" s="681">
        <f t="shared" si="2"/>
        <v>0.34482758620689657</v>
      </c>
      <c r="H42" s="681">
        <f t="shared" si="2"/>
        <v>2.193103448275862</v>
      </c>
      <c r="I42" s="681">
        <f t="shared" si="2"/>
        <v>1.2068965517241379</v>
      </c>
      <c r="J42" s="681">
        <f t="shared" si="2"/>
        <v>1.5172413793103448</v>
      </c>
      <c r="K42" s="682" t="s">
        <v>48</v>
      </c>
    </row>
    <row r="43" spans="1:16384" ht="13">
      <c r="A43" s="674" t="s">
        <v>530</v>
      </c>
      <c r="B43" s="683"/>
      <c r="C43" s="683"/>
      <c r="D43" s="683"/>
      <c r="E43" s="681">
        <f t="shared" si="2"/>
        <v>2.0689655172413794</v>
      </c>
      <c r="F43" s="681"/>
      <c r="G43" s="681">
        <f t="shared" si="2"/>
        <v>6.8965517241379306</v>
      </c>
      <c r="H43" s="681">
        <f t="shared" si="2"/>
        <v>8.841379310344827</v>
      </c>
      <c r="I43" s="681">
        <f t="shared" si="2"/>
        <v>3.7931034482758621</v>
      </c>
      <c r="J43" s="681">
        <f t="shared" si="2"/>
        <v>1.6551724137931034</v>
      </c>
      <c r="K43" s="683" t="s">
        <v>48</v>
      </c>
    </row>
    <row r="44" spans="1:16384" ht="13">
      <c r="A44" s="692" t="s">
        <v>547</v>
      </c>
      <c r="B44" s="676"/>
      <c r="C44" s="676"/>
      <c r="D44" s="676"/>
      <c r="E44" s="676" t="s">
        <v>534</v>
      </c>
      <c r="F44" s="676" t="s">
        <v>534</v>
      </c>
      <c r="G44" s="676"/>
      <c r="H44" s="676"/>
      <c r="I44" s="676"/>
      <c r="J44" s="676"/>
      <c r="K44" s="676"/>
      <c r="L44" s="669"/>
      <c r="M44" s="669"/>
      <c r="N44" s="669"/>
      <c r="O44" s="669"/>
      <c r="P44" s="669"/>
      <c r="Q44" s="669"/>
      <c r="R44" s="669"/>
      <c r="S44" s="669"/>
      <c r="T44" s="669"/>
      <c r="U44" s="669"/>
      <c r="V44" s="669"/>
      <c r="W44" s="669"/>
      <c r="X44" s="669"/>
      <c r="Y44" s="669"/>
      <c r="Z44" s="669"/>
      <c r="AA44" s="669"/>
      <c r="AB44" s="669"/>
      <c r="AC44" s="669"/>
      <c r="AD44" s="669"/>
      <c r="AE44" s="669"/>
      <c r="AF44" s="669"/>
      <c r="AG44" s="669"/>
      <c r="AH44" s="669"/>
      <c r="AI44" s="669"/>
      <c r="AJ44" s="669"/>
      <c r="AK44" s="669"/>
      <c r="AL44" s="669"/>
      <c r="AM44" s="669"/>
      <c r="AN44" s="669"/>
      <c r="AO44" s="669"/>
      <c r="AP44" s="669"/>
      <c r="AQ44" s="669"/>
      <c r="AR44" s="669"/>
      <c r="AS44" s="669"/>
      <c r="AT44" s="669"/>
      <c r="AU44" s="669"/>
      <c r="AV44" s="669"/>
      <c r="AW44" s="669"/>
      <c r="AX44" s="669"/>
      <c r="AY44" s="669"/>
      <c r="AZ44" s="669"/>
      <c r="BA44" s="669"/>
      <c r="BB44" s="669"/>
      <c r="BC44" s="669"/>
      <c r="BD44" s="669"/>
      <c r="BE44" s="669"/>
      <c r="BF44" s="669"/>
      <c r="BG44" s="669"/>
      <c r="BH44" s="669"/>
      <c r="BI44" s="669"/>
      <c r="BJ44" s="669"/>
      <c r="BK44" s="669"/>
      <c r="BL44" s="669"/>
      <c r="BM44" s="669"/>
      <c r="BN44" s="669"/>
      <c r="BO44" s="669"/>
      <c r="BP44" s="669"/>
      <c r="BQ44" s="669"/>
      <c r="BR44" s="669"/>
      <c r="BS44" s="669"/>
      <c r="BT44" s="669"/>
      <c r="BU44" s="669"/>
      <c r="BV44" s="669"/>
      <c r="BW44" s="669"/>
      <c r="BX44" s="669"/>
      <c r="BY44" s="669"/>
      <c r="BZ44" s="669"/>
      <c r="CA44" s="669"/>
      <c r="CB44" s="669"/>
      <c r="CC44" s="669"/>
      <c r="CD44" s="669"/>
      <c r="CE44" s="669"/>
      <c r="CF44" s="669"/>
      <c r="CG44" s="669"/>
      <c r="CH44" s="669"/>
      <c r="CI44" s="669"/>
      <c r="CJ44" s="669"/>
      <c r="CK44" s="669"/>
      <c r="CL44" s="669"/>
      <c r="CM44" s="669"/>
      <c r="CN44" s="669"/>
      <c r="CO44" s="669"/>
      <c r="CP44" s="669"/>
      <c r="CQ44" s="669"/>
      <c r="CR44" s="669"/>
      <c r="CS44" s="669"/>
      <c r="CT44" s="669"/>
      <c r="CU44" s="669"/>
      <c r="CV44" s="669"/>
      <c r="CW44" s="669"/>
      <c r="CX44" s="669"/>
      <c r="CY44" s="669"/>
      <c r="CZ44" s="669"/>
      <c r="DA44" s="669"/>
      <c r="DB44" s="669"/>
      <c r="DC44" s="669"/>
      <c r="DD44" s="669"/>
      <c r="DE44" s="669"/>
      <c r="DF44" s="669"/>
      <c r="DG44" s="669"/>
      <c r="DH44" s="669"/>
      <c r="DI44" s="669"/>
      <c r="DJ44" s="669"/>
      <c r="DK44" s="669"/>
      <c r="DL44" s="669"/>
      <c r="DM44" s="669"/>
      <c r="DN44" s="669"/>
      <c r="DO44" s="669"/>
      <c r="DP44" s="669"/>
      <c r="DQ44" s="669"/>
      <c r="DR44" s="669"/>
      <c r="DS44" s="669"/>
      <c r="DT44" s="669"/>
      <c r="DU44" s="669"/>
      <c r="DV44" s="669"/>
      <c r="DW44" s="669"/>
      <c r="DX44" s="669"/>
      <c r="DY44" s="669"/>
      <c r="DZ44" s="669"/>
      <c r="EA44" s="669"/>
      <c r="EB44" s="669"/>
      <c r="EC44" s="669"/>
      <c r="ED44" s="669"/>
      <c r="EE44" s="669"/>
      <c r="EF44" s="669"/>
      <c r="EG44" s="669"/>
      <c r="EH44" s="669"/>
      <c r="EI44" s="669"/>
      <c r="EJ44" s="669"/>
      <c r="EK44" s="669"/>
      <c r="EL44" s="669"/>
      <c r="EM44" s="669"/>
      <c r="EN44" s="669"/>
      <c r="EO44" s="669"/>
      <c r="EP44" s="669"/>
      <c r="EQ44" s="669"/>
      <c r="ER44" s="669"/>
      <c r="ES44" s="669"/>
      <c r="ET44" s="669"/>
      <c r="EU44" s="669"/>
      <c r="EV44" s="669"/>
      <c r="EW44" s="669"/>
      <c r="EX44" s="669"/>
      <c r="EY44" s="669"/>
      <c r="EZ44" s="669"/>
      <c r="FA44" s="669"/>
      <c r="FB44" s="669"/>
      <c r="FC44" s="669"/>
      <c r="FD44" s="669"/>
      <c r="FE44" s="669"/>
      <c r="FF44" s="669"/>
      <c r="FG44" s="669"/>
      <c r="FH44" s="669"/>
      <c r="FI44" s="669"/>
      <c r="FJ44" s="669"/>
      <c r="FK44" s="669"/>
      <c r="FL44" s="669"/>
      <c r="FM44" s="669"/>
      <c r="FN44" s="669"/>
      <c r="FO44" s="669"/>
      <c r="FP44" s="669"/>
      <c r="FQ44" s="669"/>
      <c r="FR44" s="669"/>
      <c r="FS44" s="669"/>
      <c r="FT44" s="669"/>
      <c r="FU44" s="669"/>
      <c r="FV44" s="669"/>
      <c r="FW44" s="669"/>
      <c r="FX44" s="669"/>
      <c r="FY44" s="669"/>
      <c r="FZ44" s="669"/>
      <c r="GA44" s="669"/>
      <c r="GB44" s="669"/>
      <c r="GC44" s="669"/>
      <c r="GD44" s="669"/>
      <c r="GE44" s="669"/>
      <c r="GF44" s="669"/>
      <c r="GG44" s="669"/>
      <c r="GH44" s="669"/>
      <c r="GI44" s="669"/>
      <c r="GJ44" s="669"/>
      <c r="GK44" s="669"/>
      <c r="GL44" s="669"/>
      <c r="GM44" s="669"/>
      <c r="GN44" s="669"/>
      <c r="GO44" s="669"/>
      <c r="GP44" s="669"/>
      <c r="GQ44" s="669"/>
      <c r="GR44" s="669"/>
      <c r="GS44" s="669"/>
      <c r="GT44" s="669"/>
      <c r="GU44" s="669"/>
      <c r="GV44" s="669"/>
      <c r="GW44" s="669"/>
      <c r="GX44" s="669"/>
      <c r="GY44" s="669"/>
      <c r="GZ44" s="669"/>
      <c r="HA44" s="669"/>
      <c r="HB44" s="669"/>
      <c r="HC44" s="669"/>
      <c r="HD44" s="669"/>
      <c r="HE44" s="669"/>
      <c r="HF44" s="669"/>
      <c r="HG44" s="669"/>
      <c r="HH44" s="669"/>
      <c r="HI44" s="669"/>
      <c r="HJ44" s="669"/>
      <c r="HK44" s="669"/>
      <c r="HL44" s="669"/>
      <c r="HM44" s="669"/>
      <c r="HN44" s="669"/>
      <c r="HO44" s="669"/>
      <c r="HP44" s="669"/>
      <c r="HQ44" s="669"/>
      <c r="HR44" s="669"/>
      <c r="HS44" s="669"/>
      <c r="HT44" s="669"/>
      <c r="HU44" s="669"/>
      <c r="HV44" s="669"/>
      <c r="HW44" s="669"/>
      <c r="HX44" s="669"/>
      <c r="HY44" s="669"/>
      <c r="HZ44" s="669"/>
      <c r="IA44" s="669"/>
      <c r="IB44" s="669"/>
      <c r="IC44" s="669"/>
      <c r="ID44" s="669"/>
      <c r="IE44" s="669"/>
      <c r="IF44" s="669"/>
      <c r="IG44" s="669"/>
      <c r="IH44" s="669"/>
      <c r="II44" s="669"/>
      <c r="IJ44" s="669"/>
      <c r="IK44" s="669"/>
      <c r="IL44" s="669"/>
      <c r="IM44" s="669"/>
      <c r="IN44" s="669"/>
      <c r="IO44" s="669"/>
      <c r="IP44" s="669"/>
      <c r="IQ44" s="669"/>
      <c r="IR44" s="669"/>
      <c r="IS44" s="669"/>
      <c r="IT44" s="669"/>
      <c r="IU44" s="669"/>
      <c r="IV44" s="669"/>
      <c r="IW44" s="669"/>
      <c r="IX44" s="669"/>
      <c r="IY44" s="669"/>
      <c r="IZ44" s="669"/>
      <c r="JA44" s="669"/>
      <c r="JB44" s="669"/>
      <c r="JC44" s="669"/>
      <c r="JD44" s="669"/>
      <c r="JE44" s="669"/>
      <c r="JF44" s="669"/>
      <c r="JG44" s="669"/>
      <c r="JH44" s="669"/>
      <c r="JI44" s="669"/>
      <c r="JJ44" s="669"/>
      <c r="JK44" s="669"/>
      <c r="JL44" s="669"/>
      <c r="JM44" s="669"/>
      <c r="JN44" s="669"/>
      <c r="JO44" s="669"/>
      <c r="JP44" s="669"/>
      <c r="JQ44" s="669"/>
      <c r="JR44" s="669"/>
      <c r="JS44" s="669"/>
      <c r="JT44" s="669"/>
      <c r="JU44" s="669"/>
      <c r="JV44" s="669"/>
      <c r="JW44" s="669"/>
      <c r="JX44" s="669"/>
      <c r="JY44" s="669"/>
      <c r="JZ44" s="669"/>
      <c r="KA44" s="669"/>
      <c r="KB44" s="669"/>
      <c r="KC44" s="669"/>
      <c r="KD44" s="669"/>
      <c r="KE44" s="669"/>
      <c r="KF44" s="669"/>
      <c r="KG44" s="669"/>
      <c r="KH44" s="669"/>
      <c r="KI44" s="669"/>
      <c r="KJ44" s="669"/>
      <c r="KK44" s="669"/>
      <c r="KL44" s="669"/>
      <c r="KM44" s="669"/>
      <c r="KN44" s="669"/>
      <c r="KO44" s="669"/>
      <c r="KP44" s="669"/>
      <c r="KQ44" s="669"/>
      <c r="KR44" s="669"/>
      <c r="KS44" s="669"/>
      <c r="KT44" s="669"/>
      <c r="KU44" s="669"/>
      <c r="KV44" s="669"/>
      <c r="KW44" s="669"/>
      <c r="KX44" s="669"/>
      <c r="KY44" s="669"/>
      <c r="KZ44" s="669"/>
      <c r="LA44" s="669"/>
      <c r="LB44" s="669"/>
      <c r="LC44" s="669"/>
      <c r="LD44" s="669"/>
      <c r="LE44" s="669"/>
      <c r="LF44" s="669"/>
      <c r="LG44" s="669"/>
      <c r="LH44" s="669"/>
      <c r="LI44" s="669"/>
      <c r="LJ44" s="669"/>
      <c r="LK44" s="669"/>
      <c r="LL44" s="669"/>
      <c r="LM44" s="669"/>
      <c r="LN44" s="669"/>
      <c r="LO44" s="669"/>
      <c r="LP44" s="669"/>
      <c r="LQ44" s="669"/>
      <c r="LR44" s="669"/>
      <c r="LS44" s="669"/>
      <c r="LT44" s="669"/>
      <c r="LU44" s="669"/>
      <c r="LV44" s="669"/>
      <c r="LW44" s="669"/>
      <c r="LX44" s="669"/>
      <c r="LY44" s="669"/>
      <c r="LZ44" s="669"/>
      <c r="MA44" s="669"/>
      <c r="MB44" s="669"/>
      <c r="MC44" s="669"/>
      <c r="MD44" s="669"/>
      <c r="ME44" s="669"/>
      <c r="MF44" s="669"/>
      <c r="MG44" s="669"/>
      <c r="MH44" s="669"/>
      <c r="MI44" s="669"/>
      <c r="MJ44" s="669"/>
      <c r="MK44" s="669"/>
      <c r="ML44" s="669"/>
      <c r="MM44" s="669"/>
      <c r="MN44" s="669"/>
      <c r="MO44" s="669"/>
      <c r="MP44" s="669"/>
      <c r="MQ44" s="669"/>
      <c r="MR44" s="669"/>
      <c r="MS44" s="669"/>
      <c r="MT44" s="669"/>
      <c r="MU44" s="669"/>
      <c r="MV44" s="669"/>
      <c r="MW44" s="669"/>
      <c r="MX44" s="669"/>
      <c r="MY44" s="669"/>
      <c r="MZ44" s="669"/>
      <c r="NA44" s="669"/>
      <c r="NB44" s="669"/>
      <c r="NC44" s="669"/>
      <c r="ND44" s="669"/>
      <c r="NE44" s="669"/>
      <c r="NF44" s="669"/>
      <c r="NG44" s="669"/>
      <c r="NH44" s="669"/>
      <c r="NI44" s="669"/>
      <c r="NJ44" s="669"/>
      <c r="NK44" s="669"/>
      <c r="NL44" s="669"/>
      <c r="NM44" s="669"/>
      <c r="NN44" s="669"/>
      <c r="NO44" s="669"/>
      <c r="NP44" s="669"/>
      <c r="NQ44" s="669"/>
      <c r="NR44" s="669"/>
      <c r="NS44" s="669"/>
      <c r="NT44" s="669"/>
      <c r="NU44" s="669"/>
      <c r="NV44" s="669"/>
      <c r="NW44" s="669"/>
      <c r="NX44" s="669"/>
      <c r="NY44" s="669"/>
      <c r="NZ44" s="669"/>
      <c r="OA44" s="669"/>
      <c r="OB44" s="669"/>
      <c r="OC44" s="669"/>
      <c r="OD44" s="669"/>
      <c r="OE44" s="669"/>
      <c r="OF44" s="669"/>
      <c r="OG44" s="669"/>
      <c r="OH44" s="669"/>
      <c r="OI44" s="669"/>
      <c r="OJ44" s="669"/>
      <c r="OK44" s="669"/>
      <c r="OL44" s="669"/>
      <c r="OM44" s="669"/>
      <c r="ON44" s="669"/>
      <c r="OO44" s="669"/>
      <c r="OP44" s="669"/>
      <c r="OQ44" s="669"/>
      <c r="OR44" s="669"/>
      <c r="OS44" s="669"/>
      <c r="OT44" s="669"/>
      <c r="OU44" s="669"/>
      <c r="OV44" s="669"/>
      <c r="OW44" s="669"/>
      <c r="OX44" s="669"/>
      <c r="OY44" s="669"/>
      <c r="OZ44" s="669"/>
      <c r="PA44" s="669"/>
      <c r="PB44" s="669"/>
      <c r="PC44" s="669"/>
      <c r="PD44" s="669"/>
      <c r="PE44" s="669"/>
      <c r="PF44" s="669"/>
      <c r="PG44" s="669"/>
      <c r="PH44" s="669"/>
      <c r="PI44" s="669"/>
      <c r="PJ44" s="669"/>
      <c r="PK44" s="669"/>
      <c r="PL44" s="669"/>
      <c r="PM44" s="669"/>
      <c r="PN44" s="669"/>
      <c r="PO44" s="669"/>
      <c r="PP44" s="669"/>
      <c r="PQ44" s="669"/>
      <c r="PR44" s="669"/>
      <c r="PS44" s="669"/>
      <c r="PT44" s="669"/>
      <c r="PU44" s="669"/>
      <c r="PV44" s="669"/>
      <c r="PW44" s="669"/>
      <c r="PX44" s="669"/>
      <c r="PY44" s="669"/>
      <c r="PZ44" s="669"/>
      <c r="QA44" s="669"/>
      <c r="QB44" s="669"/>
      <c r="QC44" s="669"/>
      <c r="QD44" s="669"/>
      <c r="QE44" s="669"/>
      <c r="QF44" s="669"/>
      <c r="QG44" s="669"/>
      <c r="QH44" s="669"/>
      <c r="QI44" s="669"/>
      <c r="QJ44" s="669"/>
      <c r="QK44" s="669"/>
      <c r="QL44" s="669"/>
      <c r="QM44" s="669"/>
      <c r="QN44" s="669"/>
      <c r="QO44" s="669"/>
      <c r="QP44" s="669"/>
      <c r="QQ44" s="669"/>
      <c r="QR44" s="669"/>
      <c r="QS44" s="669"/>
      <c r="QT44" s="669"/>
      <c r="QU44" s="669"/>
      <c r="QV44" s="669"/>
      <c r="QW44" s="669"/>
      <c r="QX44" s="669"/>
      <c r="QY44" s="669"/>
      <c r="QZ44" s="669"/>
      <c r="RA44" s="669"/>
      <c r="RB44" s="669"/>
      <c r="RC44" s="669"/>
      <c r="RD44" s="669"/>
      <c r="RE44" s="669"/>
      <c r="RF44" s="669"/>
      <c r="RG44" s="669"/>
      <c r="RH44" s="669"/>
      <c r="RI44" s="669"/>
      <c r="RJ44" s="669"/>
      <c r="RK44" s="669"/>
      <c r="RL44" s="669"/>
      <c r="RM44" s="669"/>
      <c r="RN44" s="669"/>
      <c r="RO44" s="669"/>
      <c r="RP44" s="669"/>
      <c r="RQ44" s="669"/>
      <c r="RR44" s="669"/>
      <c r="RS44" s="669"/>
      <c r="RT44" s="669"/>
      <c r="RU44" s="669"/>
      <c r="RV44" s="669"/>
      <c r="RW44" s="669"/>
      <c r="RX44" s="669"/>
      <c r="RY44" s="669"/>
      <c r="RZ44" s="669"/>
      <c r="SA44" s="669"/>
      <c r="SB44" s="669"/>
      <c r="SC44" s="669"/>
      <c r="SD44" s="669"/>
      <c r="SE44" s="669"/>
      <c r="SF44" s="669"/>
      <c r="SG44" s="669"/>
      <c r="SH44" s="669"/>
      <c r="SI44" s="669"/>
      <c r="SJ44" s="669"/>
      <c r="SK44" s="669"/>
      <c r="SL44" s="669"/>
      <c r="SM44" s="669"/>
      <c r="SN44" s="669"/>
      <c r="SO44" s="669"/>
      <c r="SP44" s="669"/>
      <c r="SQ44" s="669"/>
      <c r="SR44" s="669"/>
      <c r="SS44" s="669"/>
      <c r="ST44" s="669"/>
      <c r="SU44" s="669"/>
      <c r="SV44" s="669"/>
      <c r="SW44" s="669"/>
      <c r="SX44" s="669"/>
      <c r="SY44" s="669"/>
      <c r="SZ44" s="669"/>
      <c r="TA44" s="669"/>
      <c r="TB44" s="669"/>
      <c r="TC44" s="669"/>
      <c r="TD44" s="669"/>
      <c r="TE44" s="669"/>
      <c r="TF44" s="669"/>
      <c r="TG44" s="669"/>
      <c r="TH44" s="669"/>
      <c r="TI44" s="669"/>
      <c r="TJ44" s="669"/>
      <c r="TK44" s="669"/>
      <c r="TL44" s="669"/>
      <c r="TM44" s="669"/>
      <c r="TN44" s="669"/>
      <c r="TO44" s="669"/>
      <c r="TP44" s="669"/>
      <c r="TQ44" s="669"/>
      <c r="TR44" s="669"/>
      <c r="TS44" s="669"/>
      <c r="TT44" s="669"/>
      <c r="TU44" s="669"/>
      <c r="TV44" s="669"/>
      <c r="TW44" s="669"/>
      <c r="TX44" s="669"/>
      <c r="TY44" s="669"/>
      <c r="TZ44" s="669"/>
      <c r="UA44" s="669"/>
      <c r="UB44" s="669"/>
      <c r="UC44" s="669"/>
      <c r="UD44" s="669"/>
      <c r="UE44" s="669"/>
      <c r="UF44" s="669"/>
      <c r="UG44" s="669"/>
      <c r="UH44" s="669"/>
      <c r="UI44" s="669"/>
      <c r="UJ44" s="669"/>
      <c r="UK44" s="669"/>
      <c r="UL44" s="669"/>
      <c r="UM44" s="669"/>
      <c r="UN44" s="669"/>
      <c r="UO44" s="669"/>
      <c r="UP44" s="669"/>
      <c r="UQ44" s="669"/>
      <c r="UR44" s="669"/>
      <c r="US44" s="669"/>
      <c r="UT44" s="669"/>
      <c r="UU44" s="669"/>
      <c r="UV44" s="669"/>
      <c r="UW44" s="669"/>
      <c r="UX44" s="669"/>
      <c r="UY44" s="669"/>
      <c r="UZ44" s="669"/>
      <c r="VA44" s="669"/>
      <c r="VB44" s="669"/>
      <c r="VC44" s="669"/>
      <c r="VD44" s="669"/>
      <c r="VE44" s="669"/>
      <c r="VF44" s="669"/>
      <c r="VG44" s="669"/>
      <c r="VH44" s="669"/>
      <c r="VI44" s="669"/>
      <c r="VJ44" s="669"/>
      <c r="VK44" s="669"/>
      <c r="VL44" s="669"/>
      <c r="VM44" s="669"/>
      <c r="VN44" s="669"/>
      <c r="VO44" s="669"/>
      <c r="VP44" s="669"/>
      <c r="VQ44" s="669"/>
      <c r="VR44" s="669"/>
      <c r="VS44" s="669"/>
      <c r="VT44" s="669"/>
      <c r="VU44" s="669"/>
      <c r="VV44" s="669"/>
      <c r="VW44" s="669"/>
      <c r="VX44" s="669"/>
      <c r="VY44" s="669"/>
      <c r="VZ44" s="669"/>
      <c r="WA44" s="669"/>
      <c r="WB44" s="669"/>
      <c r="WC44" s="669"/>
      <c r="WD44" s="669"/>
      <c r="WE44" s="669"/>
      <c r="WF44" s="669"/>
      <c r="WG44" s="669"/>
      <c r="WH44" s="669"/>
      <c r="WI44" s="669"/>
      <c r="WJ44" s="669"/>
      <c r="WK44" s="669"/>
      <c r="WL44" s="669"/>
      <c r="WM44" s="669"/>
      <c r="WN44" s="669"/>
      <c r="WO44" s="669"/>
      <c r="WP44" s="669"/>
      <c r="WQ44" s="669"/>
      <c r="WR44" s="669"/>
      <c r="WS44" s="669"/>
      <c r="WT44" s="669"/>
      <c r="WU44" s="669"/>
      <c r="WV44" s="669"/>
      <c r="WW44" s="669"/>
      <c r="WX44" s="669"/>
      <c r="WY44" s="669"/>
      <c r="WZ44" s="669"/>
      <c r="XA44" s="669"/>
      <c r="XB44" s="669"/>
      <c r="XC44" s="669"/>
      <c r="XD44" s="669"/>
      <c r="XE44" s="669"/>
      <c r="XF44" s="669"/>
      <c r="XG44" s="669"/>
      <c r="XH44" s="669"/>
      <c r="XI44" s="669"/>
      <c r="XJ44" s="669"/>
      <c r="XK44" s="669"/>
      <c r="XL44" s="669"/>
      <c r="XM44" s="669"/>
      <c r="XN44" s="669"/>
      <c r="XO44" s="669"/>
      <c r="XP44" s="669"/>
      <c r="XQ44" s="669"/>
      <c r="XR44" s="669"/>
      <c r="XS44" s="669"/>
      <c r="XT44" s="669"/>
      <c r="XU44" s="669"/>
      <c r="XV44" s="669"/>
      <c r="XW44" s="669"/>
      <c r="XX44" s="669"/>
      <c r="XY44" s="669"/>
      <c r="XZ44" s="669"/>
      <c r="YA44" s="669"/>
      <c r="YB44" s="669"/>
      <c r="YC44" s="669"/>
      <c r="YD44" s="669"/>
      <c r="YE44" s="669"/>
      <c r="YF44" s="669"/>
      <c r="YG44" s="669"/>
      <c r="YH44" s="669"/>
      <c r="YI44" s="669"/>
      <c r="YJ44" s="669"/>
      <c r="YK44" s="669"/>
      <c r="YL44" s="669"/>
      <c r="YM44" s="669"/>
      <c r="YN44" s="669"/>
      <c r="YO44" s="669"/>
      <c r="YP44" s="669"/>
      <c r="YQ44" s="669"/>
      <c r="YR44" s="669"/>
      <c r="YS44" s="669"/>
      <c r="YT44" s="669"/>
      <c r="YU44" s="669"/>
      <c r="YV44" s="669"/>
      <c r="YW44" s="669"/>
      <c r="YX44" s="669"/>
      <c r="YY44" s="669"/>
      <c r="YZ44" s="669"/>
      <c r="ZA44" s="669"/>
      <c r="ZB44" s="669"/>
      <c r="ZC44" s="669"/>
      <c r="ZD44" s="669"/>
      <c r="ZE44" s="669"/>
      <c r="ZF44" s="669"/>
      <c r="ZG44" s="669"/>
      <c r="ZH44" s="669"/>
      <c r="ZI44" s="669"/>
      <c r="ZJ44" s="669"/>
      <c r="ZK44" s="669"/>
      <c r="ZL44" s="669"/>
      <c r="ZM44" s="669"/>
      <c r="ZN44" s="669"/>
      <c r="ZO44" s="669"/>
      <c r="ZP44" s="669"/>
      <c r="ZQ44" s="669"/>
      <c r="ZR44" s="669"/>
      <c r="ZS44" s="669"/>
      <c r="ZT44" s="669"/>
      <c r="ZU44" s="669"/>
      <c r="ZV44" s="669"/>
      <c r="ZW44" s="669"/>
      <c r="ZX44" s="669"/>
      <c r="ZY44" s="669"/>
      <c r="ZZ44" s="669"/>
      <c r="AAA44" s="669"/>
      <c r="AAB44" s="669"/>
      <c r="AAC44" s="669"/>
      <c r="AAD44" s="669"/>
      <c r="AAE44" s="669"/>
      <c r="AAF44" s="669"/>
      <c r="AAG44" s="669"/>
      <c r="AAH44" s="669"/>
      <c r="AAI44" s="669"/>
      <c r="AAJ44" s="669"/>
      <c r="AAK44" s="669"/>
      <c r="AAL44" s="669"/>
      <c r="AAM44" s="669"/>
      <c r="AAN44" s="669"/>
      <c r="AAO44" s="669"/>
      <c r="AAP44" s="669"/>
      <c r="AAQ44" s="669"/>
      <c r="AAR44" s="669"/>
      <c r="AAS44" s="669"/>
      <c r="AAT44" s="669"/>
      <c r="AAU44" s="669"/>
      <c r="AAV44" s="669"/>
      <c r="AAW44" s="669"/>
      <c r="AAX44" s="669"/>
      <c r="AAY44" s="669"/>
      <c r="AAZ44" s="669"/>
      <c r="ABA44" s="669"/>
      <c r="ABB44" s="669"/>
      <c r="ABC44" s="669"/>
      <c r="ABD44" s="669"/>
      <c r="ABE44" s="669"/>
      <c r="ABF44" s="669"/>
      <c r="ABG44" s="669"/>
      <c r="ABH44" s="669"/>
      <c r="ABI44" s="669"/>
      <c r="ABJ44" s="669"/>
      <c r="ABK44" s="669"/>
      <c r="ABL44" s="669"/>
      <c r="ABM44" s="669"/>
      <c r="ABN44" s="669"/>
      <c r="ABO44" s="669"/>
      <c r="ABP44" s="669"/>
      <c r="ABQ44" s="669"/>
      <c r="ABR44" s="669"/>
      <c r="ABS44" s="669"/>
      <c r="ABT44" s="669"/>
      <c r="ABU44" s="669"/>
      <c r="ABV44" s="669"/>
      <c r="ABW44" s="669"/>
      <c r="ABX44" s="669"/>
      <c r="ABY44" s="669"/>
      <c r="ABZ44" s="669"/>
      <c r="ACA44" s="669"/>
      <c r="ACB44" s="669"/>
      <c r="ACC44" s="669"/>
      <c r="ACD44" s="669"/>
      <c r="ACE44" s="669"/>
      <c r="ACF44" s="669"/>
      <c r="ACG44" s="669"/>
      <c r="ACH44" s="669"/>
      <c r="ACI44" s="669"/>
      <c r="ACJ44" s="669"/>
      <c r="ACK44" s="669"/>
      <c r="ACL44" s="669"/>
      <c r="ACM44" s="669"/>
      <c r="ACN44" s="669"/>
      <c r="ACO44" s="669"/>
      <c r="ACP44" s="669"/>
      <c r="ACQ44" s="669"/>
      <c r="ACR44" s="669"/>
      <c r="ACS44" s="669"/>
      <c r="ACT44" s="669"/>
      <c r="ACU44" s="669"/>
      <c r="ACV44" s="669"/>
      <c r="ACW44" s="669"/>
      <c r="ACX44" s="669"/>
      <c r="ACY44" s="669"/>
      <c r="ACZ44" s="669"/>
      <c r="ADA44" s="669"/>
      <c r="ADB44" s="669"/>
      <c r="ADC44" s="669"/>
      <c r="ADD44" s="669"/>
      <c r="ADE44" s="669"/>
      <c r="ADF44" s="669"/>
      <c r="ADG44" s="669"/>
      <c r="ADH44" s="669"/>
      <c r="ADI44" s="669"/>
      <c r="ADJ44" s="669"/>
      <c r="ADK44" s="669"/>
      <c r="ADL44" s="669"/>
      <c r="ADM44" s="669"/>
      <c r="ADN44" s="669"/>
      <c r="ADO44" s="669"/>
      <c r="ADP44" s="669"/>
      <c r="ADQ44" s="669"/>
      <c r="ADR44" s="669"/>
      <c r="ADS44" s="669"/>
      <c r="ADT44" s="669"/>
      <c r="ADU44" s="669"/>
      <c r="ADV44" s="669"/>
      <c r="ADW44" s="669"/>
      <c r="ADX44" s="669"/>
      <c r="ADY44" s="669"/>
      <c r="ADZ44" s="669"/>
      <c r="AEA44" s="669"/>
      <c r="AEB44" s="669"/>
      <c r="AEC44" s="669"/>
      <c r="AED44" s="669"/>
      <c r="AEE44" s="669"/>
      <c r="AEF44" s="669"/>
      <c r="AEG44" s="669"/>
      <c r="AEH44" s="669"/>
      <c r="AEI44" s="669"/>
      <c r="AEJ44" s="669"/>
      <c r="AEK44" s="669"/>
      <c r="AEL44" s="669"/>
      <c r="AEM44" s="669"/>
      <c r="AEN44" s="669"/>
      <c r="AEO44" s="669"/>
      <c r="AEP44" s="669"/>
      <c r="AEQ44" s="669"/>
      <c r="AER44" s="669"/>
      <c r="AES44" s="669"/>
      <c r="AET44" s="669"/>
      <c r="AEU44" s="669"/>
      <c r="AEV44" s="669"/>
      <c r="AEW44" s="669"/>
      <c r="AEX44" s="669"/>
      <c r="AEY44" s="669"/>
      <c r="AEZ44" s="669"/>
      <c r="AFA44" s="669"/>
      <c r="AFB44" s="669"/>
      <c r="AFC44" s="669"/>
      <c r="AFD44" s="669"/>
      <c r="AFE44" s="669"/>
      <c r="AFF44" s="669"/>
      <c r="AFG44" s="669"/>
      <c r="AFH44" s="669"/>
      <c r="AFI44" s="669"/>
      <c r="AFJ44" s="669"/>
      <c r="AFK44" s="669"/>
      <c r="AFL44" s="669"/>
      <c r="AFM44" s="669"/>
      <c r="AFN44" s="669"/>
      <c r="AFO44" s="669"/>
      <c r="AFP44" s="669"/>
      <c r="AFQ44" s="669"/>
      <c r="AFR44" s="669"/>
      <c r="AFS44" s="669"/>
      <c r="AFT44" s="669"/>
      <c r="AFU44" s="669"/>
      <c r="AFV44" s="669"/>
      <c r="AFW44" s="669"/>
      <c r="AFX44" s="669"/>
      <c r="AFY44" s="669"/>
      <c r="AFZ44" s="669"/>
      <c r="AGA44" s="669"/>
      <c r="AGB44" s="669"/>
      <c r="AGC44" s="669"/>
      <c r="AGD44" s="669"/>
      <c r="AGE44" s="669"/>
      <c r="AGF44" s="669"/>
      <c r="AGG44" s="669"/>
      <c r="AGH44" s="669"/>
      <c r="AGI44" s="669"/>
      <c r="AGJ44" s="669"/>
      <c r="AGK44" s="669"/>
      <c r="AGL44" s="669"/>
      <c r="AGM44" s="669"/>
      <c r="AGN44" s="669"/>
      <c r="AGO44" s="669"/>
      <c r="AGP44" s="669"/>
      <c r="AGQ44" s="669"/>
      <c r="AGR44" s="669"/>
      <c r="AGS44" s="669"/>
      <c r="AGT44" s="669"/>
      <c r="AGU44" s="669"/>
      <c r="AGV44" s="669"/>
      <c r="AGW44" s="669"/>
      <c r="AGX44" s="669"/>
      <c r="AGY44" s="669"/>
      <c r="AGZ44" s="669"/>
      <c r="AHA44" s="669"/>
      <c r="AHB44" s="669"/>
      <c r="AHC44" s="669"/>
      <c r="AHD44" s="669"/>
      <c r="AHE44" s="669"/>
      <c r="AHF44" s="669"/>
      <c r="AHG44" s="669"/>
      <c r="AHH44" s="669"/>
      <c r="AHI44" s="669"/>
      <c r="AHJ44" s="669"/>
      <c r="AHK44" s="669"/>
      <c r="AHL44" s="669"/>
      <c r="AHM44" s="669"/>
      <c r="AHN44" s="669"/>
      <c r="AHO44" s="669"/>
      <c r="AHP44" s="669"/>
      <c r="AHQ44" s="669"/>
      <c r="AHR44" s="669"/>
      <c r="AHS44" s="669"/>
      <c r="AHT44" s="669"/>
      <c r="AHU44" s="669"/>
      <c r="AHV44" s="669"/>
      <c r="AHW44" s="669"/>
      <c r="AHX44" s="669"/>
      <c r="AHY44" s="669"/>
      <c r="AHZ44" s="669"/>
      <c r="AIA44" s="669"/>
      <c r="AIB44" s="669"/>
      <c r="AIC44" s="669"/>
      <c r="AID44" s="669"/>
      <c r="AIE44" s="669"/>
      <c r="AIF44" s="669"/>
      <c r="AIG44" s="669"/>
      <c r="AIH44" s="669"/>
      <c r="AII44" s="669"/>
      <c r="AIJ44" s="669"/>
      <c r="AIK44" s="669"/>
      <c r="AIL44" s="669"/>
      <c r="AIM44" s="669"/>
      <c r="AIN44" s="669"/>
      <c r="AIO44" s="669"/>
      <c r="AIP44" s="669"/>
      <c r="AIQ44" s="669"/>
      <c r="AIR44" s="669"/>
      <c r="AIS44" s="669"/>
      <c r="AIT44" s="669"/>
      <c r="AIU44" s="669"/>
      <c r="AIV44" s="669"/>
      <c r="AIW44" s="669"/>
      <c r="AIX44" s="669"/>
      <c r="AIY44" s="669"/>
      <c r="AIZ44" s="669"/>
      <c r="AJA44" s="669"/>
      <c r="AJB44" s="669"/>
      <c r="AJC44" s="669"/>
      <c r="AJD44" s="669"/>
      <c r="AJE44" s="669"/>
      <c r="AJF44" s="669"/>
      <c r="AJG44" s="669"/>
      <c r="AJH44" s="669"/>
      <c r="AJI44" s="669"/>
      <c r="AJJ44" s="669"/>
      <c r="AJK44" s="669"/>
      <c r="AJL44" s="669"/>
      <c r="AJM44" s="669"/>
      <c r="AJN44" s="669"/>
      <c r="AJO44" s="669"/>
      <c r="AJP44" s="669"/>
      <c r="AJQ44" s="669"/>
      <c r="AJR44" s="669"/>
      <c r="AJS44" s="669"/>
      <c r="AJT44" s="669"/>
      <c r="AJU44" s="669"/>
      <c r="AJV44" s="669"/>
      <c r="AJW44" s="669"/>
      <c r="AJX44" s="669"/>
      <c r="AJY44" s="669"/>
      <c r="AJZ44" s="669"/>
      <c r="AKA44" s="669"/>
      <c r="AKB44" s="669"/>
      <c r="AKC44" s="669"/>
      <c r="AKD44" s="669"/>
      <c r="AKE44" s="669"/>
      <c r="AKF44" s="669"/>
      <c r="AKG44" s="669"/>
      <c r="AKH44" s="669"/>
      <c r="AKI44" s="669"/>
      <c r="AKJ44" s="669"/>
      <c r="AKK44" s="669"/>
      <c r="AKL44" s="669"/>
      <c r="AKM44" s="669"/>
      <c r="AKN44" s="669"/>
      <c r="AKO44" s="669"/>
      <c r="AKP44" s="669"/>
      <c r="AKQ44" s="669"/>
      <c r="AKR44" s="669"/>
      <c r="AKS44" s="669"/>
      <c r="AKT44" s="669"/>
      <c r="AKU44" s="669"/>
      <c r="AKV44" s="669"/>
      <c r="AKW44" s="669"/>
      <c r="AKX44" s="669"/>
      <c r="AKY44" s="669"/>
      <c r="AKZ44" s="669"/>
      <c r="ALA44" s="669"/>
      <c r="ALB44" s="669"/>
      <c r="ALC44" s="669"/>
      <c r="ALD44" s="669"/>
      <c r="ALE44" s="669"/>
      <c r="ALF44" s="669"/>
      <c r="ALG44" s="669"/>
      <c r="ALH44" s="669"/>
      <c r="ALI44" s="669"/>
      <c r="ALJ44" s="669"/>
      <c r="ALK44" s="669"/>
      <c r="ALL44" s="669"/>
      <c r="ALM44" s="669"/>
      <c r="ALN44" s="669"/>
      <c r="ALO44" s="669"/>
      <c r="ALP44" s="669"/>
      <c r="ALQ44" s="669"/>
      <c r="ALR44" s="669"/>
      <c r="ALS44" s="669"/>
      <c r="ALT44" s="669"/>
      <c r="ALU44" s="669"/>
      <c r="ALV44" s="669"/>
      <c r="ALW44" s="669"/>
      <c r="ALX44" s="669"/>
      <c r="ALY44" s="669"/>
      <c r="ALZ44" s="669"/>
      <c r="AMA44" s="669"/>
      <c r="AMB44" s="669"/>
      <c r="AMC44" s="669"/>
      <c r="AMD44" s="669"/>
      <c r="AME44" s="669"/>
      <c r="AMF44" s="669"/>
      <c r="AMG44" s="669"/>
      <c r="AMH44" s="669"/>
      <c r="AMI44" s="669"/>
      <c r="AMJ44" s="669"/>
      <c r="AMK44" s="669"/>
      <c r="AML44" s="669"/>
      <c r="AMM44" s="669"/>
      <c r="AMN44" s="669"/>
      <c r="AMO44" s="669"/>
      <c r="AMP44" s="669"/>
      <c r="AMQ44" s="669"/>
      <c r="AMR44" s="669"/>
      <c r="AMS44" s="669"/>
      <c r="AMT44" s="669"/>
      <c r="AMU44" s="669"/>
      <c r="AMV44" s="669"/>
      <c r="AMW44" s="669"/>
      <c r="AMX44" s="669"/>
      <c r="AMY44" s="669"/>
      <c r="AMZ44" s="669"/>
      <c r="ANA44" s="669"/>
      <c r="ANB44" s="669"/>
      <c r="ANC44" s="669"/>
      <c r="AND44" s="669"/>
      <c r="ANE44" s="669"/>
      <c r="ANF44" s="669"/>
      <c r="ANG44" s="669"/>
      <c r="ANH44" s="669"/>
      <c r="ANI44" s="669"/>
      <c r="ANJ44" s="669"/>
      <c r="ANK44" s="669"/>
      <c r="ANL44" s="669"/>
      <c r="ANM44" s="669"/>
      <c r="ANN44" s="669"/>
      <c r="ANO44" s="669"/>
      <c r="ANP44" s="669"/>
      <c r="ANQ44" s="669"/>
      <c r="ANR44" s="669"/>
      <c r="ANS44" s="669"/>
      <c r="ANT44" s="669"/>
      <c r="ANU44" s="669"/>
      <c r="ANV44" s="669"/>
      <c r="ANW44" s="669"/>
      <c r="ANX44" s="669"/>
      <c r="ANY44" s="669"/>
      <c r="ANZ44" s="669"/>
      <c r="AOA44" s="669"/>
      <c r="AOB44" s="669"/>
      <c r="AOC44" s="669"/>
      <c r="AOD44" s="669"/>
      <c r="AOE44" s="669"/>
      <c r="AOF44" s="669"/>
      <c r="AOG44" s="669"/>
      <c r="AOH44" s="669"/>
      <c r="AOI44" s="669"/>
      <c r="AOJ44" s="669"/>
      <c r="AOK44" s="669"/>
      <c r="AOL44" s="669"/>
      <c r="AOM44" s="669"/>
      <c r="AON44" s="669"/>
      <c r="AOO44" s="669"/>
      <c r="AOP44" s="669"/>
      <c r="AOQ44" s="669"/>
      <c r="AOR44" s="669"/>
      <c r="AOS44" s="669"/>
      <c r="AOT44" s="669"/>
      <c r="AOU44" s="669"/>
      <c r="AOV44" s="669"/>
      <c r="AOW44" s="669"/>
      <c r="AOX44" s="669"/>
      <c r="AOY44" s="669"/>
      <c r="AOZ44" s="669"/>
      <c r="APA44" s="669"/>
      <c r="APB44" s="669"/>
      <c r="APC44" s="669"/>
      <c r="APD44" s="669"/>
      <c r="APE44" s="669"/>
      <c r="APF44" s="669"/>
      <c r="APG44" s="669"/>
      <c r="APH44" s="669"/>
      <c r="API44" s="669"/>
      <c r="APJ44" s="669"/>
      <c r="APK44" s="669"/>
      <c r="APL44" s="669"/>
      <c r="APM44" s="669"/>
      <c r="APN44" s="669"/>
      <c r="APO44" s="669"/>
      <c r="APP44" s="669"/>
      <c r="APQ44" s="669"/>
      <c r="APR44" s="669"/>
      <c r="APS44" s="669"/>
      <c r="APT44" s="669"/>
      <c r="APU44" s="669"/>
      <c r="APV44" s="669"/>
      <c r="APW44" s="669"/>
      <c r="APX44" s="669"/>
      <c r="APY44" s="669"/>
      <c r="APZ44" s="669"/>
      <c r="AQA44" s="669"/>
      <c r="AQB44" s="669"/>
      <c r="AQC44" s="669"/>
      <c r="AQD44" s="669"/>
      <c r="AQE44" s="669"/>
      <c r="AQF44" s="669"/>
      <c r="AQG44" s="669"/>
      <c r="AQH44" s="669"/>
      <c r="AQI44" s="669"/>
      <c r="AQJ44" s="669"/>
      <c r="AQK44" s="669"/>
      <c r="AQL44" s="669"/>
      <c r="AQM44" s="669"/>
      <c r="AQN44" s="669"/>
      <c r="AQO44" s="669"/>
      <c r="AQP44" s="669"/>
      <c r="AQQ44" s="669"/>
      <c r="AQR44" s="669"/>
      <c r="AQS44" s="669"/>
      <c r="AQT44" s="669"/>
      <c r="AQU44" s="669"/>
      <c r="AQV44" s="669"/>
      <c r="AQW44" s="669"/>
      <c r="AQX44" s="669"/>
      <c r="AQY44" s="669"/>
      <c r="AQZ44" s="669"/>
      <c r="ARA44" s="669"/>
      <c r="ARB44" s="669"/>
      <c r="ARC44" s="669"/>
      <c r="ARD44" s="669"/>
      <c r="ARE44" s="669"/>
      <c r="ARF44" s="669"/>
      <c r="ARG44" s="669"/>
      <c r="ARH44" s="669"/>
      <c r="ARI44" s="669"/>
      <c r="ARJ44" s="669"/>
      <c r="ARK44" s="669"/>
      <c r="ARL44" s="669"/>
      <c r="ARM44" s="669"/>
      <c r="ARN44" s="669"/>
      <c r="ARO44" s="669"/>
      <c r="ARP44" s="669"/>
      <c r="ARQ44" s="669"/>
      <c r="ARR44" s="669"/>
      <c r="ARS44" s="669"/>
      <c r="ART44" s="669"/>
      <c r="ARU44" s="669"/>
      <c r="ARV44" s="669"/>
      <c r="ARW44" s="669"/>
      <c r="ARX44" s="669"/>
      <c r="ARY44" s="669"/>
      <c r="ARZ44" s="669"/>
      <c r="ASA44" s="669"/>
      <c r="ASB44" s="669"/>
      <c r="ASC44" s="669"/>
      <c r="ASD44" s="669"/>
      <c r="ASE44" s="669"/>
      <c r="ASF44" s="669"/>
      <c r="ASG44" s="669"/>
      <c r="ASH44" s="669"/>
      <c r="ASI44" s="669"/>
      <c r="ASJ44" s="669"/>
      <c r="ASK44" s="669"/>
      <c r="ASL44" s="669"/>
      <c r="ASM44" s="669"/>
      <c r="ASN44" s="669"/>
      <c r="ASO44" s="669"/>
      <c r="ASP44" s="669"/>
      <c r="ASQ44" s="669"/>
      <c r="ASR44" s="669"/>
      <c r="ASS44" s="669"/>
      <c r="AST44" s="669"/>
      <c r="ASU44" s="669"/>
      <c r="ASV44" s="669"/>
      <c r="ASW44" s="669"/>
      <c r="ASX44" s="669"/>
      <c r="ASY44" s="669"/>
      <c r="ASZ44" s="669"/>
      <c r="ATA44" s="669"/>
      <c r="ATB44" s="669"/>
      <c r="ATC44" s="669"/>
      <c r="ATD44" s="669"/>
      <c r="ATE44" s="669"/>
      <c r="ATF44" s="669"/>
      <c r="ATG44" s="669"/>
      <c r="ATH44" s="669"/>
      <c r="ATI44" s="669"/>
      <c r="ATJ44" s="669"/>
      <c r="ATK44" s="669"/>
      <c r="ATL44" s="669"/>
      <c r="ATM44" s="669"/>
      <c r="ATN44" s="669"/>
      <c r="ATO44" s="669"/>
      <c r="ATP44" s="669"/>
      <c r="ATQ44" s="669"/>
      <c r="ATR44" s="669"/>
      <c r="ATS44" s="669"/>
      <c r="ATT44" s="669"/>
      <c r="ATU44" s="669"/>
      <c r="ATV44" s="669"/>
      <c r="ATW44" s="669"/>
      <c r="ATX44" s="669"/>
      <c r="ATY44" s="669"/>
      <c r="ATZ44" s="669"/>
      <c r="AUA44" s="669"/>
      <c r="AUB44" s="669"/>
      <c r="AUC44" s="669"/>
      <c r="AUD44" s="669"/>
      <c r="AUE44" s="669"/>
      <c r="AUF44" s="669"/>
      <c r="AUG44" s="669"/>
      <c r="AUH44" s="669"/>
      <c r="AUI44" s="669"/>
      <c r="AUJ44" s="669"/>
      <c r="AUK44" s="669"/>
      <c r="AUL44" s="669"/>
      <c r="AUM44" s="669"/>
      <c r="AUN44" s="669"/>
      <c r="AUO44" s="669"/>
      <c r="AUP44" s="669"/>
      <c r="AUQ44" s="669"/>
      <c r="AUR44" s="669"/>
      <c r="AUS44" s="669"/>
      <c r="AUT44" s="669"/>
      <c r="AUU44" s="669"/>
      <c r="AUV44" s="669"/>
      <c r="AUW44" s="669"/>
      <c r="AUX44" s="669"/>
      <c r="AUY44" s="669"/>
      <c r="AUZ44" s="669"/>
      <c r="AVA44" s="669"/>
      <c r="AVB44" s="669"/>
      <c r="AVC44" s="669"/>
      <c r="AVD44" s="669"/>
      <c r="AVE44" s="669"/>
      <c r="AVF44" s="669"/>
      <c r="AVG44" s="669"/>
      <c r="AVH44" s="669"/>
      <c r="AVI44" s="669"/>
      <c r="AVJ44" s="669"/>
      <c r="AVK44" s="669"/>
      <c r="AVL44" s="669"/>
      <c r="AVM44" s="669"/>
      <c r="AVN44" s="669"/>
      <c r="AVO44" s="669"/>
      <c r="AVP44" s="669"/>
      <c r="AVQ44" s="669"/>
      <c r="AVR44" s="669"/>
      <c r="AVS44" s="669"/>
      <c r="AVT44" s="669"/>
      <c r="AVU44" s="669"/>
      <c r="AVV44" s="669"/>
      <c r="AVW44" s="669"/>
      <c r="AVX44" s="669"/>
      <c r="AVY44" s="669"/>
      <c r="AVZ44" s="669"/>
      <c r="AWA44" s="669"/>
      <c r="AWB44" s="669"/>
      <c r="AWC44" s="669"/>
      <c r="AWD44" s="669"/>
      <c r="AWE44" s="669"/>
      <c r="AWF44" s="669"/>
      <c r="AWG44" s="669"/>
      <c r="AWH44" s="669"/>
      <c r="AWI44" s="669"/>
      <c r="AWJ44" s="669"/>
      <c r="AWK44" s="669"/>
      <c r="AWL44" s="669"/>
      <c r="AWM44" s="669"/>
      <c r="AWN44" s="669"/>
      <c r="AWO44" s="669"/>
      <c r="AWP44" s="669"/>
      <c r="AWQ44" s="669"/>
      <c r="AWR44" s="669"/>
      <c r="AWS44" s="669"/>
      <c r="AWT44" s="669"/>
      <c r="AWU44" s="669"/>
      <c r="AWV44" s="669"/>
      <c r="AWW44" s="669"/>
      <c r="AWX44" s="669"/>
      <c r="AWY44" s="669"/>
      <c r="AWZ44" s="669"/>
      <c r="AXA44" s="669"/>
      <c r="AXB44" s="669"/>
      <c r="AXC44" s="669"/>
      <c r="AXD44" s="669"/>
      <c r="AXE44" s="669"/>
      <c r="AXF44" s="669"/>
      <c r="AXG44" s="669"/>
      <c r="AXH44" s="669"/>
      <c r="AXI44" s="669"/>
      <c r="AXJ44" s="669"/>
      <c r="AXK44" s="669"/>
      <c r="AXL44" s="669"/>
      <c r="AXM44" s="669"/>
      <c r="AXN44" s="669"/>
      <c r="AXO44" s="669"/>
      <c r="AXP44" s="669"/>
      <c r="AXQ44" s="669"/>
      <c r="AXR44" s="669"/>
      <c r="AXS44" s="669"/>
      <c r="AXT44" s="669"/>
      <c r="AXU44" s="669"/>
      <c r="AXV44" s="669"/>
      <c r="AXW44" s="669"/>
      <c r="AXX44" s="669"/>
      <c r="AXY44" s="669"/>
      <c r="AXZ44" s="669"/>
      <c r="AYA44" s="669"/>
      <c r="AYB44" s="669"/>
      <c r="AYC44" s="669"/>
      <c r="AYD44" s="669"/>
      <c r="AYE44" s="669"/>
      <c r="AYF44" s="669"/>
      <c r="AYG44" s="669"/>
      <c r="AYH44" s="669"/>
      <c r="AYI44" s="669"/>
      <c r="AYJ44" s="669"/>
      <c r="AYK44" s="669"/>
      <c r="AYL44" s="669"/>
      <c r="AYM44" s="669"/>
      <c r="AYN44" s="669"/>
      <c r="AYO44" s="669"/>
      <c r="AYP44" s="669"/>
      <c r="AYQ44" s="669"/>
      <c r="AYR44" s="669"/>
      <c r="AYS44" s="669"/>
      <c r="AYT44" s="669"/>
      <c r="AYU44" s="669"/>
      <c r="AYV44" s="669"/>
      <c r="AYW44" s="669"/>
      <c r="AYX44" s="669"/>
      <c r="AYY44" s="669"/>
      <c r="AYZ44" s="669"/>
      <c r="AZA44" s="669"/>
      <c r="AZB44" s="669"/>
      <c r="AZC44" s="669"/>
      <c r="AZD44" s="669"/>
      <c r="AZE44" s="669"/>
      <c r="AZF44" s="669"/>
      <c r="AZG44" s="669"/>
      <c r="AZH44" s="669"/>
      <c r="AZI44" s="669"/>
      <c r="AZJ44" s="669"/>
      <c r="AZK44" s="669"/>
      <c r="AZL44" s="669"/>
      <c r="AZM44" s="669"/>
      <c r="AZN44" s="669"/>
      <c r="AZO44" s="669"/>
      <c r="AZP44" s="669"/>
      <c r="AZQ44" s="669"/>
      <c r="AZR44" s="669"/>
      <c r="AZS44" s="669"/>
      <c r="AZT44" s="669"/>
      <c r="AZU44" s="669"/>
      <c r="AZV44" s="669"/>
      <c r="AZW44" s="669"/>
      <c r="AZX44" s="669"/>
      <c r="AZY44" s="669"/>
      <c r="AZZ44" s="669"/>
      <c r="BAA44" s="669"/>
      <c r="BAB44" s="669"/>
      <c r="BAC44" s="669"/>
      <c r="BAD44" s="669"/>
      <c r="BAE44" s="669"/>
      <c r="BAF44" s="669"/>
      <c r="BAG44" s="669"/>
      <c r="BAH44" s="669"/>
      <c r="BAI44" s="669"/>
      <c r="BAJ44" s="669"/>
      <c r="BAK44" s="669"/>
      <c r="BAL44" s="669"/>
      <c r="BAM44" s="669"/>
      <c r="BAN44" s="669"/>
      <c r="BAO44" s="669"/>
      <c r="BAP44" s="669"/>
      <c r="BAQ44" s="669"/>
      <c r="BAR44" s="669"/>
      <c r="BAS44" s="669"/>
      <c r="BAT44" s="669"/>
      <c r="BAU44" s="669"/>
      <c r="BAV44" s="669"/>
      <c r="BAW44" s="669"/>
      <c r="BAX44" s="669"/>
      <c r="BAY44" s="669"/>
      <c r="BAZ44" s="669"/>
      <c r="BBA44" s="669"/>
      <c r="BBB44" s="669"/>
      <c r="BBC44" s="669"/>
      <c r="BBD44" s="669"/>
      <c r="BBE44" s="669"/>
      <c r="BBF44" s="669"/>
      <c r="BBG44" s="669"/>
      <c r="BBH44" s="669"/>
      <c r="BBI44" s="669"/>
      <c r="BBJ44" s="669"/>
      <c r="BBK44" s="669"/>
      <c r="BBL44" s="669"/>
      <c r="BBM44" s="669"/>
      <c r="BBN44" s="669"/>
      <c r="BBO44" s="669"/>
      <c r="BBP44" s="669"/>
      <c r="BBQ44" s="669"/>
      <c r="BBR44" s="669"/>
      <c r="BBS44" s="669"/>
      <c r="BBT44" s="669"/>
      <c r="BBU44" s="669"/>
      <c r="BBV44" s="669"/>
      <c r="BBW44" s="669"/>
      <c r="BBX44" s="669"/>
      <c r="BBY44" s="669"/>
      <c r="BBZ44" s="669"/>
      <c r="BCA44" s="669"/>
      <c r="BCB44" s="669"/>
      <c r="BCC44" s="669"/>
      <c r="BCD44" s="669"/>
      <c r="BCE44" s="669"/>
      <c r="BCF44" s="669"/>
      <c r="BCG44" s="669"/>
      <c r="BCH44" s="669"/>
      <c r="BCI44" s="669"/>
      <c r="BCJ44" s="669"/>
      <c r="BCK44" s="669"/>
      <c r="BCL44" s="669"/>
      <c r="BCM44" s="669"/>
      <c r="BCN44" s="669"/>
      <c r="BCO44" s="669"/>
      <c r="BCP44" s="669"/>
      <c r="BCQ44" s="669"/>
      <c r="BCR44" s="669"/>
      <c r="BCS44" s="669"/>
      <c r="BCT44" s="669"/>
      <c r="BCU44" s="669"/>
      <c r="BCV44" s="669"/>
      <c r="BCW44" s="669"/>
      <c r="BCX44" s="669"/>
      <c r="BCY44" s="669"/>
      <c r="BCZ44" s="669"/>
      <c r="BDA44" s="669"/>
      <c r="BDB44" s="669"/>
      <c r="BDC44" s="669"/>
      <c r="BDD44" s="669"/>
      <c r="BDE44" s="669"/>
      <c r="BDF44" s="669"/>
      <c r="BDG44" s="669"/>
      <c r="BDH44" s="669"/>
      <c r="BDI44" s="669"/>
      <c r="BDJ44" s="669"/>
      <c r="BDK44" s="669"/>
      <c r="BDL44" s="669"/>
      <c r="BDM44" s="669"/>
      <c r="BDN44" s="669"/>
      <c r="BDO44" s="669"/>
      <c r="BDP44" s="669"/>
      <c r="BDQ44" s="669"/>
      <c r="BDR44" s="669"/>
      <c r="BDS44" s="669"/>
      <c r="BDT44" s="669"/>
      <c r="BDU44" s="669"/>
      <c r="BDV44" s="669"/>
      <c r="BDW44" s="669"/>
      <c r="BDX44" s="669"/>
      <c r="BDY44" s="669"/>
      <c r="BDZ44" s="669"/>
      <c r="BEA44" s="669"/>
      <c r="BEB44" s="669"/>
      <c r="BEC44" s="669"/>
      <c r="BED44" s="669"/>
      <c r="BEE44" s="669"/>
      <c r="BEF44" s="669"/>
      <c r="BEG44" s="669"/>
      <c r="BEH44" s="669"/>
      <c r="BEI44" s="669"/>
      <c r="BEJ44" s="669"/>
      <c r="BEK44" s="669"/>
      <c r="BEL44" s="669"/>
      <c r="BEM44" s="669"/>
      <c r="BEN44" s="669"/>
      <c r="BEO44" s="669"/>
      <c r="BEP44" s="669"/>
      <c r="BEQ44" s="669"/>
      <c r="BER44" s="669"/>
      <c r="BES44" s="669"/>
      <c r="BET44" s="669"/>
      <c r="BEU44" s="669"/>
      <c r="BEV44" s="669"/>
      <c r="BEW44" s="669"/>
      <c r="BEX44" s="669"/>
      <c r="BEY44" s="669"/>
      <c r="BEZ44" s="669"/>
      <c r="BFA44" s="669"/>
      <c r="BFB44" s="669"/>
      <c r="BFC44" s="669"/>
      <c r="BFD44" s="669"/>
      <c r="BFE44" s="669"/>
      <c r="BFF44" s="669"/>
      <c r="BFG44" s="669"/>
      <c r="BFH44" s="669"/>
      <c r="BFI44" s="669"/>
      <c r="BFJ44" s="669"/>
      <c r="BFK44" s="669"/>
      <c r="BFL44" s="669"/>
      <c r="BFM44" s="669"/>
      <c r="BFN44" s="669"/>
      <c r="BFO44" s="669"/>
      <c r="BFP44" s="669"/>
      <c r="BFQ44" s="669"/>
      <c r="BFR44" s="669"/>
      <c r="BFS44" s="669"/>
      <c r="BFT44" s="669"/>
      <c r="BFU44" s="669"/>
      <c r="BFV44" s="669"/>
      <c r="BFW44" s="669"/>
      <c r="BFX44" s="669"/>
      <c r="BFY44" s="669"/>
      <c r="BFZ44" s="669"/>
      <c r="BGA44" s="669"/>
      <c r="BGB44" s="669"/>
      <c r="BGC44" s="669"/>
      <c r="BGD44" s="669"/>
      <c r="BGE44" s="669"/>
      <c r="BGF44" s="669"/>
      <c r="BGG44" s="669"/>
      <c r="BGH44" s="669"/>
      <c r="BGI44" s="669"/>
      <c r="BGJ44" s="669"/>
      <c r="BGK44" s="669"/>
      <c r="BGL44" s="669"/>
      <c r="BGM44" s="669"/>
      <c r="BGN44" s="669"/>
      <c r="BGO44" s="669"/>
      <c r="BGP44" s="669"/>
      <c r="BGQ44" s="669"/>
      <c r="BGR44" s="669"/>
      <c r="BGS44" s="669"/>
      <c r="BGT44" s="669"/>
      <c r="BGU44" s="669"/>
      <c r="BGV44" s="669"/>
      <c r="BGW44" s="669"/>
      <c r="BGX44" s="669"/>
      <c r="BGY44" s="669"/>
      <c r="BGZ44" s="669"/>
      <c r="BHA44" s="669"/>
      <c r="BHB44" s="669"/>
      <c r="BHC44" s="669"/>
      <c r="BHD44" s="669"/>
      <c r="BHE44" s="669"/>
      <c r="BHF44" s="669"/>
      <c r="BHG44" s="669"/>
      <c r="BHH44" s="669"/>
      <c r="BHI44" s="669"/>
      <c r="BHJ44" s="669"/>
      <c r="BHK44" s="669"/>
      <c r="BHL44" s="669"/>
      <c r="BHM44" s="669"/>
      <c r="BHN44" s="669"/>
      <c r="BHO44" s="669"/>
      <c r="BHP44" s="669"/>
      <c r="BHQ44" s="669"/>
      <c r="BHR44" s="669"/>
      <c r="BHS44" s="669"/>
      <c r="BHT44" s="669"/>
      <c r="BHU44" s="669"/>
      <c r="BHV44" s="669"/>
      <c r="BHW44" s="669"/>
      <c r="BHX44" s="669"/>
      <c r="BHY44" s="669"/>
      <c r="BHZ44" s="669"/>
      <c r="BIA44" s="669"/>
      <c r="BIB44" s="669"/>
      <c r="BIC44" s="669"/>
      <c r="BID44" s="669"/>
      <c r="BIE44" s="669"/>
      <c r="BIF44" s="669"/>
      <c r="BIG44" s="669"/>
      <c r="BIH44" s="669"/>
      <c r="BII44" s="669"/>
      <c r="BIJ44" s="669"/>
      <c r="BIK44" s="669"/>
      <c r="BIL44" s="669"/>
      <c r="BIM44" s="669"/>
      <c r="BIN44" s="669"/>
      <c r="BIO44" s="669"/>
      <c r="BIP44" s="669"/>
      <c r="BIQ44" s="669"/>
      <c r="BIR44" s="669"/>
      <c r="BIS44" s="669"/>
      <c r="BIT44" s="669"/>
      <c r="BIU44" s="669"/>
      <c r="BIV44" s="669"/>
      <c r="BIW44" s="669"/>
      <c r="BIX44" s="669"/>
      <c r="BIY44" s="669"/>
      <c r="BIZ44" s="669"/>
      <c r="BJA44" s="669"/>
      <c r="BJB44" s="669"/>
      <c r="BJC44" s="669"/>
      <c r="BJD44" s="669"/>
      <c r="BJE44" s="669"/>
      <c r="BJF44" s="669"/>
      <c r="BJG44" s="669"/>
      <c r="BJH44" s="669"/>
      <c r="BJI44" s="669"/>
      <c r="BJJ44" s="669"/>
      <c r="BJK44" s="669"/>
      <c r="BJL44" s="669"/>
      <c r="BJM44" s="669"/>
      <c r="BJN44" s="669"/>
      <c r="BJO44" s="669"/>
      <c r="BJP44" s="669"/>
      <c r="BJQ44" s="669"/>
      <c r="BJR44" s="669"/>
      <c r="BJS44" s="669"/>
      <c r="BJT44" s="669"/>
      <c r="BJU44" s="669"/>
      <c r="BJV44" s="669"/>
      <c r="BJW44" s="669"/>
      <c r="BJX44" s="669"/>
      <c r="BJY44" s="669"/>
      <c r="BJZ44" s="669"/>
      <c r="BKA44" s="669"/>
      <c r="BKB44" s="669"/>
      <c r="BKC44" s="669"/>
      <c r="BKD44" s="669"/>
      <c r="BKE44" s="669"/>
      <c r="BKF44" s="669"/>
      <c r="BKG44" s="669"/>
      <c r="BKH44" s="669"/>
      <c r="BKI44" s="669"/>
      <c r="BKJ44" s="669"/>
      <c r="BKK44" s="669"/>
      <c r="BKL44" s="669"/>
      <c r="BKM44" s="669"/>
      <c r="BKN44" s="669"/>
      <c r="BKO44" s="669"/>
      <c r="BKP44" s="669"/>
      <c r="BKQ44" s="669"/>
      <c r="BKR44" s="669"/>
      <c r="BKS44" s="669"/>
      <c r="BKT44" s="669"/>
      <c r="BKU44" s="669"/>
      <c r="BKV44" s="669"/>
      <c r="BKW44" s="669"/>
      <c r="BKX44" s="669"/>
      <c r="BKY44" s="669"/>
      <c r="BKZ44" s="669"/>
      <c r="BLA44" s="669"/>
      <c r="BLB44" s="669"/>
      <c r="BLC44" s="669"/>
      <c r="BLD44" s="669"/>
      <c r="BLE44" s="669"/>
      <c r="BLF44" s="669"/>
      <c r="BLG44" s="669"/>
      <c r="BLH44" s="669"/>
      <c r="BLI44" s="669"/>
      <c r="BLJ44" s="669"/>
      <c r="BLK44" s="669"/>
      <c r="BLL44" s="669"/>
      <c r="BLM44" s="669"/>
      <c r="BLN44" s="669"/>
      <c r="BLO44" s="669"/>
      <c r="BLP44" s="669"/>
      <c r="BLQ44" s="669"/>
      <c r="BLR44" s="669"/>
      <c r="BLS44" s="669"/>
      <c r="BLT44" s="669"/>
      <c r="BLU44" s="669"/>
      <c r="BLV44" s="669"/>
      <c r="BLW44" s="669"/>
      <c r="BLX44" s="669"/>
      <c r="BLY44" s="669"/>
      <c r="BLZ44" s="669"/>
      <c r="BMA44" s="669"/>
      <c r="BMB44" s="669"/>
      <c r="BMC44" s="669"/>
      <c r="BMD44" s="669"/>
      <c r="BME44" s="669"/>
      <c r="BMF44" s="669"/>
      <c r="BMG44" s="669"/>
      <c r="BMH44" s="669"/>
      <c r="BMI44" s="669"/>
      <c r="BMJ44" s="669"/>
      <c r="BMK44" s="669"/>
      <c r="BML44" s="669"/>
      <c r="BMM44" s="669"/>
      <c r="BMN44" s="669"/>
      <c r="BMO44" s="669"/>
      <c r="BMP44" s="669"/>
      <c r="BMQ44" s="669"/>
      <c r="BMR44" s="669"/>
      <c r="BMS44" s="669"/>
      <c r="BMT44" s="669"/>
      <c r="BMU44" s="669"/>
      <c r="BMV44" s="669"/>
      <c r="BMW44" s="669"/>
      <c r="BMX44" s="669"/>
      <c r="BMY44" s="669"/>
      <c r="BMZ44" s="669"/>
      <c r="BNA44" s="669"/>
      <c r="BNB44" s="669"/>
      <c r="BNC44" s="669"/>
      <c r="BND44" s="669"/>
      <c r="BNE44" s="669"/>
      <c r="BNF44" s="669"/>
      <c r="BNG44" s="669"/>
      <c r="BNH44" s="669"/>
      <c r="BNI44" s="669"/>
      <c r="BNJ44" s="669"/>
      <c r="BNK44" s="669"/>
      <c r="BNL44" s="669"/>
      <c r="BNM44" s="669"/>
      <c r="BNN44" s="669"/>
      <c r="BNO44" s="669"/>
      <c r="BNP44" s="669"/>
      <c r="BNQ44" s="669"/>
      <c r="BNR44" s="669"/>
      <c r="BNS44" s="669"/>
      <c r="BNT44" s="669"/>
      <c r="BNU44" s="669"/>
      <c r="BNV44" s="669"/>
      <c r="BNW44" s="669"/>
      <c r="BNX44" s="669"/>
      <c r="BNY44" s="669"/>
      <c r="BNZ44" s="669"/>
      <c r="BOA44" s="669"/>
      <c r="BOB44" s="669"/>
      <c r="BOC44" s="669"/>
      <c r="BOD44" s="669"/>
      <c r="BOE44" s="669"/>
      <c r="BOF44" s="669"/>
      <c r="BOG44" s="669"/>
      <c r="BOH44" s="669"/>
      <c r="BOI44" s="669"/>
      <c r="BOJ44" s="669"/>
      <c r="BOK44" s="669"/>
      <c r="BOL44" s="669"/>
      <c r="BOM44" s="669"/>
      <c r="BON44" s="669"/>
      <c r="BOO44" s="669"/>
      <c r="BOP44" s="669"/>
      <c r="BOQ44" s="669"/>
      <c r="BOR44" s="669"/>
      <c r="BOS44" s="669"/>
      <c r="BOT44" s="669"/>
      <c r="BOU44" s="669"/>
      <c r="BOV44" s="669"/>
      <c r="BOW44" s="669"/>
      <c r="BOX44" s="669"/>
      <c r="BOY44" s="669"/>
      <c r="BOZ44" s="669"/>
      <c r="BPA44" s="669"/>
      <c r="BPB44" s="669"/>
      <c r="BPC44" s="669"/>
      <c r="BPD44" s="669"/>
      <c r="BPE44" s="669"/>
      <c r="BPF44" s="669"/>
      <c r="BPG44" s="669"/>
      <c r="BPH44" s="669"/>
      <c r="BPI44" s="669"/>
      <c r="BPJ44" s="669"/>
      <c r="BPK44" s="669"/>
      <c r="BPL44" s="669"/>
      <c r="BPM44" s="669"/>
      <c r="BPN44" s="669"/>
      <c r="BPO44" s="669"/>
      <c r="BPP44" s="669"/>
      <c r="BPQ44" s="669"/>
      <c r="BPR44" s="669"/>
      <c r="BPS44" s="669"/>
      <c r="BPT44" s="669"/>
      <c r="BPU44" s="669"/>
      <c r="BPV44" s="669"/>
      <c r="BPW44" s="669"/>
      <c r="BPX44" s="669"/>
      <c r="BPY44" s="669"/>
      <c r="BPZ44" s="669"/>
      <c r="BQA44" s="669"/>
      <c r="BQB44" s="669"/>
      <c r="BQC44" s="669"/>
      <c r="BQD44" s="669"/>
      <c r="BQE44" s="669"/>
      <c r="BQF44" s="669"/>
      <c r="BQG44" s="669"/>
      <c r="BQH44" s="669"/>
      <c r="BQI44" s="669"/>
      <c r="BQJ44" s="669"/>
      <c r="BQK44" s="669"/>
      <c r="BQL44" s="669"/>
      <c r="BQM44" s="669"/>
      <c r="BQN44" s="669"/>
      <c r="BQO44" s="669"/>
      <c r="BQP44" s="669"/>
      <c r="BQQ44" s="669"/>
      <c r="BQR44" s="669"/>
      <c r="BQS44" s="669"/>
      <c r="BQT44" s="669"/>
      <c r="BQU44" s="669"/>
      <c r="BQV44" s="669"/>
      <c r="BQW44" s="669"/>
      <c r="BQX44" s="669"/>
      <c r="BQY44" s="669"/>
      <c r="BQZ44" s="669"/>
      <c r="BRA44" s="669"/>
      <c r="BRB44" s="669"/>
      <c r="BRC44" s="669"/>
      <c r="BRD44" s="669"/>
      <c r="BRE44" s="669"/>
      <c r="BRF44" s="669"/>
      <c r="BRG44" s="669"/>
      <c r="BRH44" s="669"/>
      <c r="BRI44" s="669"/>
      <c r="BRJ44" s="669"/>
      <c r="BRK44" s="669"/>
      <c r="BRL44" s="669"/>
      <c r="BRM44" s="669"/>
      <c r="BRN44" s="669"/>
      <c r="BRO44" s="669"/>
      <c r="BRP44" s="669"/>
      <c r="BRQ44" s="669"/>
      <c r="BRR44" s="669"/>
      <c r="BRS44" s="669"/>
      <c r="BRT44" s="669"/>
      <c r="BRU44" s="669"/>
      <c r="BRV44" s="669"/>
      <c r="BRW44" s="669"/>
      <c r="BRX44" s="669"/>
      <c r="BRY44" s="669"/>
      <c r="BRZ44" s="669"/>
      <c r="BSA44" s="669"/>
      <c r="BSB44" s="669"/>
      <c r="BSC44" s="669"/>
      <c r="BSD44" s="669"/>
      <c r="BSE44" s="669"/>
      <c r="BSF44" s="669"/>
      <c r="BSG44" s="669"/>
      <c r="BSH44" s="669"/>
      <c r="BSI44" s="669"/>
      <c r="BSJ44" s="669"/>
      <c r="BSK44" s="669"/>
      <c r="BSL44" s="669"/>
      <c r="BSM44" s="669"/>
      <c r="BSN44" s="669"/>
      <c r="BSO44" s="669"/>
      <c r="BSP44" s="669"/>
      <c r="BSQ44" s="669"/>
      <c r="BSR44" s="669"/>
      <c r="BSS44" s="669"/>
      <c r="BST44" s="669"/>
      <c r="BSU44" s="669"/>
      <c r="BSV44" s="669"/>
      <c r="BSW44" s="669"/>
      <c r="BSX44" s="669"/>
      <c r="BSY44" s="669"/>
      <c r="BSZ44" s="669"/>
      <c r="BTA44" s="669"/>
      <c r="BTB44" s="669"/>
      <c r="BTC44" s="669"/>
      <c r="BTD44" s="669"/>
      <c r="BTE44" s="669"/>
      <c r="BTF44" s="669"/>
      <c r="BTG44" s="669"/>
      <c r="BTH44" s="669"/>
      <c r="BTI44" s="669"/>
      <c r="BTJ44" s="669"/>
      <c r="BTK44" s="669"/>
      <c r="BTL44" s="669"/>
      <c r="BTM44" s="669"/>
      <c r="BTN44" s="669"/>
      <c r="BTO44" s="669"/>
      <c r="BTP44" s="669"/>
      <c r="BTQ44" s="669"/>
      <c r="BTR44" s="669"/>
      <c r="BTS44" s="669"/>
      <c r="BTT44" s="669"/>
      <c r="BTU44" s="669"/>
      <c r="BTV44" s="669"/>
      <c r="BTW44" s="669"/>
      <c r="BTX44" s="669"/>
      <c r="BTY44" s="669"/>
      <c r="BTZ44" s="669"/>
      <c r="BUA44" s="669"/>
      <c r="BUB44" s="669"/>
      <c r="BUC44" s="669"/>
      <c r="BUD44" s="669"/>
      <c r="BUE44" s="669"/>
      <c r="BUF44" s="669"/>
      <c r="BUG44" s="669"/>
      <c r="BUH44" s="669"/>
      <c r="BUI44" s="669"/>
      <c r="BUJ44" s="669"/>
      <c r="BUK44" s="669"/>
      <c r="BUL44" s="669"/>
      <c r="BUM44" s="669"/>
      <c r="BUN44" s="669"/>
      <c r="BUO44" s="669"/>
      <c r="BUP44" s="669"/>
      <c r="BUQ44" s="669"/>
      <c r="BUR44" s="669"/>
      <c r="BUS44" s="669"/>
      <c r="BUT44" s="669"/>
      <c r="BUU44" s="669"/>
      <c r="BUV44" s="669"/>
      <c r="BUW44" s="669"/>
      <c r="BUX44" s="669"/>
      <c r="BUY44" s="669"/>
      <c r="BUZ44" s="669"/>
      <c r="BVA44" s="669"/>
      <c r="BVB44" s="669"/>
      <c r="BVC44" s="669"/>
      <c r="BVD44" s="669"/>
      <c r="BVE44" s="669"/>
      <c r="BVF44" s="669"/>
      <c r="BVG44" s="669"/>
      <c r="BVH44" s="669"/>
      <c r="BVI44" s="669"/>
      <c r="BVJ44" s="669"/>
      <c r="BVK44" s="669"/>
      <c r="BVL44" s="669"/>
      <c r="BVM44" s="669"/>
      <c r="BVN44" s="669"/>
      <c r="BVO44" s="669"/>
      <c r="BVP44" s="669"/>
      <c r="BVQ44" s="669"/>
      <c r="BVR44" s="669"/>
      <c r="BVS44" s="669"/>
      <c r="BVT44" s="669"/>
      <c r="BVU44" s="669"/>
      <c r="BVV44" s="669"/>
      <c r="BVW44" s="669"/>
      <c r="BVX44" s="669"/>
      <c r="BVY44" s="669"/>
      <c r="BVZ44" s="669"/>
      <c r="BWA44" s="669"/>
      <c r="BWB44" s="669"/>
      <c r="BWC44" s="669"/>
      <c r="BWD44" s="669"/>
      <c r="BWE44" s="669"/>
      <c r="BWF44" s="669"/>
      <c r="BWG44" s="669"/>
      <c r="BWH44" s="669"/>
      <c r="BWI44" s="669"/>
      <c r="BWJ44" s="669"/>
      <c r="BWK44" s="669"/>
      <c r="BWL44" s="669"/>
      <c r="BWM44" s="669"/>
      <c r="BWN44" s="669"/>
      <c r="BWO44" s="669"/>
      <c r="BWP44" s="669"/>
      <c r="BWQ44" s="669"/>
      <c r="BWR44" s="669"/>
      <c r="BWS44" s="669"/>
      <c r="BWT44" s="669"/>
      <c r="BWU44" s="669"/>
      <c r="BWV44" s="669"/>
      <c r="BWW44" s="669"/>
      <c r="BWX44" s="669"/>
      <c r="BWY44" s="669"/>
      <c r="BWZ44" s="669"/>
      <c r="BXA44" s="669"/>
      <c r="BXB44" s="669"/>
      <c r="BXC44" s="669"/>
      <c r="BXD44" s="669"/>
      <c r="BXE44" s="669"/>
      <c r="BXF44" s="669"/>
      <c r="BXG44" s="669"/>
      <c r="BXH44" s="669"/>
      <c r="BXI44" s="669"/>
      <c r="BXJ44" s="669"/>
      <c r="BXK44" s="669"/>
      <c r="BXL44" s="669"/>
      <c r="BXM44" s="669"/>
      <c r="BXN44" s="669"/>
      <c r="BXO44" s="669"/>
      <c r="BXP44" s="669"/>
      <c r="BXQ44" s="669"/>
      <c r="BXR44" s="669"/>
      <c r="BXS44" s="669"/>
      <c r="BXT44" s="669"/>
      <c r="BXU44" s="669"/>
      <c r="BXV44" s="669"/>
      <c r="BXW44" s="669"/>
      <c r="BXX44" s="669"/>
      <c r="BXY44" s="669"/>
      <c r="BXZ44" s="669"/>
      <c r="BYA44" s="669"/>
      <c r="BYB44" s="669"/>
      <c r="BYC44" s="669"/>
      <c r="BYD44" s="669"/>
      <c r="BYE44" s="669"/>
      <c r="BYF44" s="669"/>
      <c r="BYG44" s="669"/>
      <c r="BYH44" s="669"/>
      <c r="BYI44" s="669"/>
      <c r="BYJ44" s="669"/>
      <c r="BYK44" s="669"/>
      <c r="BYL44" s="669"/>
      <c r="BYM44" s="669"/>
      <c r="BYN44" s="669"/>
      <c r="BYO44" s="669"/>
      <c r="BYP44" s="669"/>
      <c r="BYQ44" s="669"/>
      <c r="BYR44" s="669"/>
      <c r="BYS44" s="669"/>
      <c r="BYT44" s="669"/>
      <c r="BYU44" s="669"/>
      <c r="BYV44" s="669"/>
      <c r="BYW44" s="669"/>
      <c r="BYX44" s="669"/>
      <c r="BYY44" s="669"/>
      <c r="BYZ44" s="669"/>
      <c r="BZA44" s="669"/>
      <c r="BZB44" s="669"/>
      <c r="BZC44" s="669"/>
      <c r="BZD44" s="669"/>
      <c r="BZE44" s="669"/>
      <c r="BZF44" s="669"/>
      <c r="BZG44" s="669"/>
      <c r="BZH44" s="669"/>
      <c r="BZI44" s="669"/>
      <c r="BZJ44" s="669"/>
      <c r="BZK44" s="669"/>
      <c r="BZL44" s="669"/>
      <c r="BZM44" s="669"/>
      <c r="BZN44" s="669"/>
      <c r="BZO44" s="669"/>
      <c r="BZP44" s="669"/>
      <c r="BZQ44" s="669"/>
      <c r="BZR44" s="669"/>
      <c r="BZS44" s="669"/>
      <c r="BZT44" s="669"/>
      <c r="BZU44" s="669"/>
      <c r="BZV44" s="669"/>
      <c r="BZW44" s="669"/>
      <c r="BZX44" s="669"/>
      <c r="BZY44" s="669"/>
      <c r="BZZ44" s="669"/>
      <c r="CAA44" s="669"/>
      <c r="CAB44" s="669"/>
      <c r="CAC44" s="669"/>
      <c r="CAD44" s="669"/>
      <c r="CAE44" s="669"/>
      <c r="CAF44" s="669"/>
      <c r="CAG44" s="669"/>
      <c r="CAH44" s="669"/>
      <c r="CAI44" s="669"/>
      <c r="CAJ44" s="669"/>
      <c r="CAK44" s="669"/>
      <c r="CAL44" s="669"/>
      <c r="CAM44" s="669"/>
      <c r="CAN44" s="669"/>
      <c r="CAO44" s="669"/>
      <c r="CAP44" s="669"/>
      <c r="CAQ44" s="669"/>
      <c r="CAR44" s="669"/>
      <c r="CAS44" s="669"/>
      <c r="CAT44" s="669"/>
      <c r="CAU44" s="669"/>
      <c r="CAV44" s="669"/>
      <c r="CAW44" s="669"/>
      <c r="CAX44" s="669"/>
      <c r="CAY44" s="669"/>
      <c r="CAZ44" s="669"/>
      <c r="CBA44" s="669"/>
      <c r="CBB44" s="669"/>
      <c r="CBC44" s="669"/>
      <c r="CBD44" s="669"/>
      <c r="CBE44" s="669"/>
      <c r="CBF44" s="669"/>
      <c r="CBG44" s="669"/>
      <c r="CBH44" s="669"/>
      <c r="CBI44" s="669"/>
      <c r="CBJ44" s="669"/>
      <c r="CBK44" s="669"/>
      <c r="CBL44" s="669"/>
      <c r="CBM44" s="669"/>
      <c r="CBN44" s="669"/>
      <c r="CBO44" s="669"/>
      <c r="CBP44" s="669"/>
      <c r="CBQ44" s="669"/>
      <c r="CBR44" s="669"/>
      <c r="CBS44" s="669"/>
      <c r="CBT44" s="669"/>
      <c r="CBU44" s="669"/>
      <c r="CBV44" s="669"/>
      <c r="CBW44" s="669"/>
      <c r="CBX44" s="669"/>
      <c r="CBY44" s="669"/>
      <c r="CBZ44" s="669"/>
      <c r="CCA44" s="669"/>
      <c r="CCB44" s="669"/>
      <c r="CCC44" s="669"/>
      <c r="CCD44" s="669"/>
      <c r="CCE44" s="669"/>
      <c r="CCF44" s="669"/>
      <c r="CCG44" s="669"/>
      <c r="CCH44" s="669"/>
      <c r="CCI44" s="669"/>
      <c r="CCJ44" s="669"/>
      <c r="CCK44" s="669"/>
      <c r="CCL44" s="669"/>
      <c r="CCM44" s="669"/>
      <c r="CCN44" s="669"/>
      <c r="CCO44" s="669"/>
      <c r="CCP44" s="669"/>
      <c r="CCQ44" s="669"/>
      <c r="CCR44" s="669"/>
      <c r="CCS44" s="669"/>
      <c r="CCT44" s="669"/>
      <c r="CCU44" s="669"/>
      <c r="CCV44" s="669"/>
      <c r="CCW44" s="669"/>
      <c r="CCX44" s="669"/>
      <c r="CCY44" s="669"/>
      <c r="CCZ44" s="669"/>
      <c r="CDA44" s="669"/>
      <c r="CDB44" s="669"/>
      <c r="CDC44" s="669"/>
      <c r="CDD44" s="669"/>
      <c r="CDE44" s="669"/>
      <c r="CDF44" s="669"/>
      <c r="CDG44" s="669"/>
      <c r="CDH44" s="669"/>
      <c r="CDI44" s="669"/>
      <c r="CDJ44" s="669"/>
      <c r="CDK44" s="669"/>
      <c r="CDL44" s="669"/>
      <c r="CDM44" s="669"/>
      <c r="CDN44" s="669"/>
      <c r="CDO44" s="669"/>
      <c r="CDP44" s="669"/>
      <c r="CDQ44" s="669"/>
      <c r="CDR44" s="669"/>
      <c r="CDS44" s="669"/>
      <c r="CDT44" s="669"/>
      <c r="CDU44" s="669"/>
      <c r="CDV44" s="669"/>
      <c r="CDW44" s="669"/>
      <c r="CDX44" s="669"/>
      <c r="CDY44" s="669"/>
      <c r="CDZ44" s="669"/>
      <c r="CEA44" s="669"/>
      <c r="CEB44" s="669"/>
      <c r="CEC44" s="669"/>
      <c r="CED44" s="669"/>
      <c r="CEE44" s="669"/>
      <c r="CEF44" s="669"/>
      <c r="CEG44" s="669"/>
      <c r="CEH44" s="669"/>
      <c r="CEI44" s="669"/>
      <c r="CEJ44" s="669"/>
      <c r="CEK44" s="669"/>
      <c r="CEL44" s="669"/>
      <c r="CEM44" s="669"/>
      <c r="CEN44" s="669"/>
      <c r="CEO44" s="669"/>
      <c r="CEP44" s="669"/>
      <c r="CEQ44" s="669"/>
      <c r="CER44" s="669"/>
      <c r="CES44" s="669"/>
      <c r="CET44" s="669"/>
      <c r="CEU44" s="669"/>
      <c r="CEV44" s="669"/>
      <c r="CEW44" s="669"/>
      <c r="CEX44" s="669"/>
      <c r="CEY44" s="669"/>
      <c r="CEZ44" s="669"/>
      <c r="CFA44" s="669"/>
      <c r="CFB44" s="669"/>
      <c r="CFC44" s="669"/>
      <c r="CFD44" s="669"/>
      <c r="CFE44" s="669"/>
      <c r="CFF44" s="669"/>
      <c r="CFG44" s="669"/>
      <c r="CFH44" s="669"/>
      <c r="CFI44" s="669"/>
      <c r="CFJ44" s="669"/>
      <c r="CFK44" s="669"/>
      <c r="CFL44" s="669"/>
      <c r="CFM44" s="669"/>
      <c r="CFN44" s="669"/>
      <c r="CFO44" s="669"/>
      <c r="CFP44" s="669"/>
      <c r="CFQ44" s="669"/>
      <c r="CFR44" s="669"/>
      <c r="CFS44" s="669"/>
      <c r="CFT44" s="669"/>
      <c r="CFU44" s="669"/>
      <c r="CFV44" s="669"/>
      <c r="CFW44" s="669"/>
      <c r="CFX44" s="669"/>
      <c r="CFY44" s="669"/>
      <c r="CFZ44" s="669"/>
      <c r="CGA44" s="669"/>
      <c r="CGB44" s="669"/>
      <c r="CGC44" s="669"/>
      <c r="CGD44" s="669"/>
      <c r="CGE44" s="669"/>
      <c r="CGF44" s="669"/>
      <c r="CGG44" s="669"/>
      <c r="CGH44" s="669"/>
      <c r="CGI44" s="669"/>
      <c r="CGJ44" s="669"/>
      <c r="CGK44" s="669"/>
      <c r="CGL44" s="669"/>
      <c r="CGM44" s="669"/>
      <c r="CGN44" s="669"/>
      <c r="CGO44" s="669"/>
      <c r="CGP44" s="669"/>
      <c r="CGQ44" s="669"/>
      <c r="CGR44" s="669"/>
      <c r="CGS44" s="669"/>
      <c r="CGT44" s="669"/>
      <c r="CGU44" s="669"/>
      <c r="CGV44" s="669"/>
      <c r="CGW44" s="669"/>
      <c r="CGX44" s="669"/>
      <c r="CGY44" s="669"/>
      <c r="CGZ44" s="669"/>
      <c r="CHA44" s="669"/>
      <c r="CHB44" s="669"/>
      <c r="CHC44" s="669"/>
      <c r="CHD44" s="669"/>
      <c r="CHE44" s="669"/>
      <c r="CHF44" s="669"/>
      <c r="CHG44" s="669"/>
      <c r="CHH44" s="669"/>
      <c r="CHI44" s="669"/>
      <c r="CHJ44" s="669"/>
      <c r="CHK44" s="669"/>
      <c r="CHL44" s="669"/>
      <c r="CHM44" s="669"/>
      <c r="CHN44" s="669"/>
      <c r="CHO44" s="669"/>
      <c r="CHP44" s="669"/>
      <c r="CHQ44" s="669"/>
      <c r="CHR44" s="669"/>
      <c r="CHS44" s="669"/>
      <c r="CHT44" s="669"/>
      <c r="CHU44" s="669"/>
      <c r="CHV44" s="669"/>
      <c r="CHW44" s="669"/>
      <c r="CHX44" s="669"/>
      <c r="CHY44" s="669"/>
      <c r="CHZ44" s="669"/>
      <c r="CIA44" s="669"/>
      <c r="CIB44" s="669"/>
      <c r="CIC44" s="669"/>
      <c r="CID44" s="669"/>
      <c r="CIE44" s="669"/>
      <c r="CIF44" s="669"/>
      <c r="CIG44" s="669"/>
      <c r="CIH44" s="669"/>
      <c r="CII44" s="669"/>
      <c r="CIJ44" s="669"/>
      <c r="CIK44" s="669"/>
      <c r="CIL44" s="669"/>
      <c r="CIM44" s="669"/>
      <c r="CIN44" s="669"/>
      <c r="CIO44" s="669"/>
      <c r="CIP44" s="669"/>
      <c r="CIQ44" s="669"/>
      <c r="CIR44" s="669"/>
      <c r="CIS44" s="669"/>
      <c r="CIT44" s="669"/>
      <c r="CIU44" s="669"/>
      <c r="CIV44" s="669"/>
      <c r="CIW44" s="669"/>
      <c r="CIX44" s="669"/>
      <c r="CIY44" s="669"/>
      <c r="CIZ44" s="669"/>
      <c r="CJA44" s="669"/>
      <c r="CJB44" s="669"/>
      <c r="CJC44" s="669"/>
      <c r="CJD44" s="669"/>
      <c r="CJE44" s="669"/>
      <c r="CJF44" s="669"/>
      <c r="CJG44" s="669"/>
      <c r="CJH44" s="669"/>
      <c r="CJI44" s="669"/>
      <c r="CJJ44" s="669"/>
      <c r="CJK44" s="669"/>
      <c r="CJL44" s="669"/>
      <c r="CJM44" s="669"/>
      <c r="CJN44" s="669"/>
      <c r="CJO44" s="669"/>
      <c r="CJP44" s="669"/>
      <c r="CJQ44" s="669"/>
      <c r="CJR44" s="669"/>
      <c r="CJS44" s="669"/>
      <c r="CJT44" s="669"/>
      <c r="CJU44" s="669"/>
      <c r="CJV44" s="669"/>
      <c r="CJW44" s="669"/>
      <c r="CJX44" s="669"/>
      <c r="CJY44" s="669"/>
      <c r="CJZ44" s="669"/>
      <c r="CKA44" s="669"/>
      <c r="CKB44" s="669"/>
      <c r="CKC44" s="669"/>
      <c r="CKD44" s="669"/>
      <c r="CKE44" s="669"/>
      <c r="CKF44" s="669"/>
      <c r="CKG44" s="669"/>
      <c r="CKH44" s="669"/>
      <c r="CKI44" s="669"/>
      <c r="CKJ44" s="669"/>
      <c r="CKK44" s="669"/>
      <c r="CKL44" s="669"/>
      <c r="CKM44" s="669"/>
      <c r="CKN44" s="669"/>
      <c r="CKO44" s="669"/>
      <c r="CKP44" s="669"/>
      <c r="CKQ44" s="669"/>
      <c r="CKR44" s="669"/>
      <c r="CKS44" s="669"/>
      <c r="CKT44" s="669"/>
      <c r="CKU44" s="669"/>
      <c r="CKV44" s="669"/>
      <c r="CKW44" s="669"/>
      <c r="CKX44" s="669"/>
      <c r="CKY44" s="669"/>
      <c r="CKZ44" s="669"/>
      <c r="CLA44" s="669"/>
      <c r="CLB44" s="669"/>
      <c r="CLC44" s="669"/>
      <c r="CLD44" s="669"/>
      <c r="CLE44" s="669"/>
      <c r="CLF44" s="669"/>
      <c r="CLG44" s="669"/>
      <c r="CLH44" s="669"/>
      <c r="CLI44" s="669"/>
      <c r="CLJ44" s="669"/>
      <c r="CLK44" s="669"/>
      <c r="CLL44" s="669"/>
      <c r="CLM44" s="669"/>
      <c r="CLN44" s="669"/>
      <c r="CLO44" s="669"/>
      <c r="CLP44" s="669"/>
      <c r="CLQ44" s="669"/>
      <c r="CLR44" s="669"/>
      <c r="CLS44" s="669"/>
      <c r="CLT44" s="669"/>
      <c r="CLU44" s="669"/>
      <c r="CLV44" s="669"/>
      <c r="CLW44" s="669"/>
      <c r="CLX44" s="669"/>
      <c r="CLY44" s="669"/>
      <c r="CLZ44" s="669"/>
      <c r="CMA44" s="669"/>
      <c r="CMB44" s="669"/>
      <c r="CMC44" s="669"/>
      <c r="CMD44" s="669"/>
      <c r="CME44" s="669"/>
      <c r="CMF44" s="669"/>
      <c r="CMG44" s="669"/>
      <c r="CMH44" s="669"/>
      <c r="CMI44" s="669"/>
      <c r="CMJ44" s="669"/>
      <c r="CMK44" s="669"/>
      <c r="CML44" s="669"/>
      <c r="CMM44" s="669"/>
      <c r="CMN44" s="669"/>
      <c r="CMO44" s="669"/>
      <c r="CMP44" s="669"/>
      <c r="CMQ44" s="669"/>
      <c r="CMR44" s="669"/>
      <c r="CMS44" s="669"/>
      <c r="CMT44" s="669"/>
      <c r="CMU44" s="669"/>
      <c r="CMV44" s="669"/>
      <c r="CMW44" s="669"/>
      <c r="CMX44" s="669"/>
      <c r="CMY44" s="669"/>
      <c r="CMZ44" s="669"/>
      <c r="CNA44" s="669"/>
      <c r="CNB44" s="669"/>
      <c r="CNC44" s="669"/>
      <c r="CND44" s="669"/>
      <c r="CNE44" s="669"/>
      <c r="CNF44" s="669"/>
      <c r="CNG44" s="669"/>
      <c r="CNH44" s="669"/>
      <c r="CNI44" s="669"/>
      <c r="CNJ44" s="669"/>
      <c r="CNK44" s="669"/>
      <c r="CNL44" s="669"/>
      <c r="CNM44" s="669"/>
      <c r="CNN44" s="669"/>
      <c r="CNO44" s="669"/>
      <c r="CNP44" s="669"/>
      <c r="CNQ44" s="669"/>
      <c r="CNR44" s="669"/>
      <c r="CNS44" s="669"/>
      <c r="CNT44" s="669"/>
      <c r="CNU44" s="669"/>
      <c r="CNV44" s="669"/>
      <c r="CNW44" s="669"/>
      <c r="CNX44" s="669"/>
      <c r="CNY44" s="669"/>
      <c r="CNZ44" s="669"/>
      <c r="COA44" s="669"/>
      <c r="COB44" s="669"/>
      <c r="COC44" s="669"/>
      <c r="COD44" s="669"/>
      <c r="COE44" s="669"/>
      <c r="COF44" s="669"/>
      <c r="COG44" s="669"/>
      <c r="COH44" s="669"/>
      <c r="COI44" s="669"/>
      <c r="COJ44" s="669"/>
      <c r="COK44" s="669"/>
      <c r="COL44" s="669"/>
      <c r="COM44" s="669"/>
      <c r="CON44" s="669"/>
      <c r="COO44" s="669"/>
      <c r="COP44" s="669"/>
      <c r="COQ44" s="669"/>
      <c r="COR44" s="669"/>
      <c r="COS44" s="669"/>
      <c r="COT44" s="669"/>
      <c r="COU44" s="669"/>
      <c r="COV44" s="669"/>
      <c r="COW44" s="669"/>
      <c r="COX44" s="669"/>
      <c r="COY44" s="669"/>
      <c r="COZ44" s="669"/>
      <c r="CPA44" s="669"/>
      <c r="CPB44" s="669"/>
      <c r="CPC44" s="669"/>
      <c r="CPD44" s="669"/>
      <c r="CPE44" s="669"/>
      <c r="CPF44" s="669"/>
      <c r="CPG44" s="669"/>
      <c r="CPH44" s="669"/>
      <c r="CPI44" s="669"/>
      <c r="CPJ44" s="669"/>
      <c r="CPK44" s="669"/>
      <c r="CPL44" s="669"/>
      <c r="CPM44" s="669"/>
      <c r="CPN44" s="669"/>
      <c r="CPO44" s="669"/>
      <c r="CPP44" s="669"/>
      <c r="CPQ44" s="669"/>
      <c r="CPR44" s="669"/>
      <c r="CPS44" s="669"/>
      <c r="CPT44" s="669"/>
      <c r="CPU44" s="669"/>
      <c r="CPV44" s="669"/>
      <c r="CPW44" s="669"/>
      <c r="CPX44" s="669"/>
      <c r="CPY44" s="669"/>
      <c r="CPZ44" s="669"/>
      <c r="CQA44" s="669"/>
      <c r="CQB44" s="669"/>
      <c r="CQC44" s="669"/>
      <c r="CQD44" s="669"/>
      <c r="CQE44" s="669"/>
      <c r="CQF44" s="669"/>
      <c r="CQG44" s="669"/>
      <c r="CQH44" s="669"/>
      <c r="CQI44" s="669"/>
      <c r="CQJ44" s="669"/>
      <c r="CQK44" s="669"/>
      <c r="CQL44" s="669"/>
      <c r="CQM44" s="669"/>
      <c r="CQN44" s="669"/>
      <c r="CQO44" s="669"/>
      <c r="CQP44" s="669"/>
      <c r="CQQ44" s="669"/>
      <c r="CQR44" s="669"/>
      <c r="CQS44" s="669"/>
      <c r="CQT44" s="669"/>
      <c r="CQU44" s="669"/>
      <c r="CQV44" s="669"/>
      <c r="CQW44" s="669"/>
      <c r="CQX44" s="669"/>
      <c r="CQY44" s="669"/>
      <c r="CQZ44" s="669"/>
      <c r="CRA44" s="669"/>
      <c r="CRB44" s="669"/>
      <c r="CRC44" s="669"/>
      <c r="CRD44" s="669"/>
      <c r="CRE44" s="669"/>
      <c r="CRF44" s="669"/>
      <c r="CRG44" s="669"/>
      <c r="CRH44" s="669"/>
      <c r="CRI44" s="669"/>
      <c r="CRJ44" s="669"/>
      <c r="CRK44" s="669"/>
      <c r="CRL44" s="669"/>
      <c r="CRM44" s="669"/>
      <c r="CRN44" s="669"/>
      <c r="CRO44" s="669"/>
      <c r="CRP44" s="669"/>
      <c r="CRQ44" s="669"/>
      <c r="CRR44" s="669"/>
      <c r="CRS44" s="669"/>
      <c r="CRT44" s="669"/>
      <c r="CRU44" s="669"/>
      <c r="CRV44" s="669"/>
      <c r="CRW44" s="669"/>
      <c r="CRX44" s="669"/>
      <c r="CRY44" s="669"/>
      <c r="CRZ44" s="669"/>
      <c r="CSA44" s="669"/>
      <c r="CSB44" s="669"/>
      <c r="CSC44" s="669"/>
      <c r="CSD44" s="669"/>
      <c r="CSE44" s="669"/>
      <c r="CSF44" s="669"/>
      <c r="CSG44" s="669"/>
      <c r="CSH44" s="669"/>
      <c r="CSI44" s="669"/>
      <c r="CSJ44" s="669"/>
      <c r="CSK44" s="669"/>
      <c r="CSL44" s="669"/>
      <c r="CSM44" s="669"/>
      <c r="CSN44" s="669"/>
      <c r="CSO44" s="669"/>
      <c r="CSP44" s="669"/>
      <c r="CSQ44" s="669"/>
      <c r="CSR44" s="669"/>
      <c r="CSS44" s="669"/>
      <c r="CST44" s="669"/>
      <c r="CSU44" s="669"/>
      <c r="CSV44" s="669"/>
      <c r="CSW44" s="669"/>
      <c r="CSX44" s="669"/>
      <c r="CSY44" s="669"/>
      <c r="CSZ44" s="669"/>
      <c r="CTA44" s="669"/>
      <c r="CTB44" s="669"/>
      <c r="CTC44" s="669"/>
      <c r="CTD44" s="669"/>
      <c r="CTE44" s="669"/>
      <c r="CTF44" s="669"/>
      <c r="CTG44" s="669"/>
      <c r="CTH44" s="669"/>
      <c r="CTI44" s="669"/>
      <c r="CTJ44" s="669"/>
      <c r="CTK44" s="669"/>
      <c r="CTL44" s="669"/>
      <c r="CTM44" s="669"/>
      <c r="CTN44" s="669"/>
      <c r="CTO44" s="669"/>
      <c r="CTP44" s="669"/>
      <c r="CTQ44" s="669"/>
      <c r="CTR44" s="669"/>
      <c r="CTS44" s="669"/>
      <c r="CTT44" s="669"/>
      <c r="CTU44" s="669"/>
      <c r="CTV44" s="669"/>
      <c r="CTW44" s="669"/>
      <c r="CTX44" s="669"/>
      <c r="CTY44" s="669"/>
      <c r="CTZ44" s="669"/>
      <c r="CUA44" s="669"/>
      <c r="CUB44" s="669"/>
      <c r="CUC44" s="669"/>
      <c r="CUD44" s="669"/>
      <c r="CUE44" s="669"/>
      <c r="CUF44" s="669"/>
      <c r="CUG44" s="669"/>
      <c r="CUH44" s="669"/>
      <c r="CUI44" s="669"/>
      <c r="CUJ44" s="669"/>
      <c r="CUK44" s="669"/>
      <c r="CUL44" s="669"/>
      <c r="CUM44" s="669"/>
      <c r="CUN44" s="669"/>
      <c r="CUO44" s="669"/>
      <c r="CUP44" s="669"/>
      <c r="CUQ44" s="669"/>
      <c r="CUR44" s="669"/>
      <c r="CUS44" s="669"/>
      <c r="CUT44" s="669"/>
      <c r="CUU44" s="669"/>
      <c r="CUV44" s="669"/>
      <c r="CUW44" s="669"/>
      <c r="CUX44" s="669"/>
      <c r="CUY44" s="669"/>
      <c r="CUZ44" s="669"/>
      <c r="CVA44" s="669"/>
      <c r="CVB44" s="669"/>
      <c r="CVC44" s="669"/>
      <c r="CVD44" s="669"/>
      <c r="CVE44" s="669"/>
      <c r="CVF44" s="669"/>
      <c r="CVG44" s="669"/>
      <c r="CVH44" s="669"/>
      <c r="CVI44" s="669"/>
      <c r="CVJ44" s="669"/>
      <c r="CVK44" s="669"/>
      <c r="CVL44" s="669"/>
      <c r="CVM44" s="669"/>
      <c r="CVN44" s="669"/>
      <c r="CVO44" s="669"/>
      <c r="CVP44" s="669"/>
      <c r="CVQ44" s="669"/>
      <c r="CVR44" s="669"/>
      <c r="CVS44" s="669"/>
      <c r="CVT44" s="669"/>
      <c r="CVU44" s="669"/>
      <c r="CVV44" s="669"/>
      <c r="CVW44" s="669"/>
      <c r="CVX44" s="669"/>
      <c r="CVY44" s="669"/>
      <c r="CVZ44" s="669"/>
      <c r="CWA44" s="669"/>
      <c r="CWB44" s="669"/>
      <c r="CWC44" s="669"/>
      <c r="CWD44" s="669"/>
      <c r="CWE44" s="669"/>
      <c r="CWF44" s="669"/>
      <c r="CWG44" s="669"/>
      <c r="CWH44" s="669"/>
      <c r="CWI44" s="669"/>
      <c r="CWJ44" s="669"/>
      <c r="CWK44" s="669"/>
      <c r="CWL44" s="669"/>
      <c r="CWM44" s="669"/>
      <c r="CWN44" s="669"/>
      <c r="CWO44" s="669"/>
      <c r="CWP44" s="669"/>
      <c r="CWQ44" s="669"/>
      <c r="CWR44" s="669"/>
      <c r="CWS44" s="669"/>
      <c r="CWT44" s="669"/>
      <c r="CWU44" s="669"/>
      <c r="CWV44" s="669"/>
      <c r="CWW44" s="669"/>
      <c r="CWX44" s="669"/>
      <c r="CWY44" s="669"/>
      <c r="CWZ44" s="669"/>
      <c r="CXA44" s="669"/>
      <c r="CXB44" s="669"/>
      <c r="CXC44" s="669"/>
      <c r="CXD44" s="669"/>
      <c r="CXE44" s="669"/>
      <c r="CXF44" s="669"/>
      <c r="CXG44" s="669"/>
      <c r="CXH44" s="669"/>
      <c r="CXI44" s="669"/>
      <c r="CXJ44" s="669"/>
      <c r="CXK44" s="669"/>
      <c r="CXL44" s="669"/>
      <c r="CXM44" s="669"/>
      <c r="CXN44" s="669"/>
      <c r="CXO44" s="669"/>
      <c r="CXP44" s="669"/>
      <c r="CXQ44" s="669"/>
      <c r="CXR44" s="669"/>
      <c r="CXS44" s="669"/>
      <c r="CXT44" s="669"/>
      <c r="CXU44" s="669"/>
      <c r="CXV44" s="669"/>
      <c r="CXW44" s="669"/>
      <c r="CXX44" s="669"/>
      <c r="CXY44" s="669"/>
      <c r="CXZ44" s="669"/>
      <c r="CYA44" s="669"/>
      <c r="CYB44" s="669"/>
      <c r="CYC44" s="669"/>
      <c r="CYD44" s="669"/>
      <c r="CYE44" s="669"/>
      <c r="CYF44" s="669"/>
      <c r="CYG44" s="669"/>
      <c r="CYH44" s="669"/>
      <c r="CYI44" s="669"/>
      <c r="CYJ44" s="669"/>
      <c r="CYK44" s="669"/>
      <c r="CYL44" s="669"/>
      <c r="CYM44" s="669"/>
      <c r="CYN44" s="669"/>
      <c r="CYO44" s="669"/>
      <c r="CYP44" s="669"/>
      <c r="CYQ44" s="669"/>
      <c r="CYR44" s="669"/>
      <c r="CYS44" s="669"/>
      <c r="CYT44" s="669"/>
      <c r="CYU44" s="669"/>
      <c r="CYV44" s="669"/>
      <c r="CYW44" s="669"/>
      <c r="CYX44" s="669"/>
      <c r="CYY44" s="669"/>
      <c r="CYZ44" s="669"/>
      <c r="CZA44" s="669"/>
      <c r="CZB44" s="669"/>
      <c r="CZC44" s="669"/>
      <c r="CZD44" s="669"/>
      <c r="CZE44" s="669"/>
      <c r="CZF44" s="669"/>
      <c r="CZG44" s="669"/>
      <c r="CZH44" s="669"/>
      <c r="CZI44" s="669"/>
      <c r="CZJ44" s="669"/>
      <c r="CZK44" s="669"/>
      <c r="CZL44" s="669"/>
      <c r="CZM44" s="669"/>
      <c r="CZN44" s="669"/>
      <c r="CZO44" s="669"/>
      <c r="CZP44" s="669"/>
      <c r="CZQ44" s="669"/>
      <c r="CZR44" s="669"/>
      <c r="CZS44" s="669"/>
      <c r="CZT44" s="669"/>
      <c r="CZU44" s="669"/>
      <c r="CZV44" s="669"/>
      <c r="CZW44" s="669"/>
      <c r="CZX44" s="669"/>
      <c r="CZY44" s="669"/>
      <c r="CZZ44" s="669"/>
      <c r="DAA44" s="669"/>
      <c r="DAB44" s="669"/>
      <c r="DAC44" s="669"/>
      <c r="DAD44" s="669"/>
      <c r="DAE44" s="669"/>
      <c r="DAF44" s="669"/>
      <c r="DAG44" s="669"/>
      <c r="DAH44" s="669"/>
      <c r="DAI44" s="669"/>
      <c r="DAJ44" s="669"/>
      <c r="DAK44" s="669"/>
      <c r="DAL44" s="669"/>
      <c r="DAM44" s="669"/>
      <c r="DAN44" s="669"/>
      <c r="DAO44" s="669"/>
      <c r="DAP44" s="669"/>
      <c r="DAQ44" s="669"/>
      <c r="DAR44" s="669"/>
      <c r="DAS44" s="669"/>
      <c r="DAT44" s="669"/>
      <c r="DAU44" s="669"/>
      <c r="DAV44" s="669"/>
      <c r="DAW44" s="669"/>
      <c r="DAX44" s="669"/>
      <c r="DAY44" s="669"/>
      <c r="DAZ44" s="669"/>
      <c r="DBA44" s="669"/>
      <c r="DBB44" s="669"/>
      <c r="DBC44" s="669"/>
      <c r="DBD44" s="669"/>
      <c r="DBE44" s="669"/>
      <c r="DBF44" s="669"/>
      <c r="DBG44" s="669"/>
      <c r="DBH44" s="669"/>
      <c r="DBI44" s="669"/>
      <c r="DBJ44" s="669"/>
      <c r="DBK44" s="669"/>
      <c r="DBL44" s="669"/>
      <c r="DBM44" s="669"/>
      <c r="DBN44" s="669"/>
      <c r="DBO44" s="669"/>
      <c r="DBP44" s="669"/>
      <c r="DBQ44" s="669"/>
      <c r="DBR44" s="669"/>
      <c r="DBS44" s="669"/>
      <c r="DBT44" s="669"/>
      <c r="DBU44" s="669"/>
      <c r="DBV44" s="669"/>
      <c r="DBW44" s="669"/>
      <c r="DBX44" s="669"/>
      <c r="DBY44" s="669"/>
      <c r="DBZ44" s="669"/>
      <c r="DCA44" s="669"/>
      <c r="DCB44" s="669"/>
      <c r="DCC44" s="669"/>
      <c r="DCD44" s="669"/>
      <c r="DCE44" s="669"/>
      <c r="DCF44" s="669"/>
      <c r="DCG44" s="669"/>
      <c r="DCH44" s="669"/>
      <c r="DCI44" s="669"/>
      <c r="DCJ44" s="669"/>
      <c r="DCK44" s="669"/>
      <c r="DCL44" s="669"/>
      <c r="DCM44" s="669"/>
      <c r="DCN44" s="669"/>
      <c r="DCO44" s="669"/>
      <c r="DCP44" s="669"/>
      <c r="DCQ44" s="669"/>
      <c r="DCR44" s="669"/>
      <c r="DCS44" s="669"/>
      <c r="DCT44" s="669"/>
      <c r="DCU44" s="669"/>
      <c r="DCV44" s="669"/>
      <c r="DCW44" s="669"/>
      <c r="DCX44" s="669"/>
      <c r="DCY44" s="669"/>
      <c r="DCZ44" s="669"/>
      <c r="DDA44" s="669"/>
      <c r="DDB44" s="669"/>
      <c r="DDC44" s="669"/>
      <c r="DDD44" s="669"/>
      <c r="DDE44" s="669"/>
      <c r="DDF44" s="669"/>
      <c r="DDG44" s="669"/>
      <c r="DDH44" s="669"/>
      <c r="DDI44" s="669"/>
      <c r="DDJ44" s="669"/>
      <c r="DDK44" s="669"/>
      <c r="DDL44" s="669"/>
      <c r="DDM44" s="669"/>
      <c r="DDN44" s="669"/>
      <c r="DDO44" s="669"/>
      <c r="DDP44" s="669"/>
      <c r="DDQ44" s="669"/>
      <c r="DDR44" s="669"/>
      <c r="DDS44" s="669"/>
      <c r="DDT44" s="669"/>
      <c r="DDU44" s="669"/>
      <c r="DDV44" s="669"/>
      <c r="DDW44" s="669"/>
      <c r="DDX44" s="669"/>
      <c r="DDY44" s="669"/>
      <c r="DDZ44" s="669"/>
      <c r="DEA44" s="669"/>
      <c r="DEB44" s="669"/>
      <c r="DEC44" s="669"/>
      <c r="DED44" s="669"/>
      <c r="DEE44" s="669"/>
      <c r="DEF44" s="669"/>
      <c r="DEG44" s="669"/>
      <c r="DEH44" s="669"/>
      <c r="DEI44" s="669"/>
      <c r="DEJ44" s="669"/>
      <c r="DEK44" s="669"/>
      <c r="DEL44" s="669"/>
      <c r="DEM44" s="669"/>
      <c r="DEN44" s="669"/>
      <c r="DEO44" s="669"/>
      <c r="DEP44" s="669"/>
      <c r="DEQ44" s="669"/>
      <c r="DER44" s="669"/>
      <c r="DES44" s="669"/>
      <c r="DET44" s="669"/>
      <c r="DEU44" s="669"/>
      <c r="DEV44" s="669"/>
      <c r="DEW44" s="669"/>
      <c r="DEX44" s="669"/>
      <c r="DEY44" s="669"/>
      <c r="DEZ44" s="669"/>
      <c r="DFA44" s="669"/>
      <c r="DFB44" s="669"/>
      <c r="DFC44" s="669"/>
      <c r="DFD44" s="669"/>
      <c r="DFE44" s="669"/>
      <c r="DFF44" s="669"/>
      <c r="DFG44" s="669"/>
      <c r="DFH44" s="669"/>
      <c r="DFI44" s="669"/>
      <c r="DFJ44" s="669"/>
      <c r="DFK44" s="669"/>
      <c r="DFL44" s="669"/>
      <c r="DFM44" s="669"/>
      <c r="DFN44" s="669"/>
      <c r="DFO44" s="669"/>
      <c r="DFP44" s="669"/>
      <c r="DFQ44" s="669"/>
      <c r="DFR44" s="669"/>
      <c r="DFS44" s="669"/>
      <c r="DFT44" s="669"/>
      <c r="DFU44" s="669"/>
      <c r="DFV44" s="669"/>
      <c r="DFW44" s="669"/>
      <c r="DFX44" s="669"/>
      <c r="DFY44" s="669"/>
      <c r="DFZ44" s="669"/>
      <c r="DGA44" s="669"/>
      <c r="DGB44" s="669"/>
      <c r="DGC44" s="669"/>
      <c r="DGD44" s="669"/>
      <c r="DGE44" s="669"/>
      <c r="DGF44" s="669"/>
      <c r="DGG44" s="669"/>
      <c r="DGH44" s="669"/>
      <c r="DGI44" s="669"/>
      <c r="DGJ44" s="669"/>
      <c r="DGK44" s="669"/>
      <c r="DGL44" s="669"/>
      <c r="DGM44" s="669"/>
      <c r="DGN44" s="669"/>
      <c r="DGO44" s="669"/>
      <c r="DGP44" s="669"/>
      <c r="DGQ44" s="669"/>
      <c r="DGR44" s="669"/>
      <c r="DGS44" s="669"/>
      <c r="DGT44" s="669"/>
      <c r="DGU44" s="669"/>
      <c r="DGV44" s="669"/>
      <c r="DGW44" s="669"/>
      <c r="DGX44" s="669"/>
      <c r="DGY44" s="669"/>
      <c r="DGZ44" s="669"/>
      <c r="DHA44" s="669"/>
      <c r="DHB44" s="669"/>
      <c r="DHC44" s="669"/>
      <c r="DHD44" s="669"/>
      <c r="DHE44" s="669"/>
      <c r="DHF44" s="669"/>
      <c r="DHG44" s="669"/>
      <c r="DHH44" s="669"/>
      <c r="DHI44" s="669"/>
      <c r="DHJ44" s="669"/>
      <c r="DHK44" s="669"/>
      <c r="DHL44" s="669"/>
      <c r="DHM44" s="669"/>
      <c r="DHN44" s="669"/>
      <c r="DHO44" s="669"/>
      <c r="DHP44" s="669"/>
      <c r="DHQ44" s="669"/>
      <c r="DHR44" s="669"/>
      <c r="DHS44" s="669"/>
      <c r="DHT44" s="669"/>
      <c r="DHU44" s="669"/>
      <c r="DHV44" s="669"/>
      <c r="DHW44" s="669"/>
      <c r="DHX44" s="669"/>
      <c r="DHY44" s="669"/>
      <c r="DHZ44" s="669"/>
      <c r="DIA44" s="669"/>
      <c r="DIB44" s="669"/>
      <c r="DIC44" s="669"/>
      <c r="DID44" s="669"/>
      <c r="DIE44" s="669"/>
      <c r="DIF44" s="669"/>
      <c r="DIG44" s="669"/>
      <c r="DIH44" s="669"/>
      <c r="DII44" s="669"/>
      <c r="DIJ44" s="669"/>
      <c r="DIK44" s="669"/>
      <c r="DIL44" s="669"/>
      <c r="DIM44" s="669"/>
      <c r="DIN44" s="669"/>
      <c r="DIO44" s="669"/>
      <c r="DIP44" s="669"/>
      <c r="DIQ44" s="669"/>
      <c r="DIR44" s="669"/>
      <c r="DIS44" s="669"/>
      <c r="DIT44" s="669"/>
      <c r="DIU44" s="669"/>
      <c r="DIV44" s="669"/>
      <c r="DIW44" s="669"/>
      <c r="DIX44" s="669"/>
      <c r="DIY44" s="669"/>
      <c r="DIZ44" s="669"/>
      <c r="DJA44" s="669"/>
      <c r="DJB44" s="669"/>
      <c r="DJC44" s="669"/>
      <c r="DJD44" s="669"/>
      <c r="DJE44" s="669"/>
      <c r="DJF44" s="669"/>
      <c r="DJG44" s="669"/>
      <c r="DJH44" s="669"/>
      <c r="DJI44" s="669"/>
      <c r="DJJ44" s="669"/>
      <c r="DJK44" s="669"/>
      <c r="DJL44" s="669"/>
      <c r="DJM44" s="669"/>
      <c r="DJN44" s="669"/>
      <c r="DJO44" s="669"/>
      <c r="DJP44" s="669"/>
      <c r="DJQ44" s="669"/>
      <c r="DJR44" s="669"/>
      <c r="DJS44" s="669"/>
      <c r="DJT44" s="669"/>
      <c r="DJU44" s="669"/>
      <c r="DJV44" s="669"/>
      <c r="DJW44" s="669"/>
      <c r="DJX44" s="669"/>
      <c r="DJY44" s="669"/>
      <c r="DJZ44" s="669"/>
      <c r="DKA44" s="669"/>
      <c r="DKB44" s="669"/>
      <c r="DKC44" s="669"/>
      <c r="DKD44" s="669"/>
      <c r="DKE44" s="669"/>
      <c r="DKF44" s="669"/>
      <c r="DKG44" s="669"/>
      <c r="DKH44" s="669"/>
      <c r="DKI44" s="669"/>
      <c r="DKJ44" s="669"/>
      <c r="DKK44" s="669"/>
      <c r="DKL44" s="669"/>
      <c r="DKM44" s="669"/>
      <c r="DKN44" s="669"/>
      <c r="DKO44" s="669"/>
      <c r="DKP44" s="669"/>
      <c r="DKQ44" s="669"/>
      <c r="DKR44" s="669"/>
      <c r="DKS44" s="669"/>
      <c r="DKT44" s="669"/>
      <c r="DKU44" s="669"/>
      <c r="DKV44" s="669"/>
      <c r="DKW44" s="669"/>
      <c r="DKX44" s="669"/>
      <c r="DKY44" s="669"/>
      <c r="DKZ44" s="669"/>
      <c r="DLA44" s="669"/>
      <c r="DLB44" s="669"/>
      <c r="DLC44" s="669"/>
      <c r="DLD44" s="669"/>
      <c r="DLE44" s="669"/>
      <c r="DLF44" s="669"/>
      <c r="DLG44" s="669"/>
      <c r="DLH44" s="669"/>
      <c r="DLI44" s="669"/>
      <c r="DLJ44" s="669"/>
      <c r="DLK44" s="669"/>
      <c r="DLL44" s="669"/>
      <c r="DLM44" s="669"/>
      <c r="DLN44" s="669"/>
      <c r="DLO44" s="669"/>
      <c r="DLP44" s="669"/>
      <c r="DLQ44" s="669"/>
      <c r="DLR44" s="669"/>
      <c r="DLS44" s="669"/>
      <c r="DLT44" s="669"/>
      <c r="DLU44" s="669"/>
      <c r="DLV44" s="669"/>
      <c r="DLW44" s="669"/>
      <c r="DLX44" s="669"/>
      <c r="DLY44" s="669"/>
      <c r="DLZ44" s="669"/>
      <c r="DMA44" s="669"/>
      <c r="DMB44" s="669"/>
      <c r="DMC44" s="669"/>
      <c r="DMD44" s="669"/>
      <c r="DME44" s="669"/>
      <c r="DMF44" s="669"/>
      <c r="DMG44" s="669"/>
      <c r="DMH44" s="669"/>
      <c r="DMI44" s="669"/>
      <c r="DMJ44" s="669"/>
      <c r="DMK44" s="669"/>
      <c r="DML44" s="669"/>
      <c r="DMM44" s="669"/>
      <c r="DMN44" s="669"/>
      <c r="DMO44" s="669"/>
      <c r="DMP44" s="669"/>
      <c r="DMQ44" s="669"/>
      <c r="DMR44" s="669"/>
      <c r="DMS44" s="669"/>
      <c r="DMT44" s="669"/>
      <c r="DMU44" s="669"/>
      <c r="DMV44" s="669"/>
      <c r="DMW44" s="669"/>
      <c r="DMX44" s="669"/>
      <c r="DMY44" s="669"/>
      <c r="DMZ44" s="669"/>
      <c r="DNA44" s="669"/>
      <c r="DNB44" s="669"/>
      <c r="DNC44" s="669"/>
      <c r="DND44" s="669"/>
      <c r="DNE44" s="669"/>
      <c r="DNF44" s="669"/>
      <c r="DNG44" s="669"/>
      <c r="DNH44" s="669"/>
      <c r="DNI44" s="669"/>
      <c r="DNJ44" s="669"/>
      <c r="DNK44" s="669"/>
      <c r="DNL44" s="669"/>
      <c r="DNM44" s="669"/>
      <c r="DNN44" s="669"/>
      <c r="DNO44" s="669"/>
      <c r="DNP44" s="669"/>
      <c r="DNQ44" s="669"/>
      <c r="DNR44" s="669"/>
      <c r="DNS44" s="669"/>
      <c r="DNT44" s="669"/>
      <c r="DNU44" s="669"/>
      <c r="DNV44" s="669"/>
      <c r="DNW44" s="669"/>
      <c r="DNX44" s="669"/>
      <c r="DNY44" s="669"/>
      <c r="DNZ44" s="669"/>
      <c r="DOA44" s="669"/>
      <c r="DOB44" s="669"/>
      <c r="DOC44" s="669"/>
      <c r="DOD44" s="669"/>
      <c r="DOE44" s="669"/>
      <c r="DOF44" s="669"/>
      <c r="DOG44" s="669"/>
      <c r="DOH44" s="669"/>
      <c r="DOI44" s="669"/>
      <c r="DOJ44" s="669"/>
      <c r="DOK44" s="669"/>
      <c r="DOL44" s="669"/>
      <c r="DOM44" s="669"/>
      <c r="DON44" s="669"/>
      <c r="DOO44" s="669"/>
      <c r="DOP44" s="669"/>
      <c r="DOQ44" s="669"/>
      <c r="DOR44" s="669"/>
      <c r="DOS44" s="669"/>
      <c r="DOT44" s="669"/>
      <c r="DOU44" s="669"/>
      <c r="DOV44" s="669"/>
      <c r="DOW44" s="669"/>
      <c r="DOX44" s="669"/>
      <c r="DOY44" s="669"/>
      <c r="DOZ44" s="669"/>
      <c r="DPA44" s="669"/>
      <c r="DPB44" s="669"/>
      <c r="DPC44" s="669"/>
      <c r="DPD44" s="669"/>
      <c r="DPE44" s="669"/>
      <c r="DPF44" s="669"/>
      <c r="DPG44" s="669"/>
      <c r="DPH44" s="669"/>
      <c r="DPI44" s="669"/>
      <c r="DPJ44" s="669"/>
      <c r="DPK44" s="669"/>
      <c r="DPL44" s="669"/>
      <c r="DPM44" s="669"/>
      <c r="DPN44" s="669"/>
      <c r="DPO44" s="669"/>
      <c r="DPP44" s="669"/>
      <c r="DPQ44" s="669"/>
      <c r="DPR44" s="669"/>
      <c r="DPS44" s="669"/>
      <c r="DPT44" s="669"/>
      <c r="DPU44" s="669"/>
      <c r="DPV44" s="669"/>
      <c r="DPW44" s="669"/>
      <c r="DPX44" s="669"/>
      <c r="DPY44" s="669"/>
      <c r="DPZ44" s="669"/>
      <c r="DQA44" s="669"/>
      <c r="DQB44" s="669"/>
      <c r="DQC44" s="669"/>
      <c r="DQD44" s="669"/>
      <c r="DQE44" s="669"/>
      <c r="DQF44" s="669"/>
      <c r="DQG44" s="669"/>
      <c r="DQH44" s="669"/>
      <c r="DQI44" s="669"/>
      <c r="DQJ44" s="669"/>
      <c r="DQK44" s="669"/>
      <c r="DQL44" s="669"/>
      <c r="DQM44" s="669"/>
      <c r="DQN44" s="669"/>
      <c r="DQO44" s="669"/>
      <c r="DQP44" s="669"/>
      <c r="DQQ44" s="669"/>
      <c r="DQR44" s="669"/>
      <c r="DQS44" s="669"/>
      <c r="DQT44" s="669"/>
      <c r="DQU44" s="669"/>
      <c r="DQV44" s="669"/>
      <c r="DQW44" s="669"/>
      <c r="DQX44" s="669"/>
      <c r="DQY44" s="669"/>
      <c r="DQZ44" s="669"/>
      <c r="DRA44" s="669"/>
      <c r="DRB44" s="669"/>
      <c r="DRC44" s="669"/>
      <c r="DRD44" s="669"/>
      <c r="DRE44" s="669"/>
      <c r="DRF44" s="669"/>
      <c r="DRG44" s="669"/>
      <c r="DRH44" s="669"/>
      <c r="DRI44" s="669"/>
      <c r="DRJ44" s="669"/>
      <c r="DRK44" s="669"/>
      <c r="DRL44" s="669"/>
      <c r="DRM44" s="669"/>
      <c r="DRN44" s="669"/>
      <c r="DRO44" s="669"/>
      <c r="DRP44" s="669"/>
      <c r="DRQ44" s="669"/>
      <c r="DRR44" s="669"/>
      <c r="DRS44" s="669"/>
      <c r="DRT44" s="669"/>
      <c r="DRU44" s="669"/>
      <c r="DRV44" s="669"/>
      <c r="DRW44" s="669"/>
      <c r="DRX44" s="669"/>
      <c r="DRY44" s="669"/>
      <c r="DRZ44" s="669"/>
      <c r="DSA44" s="669"/>
      <c r="DSB44" s="669"/>
      <c r="DSC44" s="669"/>
      <c r="DSD44" s="669"/>
      <c r="DSE44" s="669"/>
      <c r="DSF44" s="669"/>
      <c r="DSG44" s="669"/>
      <c r="DSH44" s="669"/>
      <c r="DSI44" s="669"/>
      <c r="DSJ44" s="669"/>
      <c r="DSK44" s="669"/>
      <c r="DSL44" s="669"/>
      <c r="DSM44" s="669"/>
      <c r="DSN44" s="669"/>
      <c r="DSO44" s="669"/>
      <c r="DSP44" s="669"/>
      <c r="DSQ44" s="669"/>
      <c r="DSR44" s="669"/>
      <c r="DSS44" s="669"/>
      <c r="DST44" s="669"/>
      <c r="DSU44" s="669"/>
      <c r="DSV44" s="669"/>
      <c r="DSW44" s="669"/>
      <c r="DSX44" s="669"/>
      <c r="DSY44" s="669"/>
      <c r="DSZ44" s="669"/>
      <c r="DTA44" s="669"/>
      <c r="DTB44" s="669"/>
      <c r="DTC44" s="669"/>
      <c r="DTD44" s="669"/>
      <c r="DTE44" s="669"/>
      <c r="DTF44" s="669"/>
      <c r="DTG44" s="669"/>
      <c r="DTH44" s="669"/>
      <c r="DTI44" s="669"/>
      <c r="DTJ44" s="669"/>
      <c r="DTK44" s="669"/>
      <c r="DTL44" s="669"/>
      <c r="DTM44" s="669"/>
      <c r="DTN44" s="669"/>
      <c r="DTO44" s="669"/>
      <c r="DTP44" s="669"/>
      <c r="DTQ44" s="669"/>
      <c r="DTR44" s="669"/>
      <c r="DTS44" s="669"/>
      <c r="DTT44" s="669"/>
      <c r="DTU44" s="669"/>
      <c r="DTV44" s="669"/>
      <c r="DTW44" s="669"/>
      <c r="DTX44" s="669"/>
      <c r="DTY44" s="669"/>
      <c r="DTZ44" s="669"/>
      <c r="DUA44" s="669"/>
      <c r="DUB44" s="669"/>
      <c r="DUC44" s="669"/>
      <c r="DUD44" s="669"/>
      <c r="DUE44" s="669"/>
      <c r="DUF44" s="669"/>
      <c r="DUG44" s="669"/>
      <c r="DUH44" s="669"/>
      <c r="DUI44" s="669"/>
      <c r="DUJ44" s="669"/>
      <c r="DUK44" s="669"/>
      <c r="DUL44" s="669"/>
      <c r="DUM44" s="669"/>
      <c r="DUN44" s="669"/>
      <c r="DUO44" s="669"/>
      <c r="DUP44" s="669"/>
      <c r="DUQ44" s="669"/>
      <c r="DUR44" s="669"/>
      <c r="DUS44" s="669"/>
      <c r="DUT44" s="669"/>
      <c r="DUU44" s="669"/>
      <c r="DUV44" s="669"/>
      <c r="DUW44" s="669"/>
      <c r="DUX44" s="669"/>
      <c r="DUY44" s="669"/>
      <c r="DUZ44" s="669"/>
      <c r="DVA44" s="669"/>
      <c r="DVB44" s="669"/>
      <c r="DVC44" s="669"/>
      <c r="DVD44" s="669"/>
      <c r="DVE44" s="669"/>
      <c r="DVF44" s="669"/>
      <c r="DVG44" s="669"/>
      <c r="DVH44" s="669"/>
      <c r="DVI44" s="669"/>
      <c r="DVJ44" s="669"/>
      <c r="DVK44" s="669"/>
      <c r="DVL44" s="669"/>
      <c r="DVM44" s="669"/>
      <c r="DVN44" s="669"/>
      <c r="DVO44" s="669"/>
      <c r="DVP44" s="669"/>
      <c r="DVQ44" s="669"/>
      <c r="DVR44" s="669"/>
      <c r="DVS44" s="669"/>
      <c r="DVT44" s="669"/>
      <c r="DVU44" s="669"/>
      <c r="DVV44" s="669"/>
      <c r="DVW44" s="669"/>
      <c r="DVX44" s="669"/>
      <c r="DVY44" s="669"/>
      <c r="DVZ44" s="669"/>
      <c r="DWA44" s="669"/>
      <c r="DWB44" s="669"/>
      <c r="DWC44" s="669"/>
      <c r="DWD44" s="669"/>
      <c r="DWE44" s="669"/>
      <c r="DWF44" s="669"/>
      <c r="DWG44" s="669"/>
      <c r="DWH44" s="669"/>
      <c r="DWI44" s="669"/>
      <c r="DWJ44" s="669"/>
      <c r="DWK44" s="669"/>
      <c r="DWL44" s="669"/>
      <c r="DWM44" s="669"/>
      <c r="DWN44" s="669"/>
      <c r="DWO44" s="669"/>
      <c r="DWP44" s="669"/>
      <c r="DWQ44" s="669"/>
      <c r="DWR44" s="669"/>
      <c r="DWS44" s="669"/>
      <c r="DWT44" s="669"/>
      <c r="DWU44" s="669"/>
      <c r="DWV44" s="669"/>
      <c r="DWW44" s="669"/>
      <c r="DWX44" s="669"/>
      <c r="DWY44" s="669"/>
      <c r="DWZ44" s="669"/>
      <c r="DXA44" s="669"/>
      <c r="DXB44" s="669"/>
      <c r="DXC44" s="669"/>
      <c r="DXD44" s="669"/>
      <c r="DXE44" s="669"/>
      <c r="DXF44" s="669"/>
      <c r="DXG44" s="669"/>
      <c r="DXH44" s="669"/>
      <c r="DXI44" s="669"/>
      <c r="DXJ44" s="669"/>
      <c r="DXK44" s="669"/>
      <c r="DXL44" s="669"/>
      <c r="DXM44" s="669"/>
      <c r="DXN44" s="669"/>
      <c r="DXO44" s="669"/>
      <c r="DXP44" s="669"/>
      <c r="DXQ44" s="669"/>
      <c r="DXR44" s="669"/>
      <c r="DXS44" s="669"/>
      <c r="DXT44" s="669"/>
      <c r="DXU44" s="669"/>
      <c r="DXV44" s="669"/>
      <c r="DXW44" s="669"/>
      <c r="DXX44" s="669"/>
      <c r="DXY44" s="669"/>
      <c r="DXZ44" s="669"/>
      <c r="DYA44" s="669"/>
      <c r="DYB44" s="669"/>
      <c r="DYC44" s="669"/>
      <c r="DYD44" s="669"/>
      <c r="DYE44" s="669"/>
      <c r="DYF44" s="669"/>
      <c r="DYG44" s="669"/>
      <c r="DYH44" s="669"/>
      <c r="DYI44" s="669"/>
      <c r="DYJ44" s="669"/>
      <c r="DYK44" s="669"/>
      <c r="DYL44" s="669"/>
      <c r="DYM44" s="669"/>
      <c r="DYN44" s="669"/>
      <c r="DYO44" s="669"/>
      <c r="DYP44" s="669"/>
      <c r="DYQ44" s="669"/>
      <c r="DYR44" s="669"/>
      <c r="DYS44" s="669"/>
      <c r="DYT44" s="669"/>
      <c r="DYU44" s="669"/>
      <c r="DYV44" s="669"/>
      <c r="DYW44" s="669"/>
      <c r="DYX44" s="669"/>
      <c r="DYY44" s="669"/>
      <c r="DYZ44" s="669"/>
      <c r="DZA44" s="669"/>
      <c r="DZB44" s="669"/>
      <c r="DZC44" s="669"/>
      <c r="DZD44" s="669"/>
      <c r="DZE44" s="669"/>
      <c r="DZF44" s="669"/>
      <c r="DZG44" s="669"/>
      <c r="DZH44" s="669"/>
      <c r="DZI44" s="669"/>
      <c r="DZJ44" s="669"/>
      <c r="DZK44" s="669"/>
      <c r="DZL44" s="669"/>
      <c r="DZM44" s="669"/>
      <c r="DZN44" s="669"/>
      <c r="DZO44" s="669"/>
      <c r="DZP44" s="669"/>
      <c r="DZQ44" s="669"/>
      <c r="DZR44" s="669"/>
      <c r="DZS44" s="669"/>
      <c r="DZT44" s="669"/>
      <c r="DZU44" s="669"/>
      <c r="DZV44" s="669"/>
      <c r="DZW44" s="669"/>
      <c r="DZX44" s="669"/>
      <c r="DZY44" s="669"/>
      <c r="DZZ44" s="669"/>
      <c r="EAA44" s="669"/>
      <c r="EAB44" s="669"/>
      <c r="EAC44" s="669"/>
      <c r="EAD44" s="669"/>
      <c r="EAE44" s="669"/>
      <c r="EAF44" s="669"/>
      <c r="EAG44" s="669"/>
      <c r="EAH44" s="669"/>
      <c r="EAI44" s="669"/>
      <c r="EAJ44" s="669"/>
      <c r="EAK44" s="669"/>
      <c r="EAL44" s="669"/>
      <c r="EAM44" s="669"/>
      <c r="EAN44" s="669"/>
      <c r="EAO44" s="669"/>
      <c r="EAP44" s="669"/>
      <c r="EAQ44" s="669"/>
      <c r="EAR44" s="669"/>
      <c r="EAS44" s="669"/>
      <c r="EAT44" s="669"/>
      <c r="EAU44" s="669"/>
      <c r="EAV44" s="669"/>
      <c r="EAW44" s="669"/>
      <c r="EAX44" s="669"/>
      <c r="EAY44" s="669"/>
      <c r="EAZ44" s="669"/>
      <c r="EBA44" s="669"/>
      <c r="EBB44" s="669"/>
      <c r="EBC44" s="669"/>
      <c r="EBD44" s="669"/>
      <c r="EBE44" s="669"/>
      <c r="EBF44" s="669"/>
      <c r="EBG44" s="669"/>
      <c r="EBH44" s="669"/>
      <c r="EBI44" s="669"/>
      <c r="EBJ44" s="669"/>
      <c r="EBK44" s="669"/>
      <c r="EBL44" s="669"/>
      <c r="EBM44" s="669"/>
      <c r="EBN44" s="669"/>
      <c r="EBO44" s="669"/>
      <c r="EBP44" s="669"/>
      <c r="EBQ44" s="669"/>
      <c r="EBR44" s="669"/>
      <c r="EBS44" s="669"/>
      <c r="EBT44" s="669"/>
      <c r="EBU44" s="669"/>
      <c r="EBV44" s="669"/>
      <c r="EBW44" s="669"/>
      <c r="EBX44" s="669"/>
      <c r="EBY44" s="669"/>
      <c r="EBZ44" s="669"/>
      <c r="ECA44" s="669"/>
      <c r="ECB44" s="669"/>
      <c r="ECC44" s="669"/>
      <c r="ECD44" s="669"/>
      <c r="ECE44" s="669"/>
      <c r="ECF44" s="669"/>
      <c r="ECG44" s="669"/>
      <c r="ECH44" s="669"/>
      <c r="ECI44" s="669"/>
      <c r="ECJ44" s="669"/>
      <c r="ECK44" s="669"/>
      <c r="ECL44" s="669"/>
      <c r="ECM44" s="669"/>
      <c r="ECN44" s="669"/>
      <c r="ECO44" s="669"/>
      <c r="ECP44" s="669"/>
      <c r="ECQ44" s="669"/>
      <c r="ECR44" s="669"/>
      <c r="ECS44" s="669"/>
      <c r="ECT44" s="669"/>
      <c r="ECU44" s="669"/>
      <c r="ECV44" s="669"/>
      <c r="ECW44" s="669"/>
      <c r="ECX44" s="669"/>
      <c r="ECY44" s="669"/>
      <c r="ECZ44" s="669"/>
      <c r="EDA44" s="669"/>
      <c r="EDB44" s="669"/>
      <c r="EDC44" s="669"/>
      <c r="EDD44" s="669"/>
      <c r="EDE44" s="669"/>
      <c r="EDF44" s="669"/>
      <c r="EDG44" s="669"/>
      <c r="EDH44" s="669"/>
      <c r="EDI44" s="669"/>
      <c r="EDJ44" s="669"/>
      <c r="EDK44" s="669"/>
      <c r="EDL44" s="669"/>
      <c r="EDM44" s="669"/>
      <c r="EDN44" s="669"/>
      <c r="EDO44" s="669"/>
      <c r="EDP44" s="669"/>
      <c r="EDQ44" s="669"/>
      <c r="EDR44" s="669"/>
      <c r="EDS44" s="669"/>
      <c r="EDT44" s="669"/>
      <c r="EDU44" s="669"/>
      <c r="EDV44" s="669"/>
      <c r="EDW44" s="669"/>
      <c r="EDX44" s="669"/>
      <c r="EDY44" s="669"/>
      <c r="EDZ44" s="669"/>
      <c r="EEA44" s="669"/>
      <c r="EEB44" s="669"/>
      <c r="EEC44" s="669"/>
      <c r="EED44" s="669"/>
      <c r="EEE44" s="669"/>
      <c r="EEF44" s="669"/>
      <c r="EEG44" s="669"/>
      <c r="EEH44" s="669"/>
      <c r="EEI44" s="669"/>
      <c r="EEJ44" s="669"/>
      <c r="EEK44" s="669"/>
      <c r="EEL44" s="669"/>
      <c r="EEM44" s="669"/>
      <c r="EEN44" s="669"/>
      <c r="EEO44" s="669"/>
      <c r="EEP44" s="669"/>
      <c r="EEQ44" s="669"/>
      <c r="EER44" s="669"/>
      <c r="EES44" s="669"/>
      <c r="EET44" s="669"/>
      <c r="EEU44" s="669"/>
      <c r="EEV44" s="669"/>
      <c r="EEW44" s="669"/>
      <c r="EEX44" s="669"/>
      <c r="EEY44" s="669"/>
      <c r="EEZ44" s="669"/>
      <c r="EFA44" s="669"/>
      <c r="EFB44" s="669"/>
      <c r="EFC44" s="669"/>
      <c r="EFD44" s="669"/>
      <c r="EFE44" s="669"/>
      <c r="EFF44" s="669"/>
      <c r="EFG44" s="669"/>
      <c r="EFH44" s="669"/>
      <c r="EFI44" s="669"/>
      <c r="EFJ44" s="669"/>
      <c r="EFK44" s="669"/>
      <c r="EFL44" s="669"/>
      <c r="EFM44" s="669"/>
      <c r="EFN44" s="669"/>
      <c r="EFO44" s="669"/>
      <c r="EFP44" s="669"/>
      <c r="EFQ44" s="669"/>
      <c r="EFR44" s="669"/>
      <c r="EFS44" s="669"/>
      <c r="EFT44" s="669"/>
      <c r="EFU44" s="669"/>
      <c r="EFV44" s="669"/>
      <c r="EFW44" s="669"/>
      <c r="EFX44" s="669"/>
      <c r="EFY44" s="669"/>
      <c r="EFZ44" s="669"/>
      <c r="EGA44" s="669"/>
      <c r="EGB44" s="669"/>
      <c r="EGC44" s="669"/>
      <c r="EGD44" s="669"/>
      <c r="EGE44" s="669"/>
      <c r="EGF44" s="669"/>
      <c r="EGG44" s="669"/>
      <c r="EGH44" s="669"/>
      <c r="EGI44" s="669"/>
      <c r="EGJ44" s="669"/>
      <c r="EGK44" s="669"/>
      <c r="EGL44" s="669"/>
      <c r="EGM44" s="669"/>
      <c r="EGN44" s="669"/>
      <c r="EGO44" s="669"/>
      <c r="EGP44" s="669"/>
      <c r="EGQ44" s="669"/>
      <c r="EGR44" s="669"/>
      <c r="EGS44" s="669"/>
      <c r="EGT44" s="669"/>
      <c r="EGU44" s="669"/>
      <c r="EGV44" s="669"/>
      <c r="EGW44" s="669"/>
      <c r="EGX44" s="669"/>
      <c r="EGY44" s="669"/>
      <c r="EGZ44" s="669"/>
      <c r="EHA44" s="669"/>
      <c r="EHB44" s="669"/>
      <c r="EHC44" s="669"/>
      <c r="EHD44" s="669"/>
      <c r="EHE44" s="669"/>
      <c r="EHF44" s="669"/>
      <c r="EHG44" s="669"/>
      <c r="EHH44" s="669"/>
      <c r="EHI44" s="669"/>
      <c r="EHJ44" s="669"/>
      <c r="EHK44" s="669"/>
      <c r="EHL44" s="669"/>
      <c r="EHM44" s="669"/>
      <c r="EHN44" s="669"/>
      <c r="EHO44" s="669"/>
      <c r="EHP44" s="669"/>
      <c r="EHQ44" s="669"/>
      <c r="EHR44" s="669"/>
      <c r="EHS44" s="669"/>
      <c r="EHT44" s="669"/>
      <c r="EHU44" s="669"/>
      <c r="EHV44" s="669"/>
      <c r="EHW44" s="669"/>
      <c r="EHX44" s="669"/>
      <c r="EHY44" s="669"/>
      <c r="EHZ44" s="669"/>
      <c r="EIA44" s="669"/>
      <c r="EIB44" s="669"/>
      <c r="EIC44" s="669"/>
      <c r="EID44" s="669"/>
      <c r="EIE44" s="669"/>
      <c r="EIF44" s="669"/>
      <c r="EIG44" s="669"/>
      <c r="EIH44" s="669"/>
      <c r="EII44" s="669"/>
      <c r="EIJ44" s="669"/>
      <c r="EIK44" s="669"/>
      <c r="EIL44" s="669"/>
      <c r="EIM44" s="669"/>
      <c r="EIN44" s="669"/>
      <c r="EIO44" s="669"/>
      <c r="EIP44" s="669"/>
      <c r="EIQ44" s="669"/>
      <c r="EIR44" s="669"/>
      <c r="EIS44" s="669"/>
      <c r="EIT44" s="669"/>
      <c r="EIU44" s="669"/>
      <c r="EIV44" s="669"/>
      <c r="EIW44" s="669"/>
      <c r="EIX44" s="669"/>
      <c r="EIY44" s="669"/>
      <c r="EIZ44" s="669"/>
      <c r="EJA44" s="669"/>
      <c r="EJB44" s="669"/>
      <c r="EJC44" s="669"/>
      <c r="EJD44" s="669"/>
      <c r="EJE44" s="669"/>
      <c r="EJF44" s="669"/>
      <c r="EJG44" s="669"/>
      <c r="EJH44" s="669"/>
      <c r="EJI44" s="669"/>
      <c r="EJJ44" s="669"/>
      <c r="EJK44" s="669"/>
      <c r="EJL44" s="669"/>
      <c r="EJM44" s="669"/>
      <c r="EJN44" s="669"/>
      <c r="EJO44" s="669"/>
      <c r="EJP44" s="669"/>
      <c r="EJQ44" s="669"/>
      <c r="EJR44" s="669"/>
      <c r="EJS44" s="669"/>
      <c r="EJT44" s="669"/>
      <c r="EJU44" s="669"/>
      <c r="EJV44" s="669"/>
      <c r="EJW44" s="669"/>
      <c r="EJX44" s="669"/>
      <c r="EJY44" s="669"/>
      <c r="EJZ44" s="669"/>
      <c r="EKA44" s="669"/>
      <c r="EKB44" s="669"/>
      <c r="EKC44" s="669"/>
      <c r="EKD44" s="669"/>
      <c r="EKE44" s="669"/>
      <c r="EKF44" s="669"/>
      <c r="EKG44" s="669"/>
      <c r="EKH44" s="669"/>
      <c r="EKI44" s="669"/>
      <c r="EKJ44" s="669"/>
      <c r="EKK44" s="669"/>
      <c r="EKL44" s="669"/>
      <c r="EKM44" s="669"/>
      <c r="EKN44" s="669"/>
      <c r="EKO44" s="669"/>
      <c r="EKP44" s="669"/>
      <c r="EKQ44" s="669"/>
      <c r="EKR44" s="669"/>
      <c r="EKS44" s="669"/>
      <c r="EKT44" s="669"/>
      <c r="EKU44" s="669"/>
      <c r="EKV44" s="669"/>
      <c r="EKW44" s="669"/>
      <c r="EKX44" s="669"/>
      <c r="EKY44" s="669"/>
      <c r="EKZ44" s="669"/>
      <c r="ELA44" s="669"/>
      <c r="ELB44" s="669"/>
      <c r="ELC44" s="669"/>
      <c r="ELD44" s="669"/>
      <c r="ELE44" s="669"/>
      <c r="ELF44" s="669"/>
      <c r="ELG44" s="669"/>
      <c r="ELH44" s="669"/>
      <c r="ELI44" s="669"/>
      <c r="ELJ44" s="669"/>
      <c r="ELK44" s="669"/>
      <c r="ELL44" s="669"/>
      <c r="ELM44" s="669"/>
      <c r="ELN44" s="669"/>
      <c r="ELO44" s="669"/>
      <c r="ELP44" s="669"/>
      <c r="ELQ44" s="669"/>
      <c r="ELR44" s="669"/>
      <c r="ELS44" s="669"/>
      <c r="ELT44" s="669"/>
      <c r="ELU44" s="669"/>
      <c r="ELV44" s="669"/>
      <c r="ELW44" s="669"/>
      <c r="ELX44" s="669"/>
      <c r="ELY44" s="669"/>
      <c r="ELZ44" s="669"/>
      <c r="EMA44" s="669"/>
      <c r="EMB44" s="669"/>
      <c r="EMC44" s="669"/>
      <c r="EMD44" s="669"/>
      <c r="EME44" s="669"/>
      <c r="EMF44" s="669"/>
      <c r="EMG44" s="669"/>
      <c r="EMH44" s="669"/>
      <c r="EMI44" s="669"/>
      <c r="EMJ44" s="669"/>
      <c r="EMK44" s="669"/>
      <c r="EML44" s="669"/>
      <c r="EMM44" s="669"/>
      <c r="EMN44" s="669"/>
      <c r="EMO44" s="669"/>
      <c r="EMP44" s="669"/>
      <c r="EMQ44" s="669"/>
      <c r="EMR44" s="669"/>
      <c r="EMS44" s="669"/>
      <c r="EMT44" s="669"/>
      <c r="EMU44" s="669"/>
      <c r="EMV44" s="669"/>
      <c r="EMW44" s="669"/>
      <c r="EMX44" s="669"/>
      <c r="EMY44" s="669"/>
      <c r="EMZ44" s="669"/>
      <c r="ENA44" s="669"/>
      <c r="ENB44" s="669"/>
      <c r="ENC44" s="669"/>
      <c r="END44" s="669"/>
      <c r="ENE44" s="669"/>
      <c r="ENF44" s="669"/>
      <c r="ENG44" s="669"/>
      <c r="ENH44" s="669"/>
      <c r="ENI44" s="669"/>
      <c r="ENJ44" s="669"/>
      <c r="ENK44" s="669"/>
      <c r="ENL44" s="669"/>
      <c r="ENM44" s="669"/>
      <c r="ENN44" s="669"/>
      <c r="ENO44" s="669"/>
      <c r="ENP44" s="669"/>
      <c r="ENQ44" s="669"/>
      <c r="ENR44" s="669"/>
      <c r="ENS44" s="669"/>
      <c r="ENT44" s="669"/>
      <c r="ENU44" s="669"/>
      <c r="ENV44" s="669"/>
      <c r="ENW44" s="669"/>
      <c r="ENX44" s="669"/>
      <c r="ENY44" s="669"/>
      <c r="ENZ44" s="669"/>
      <c r="EOA44" s="669"/>
      <c r="EOB44" s="669"/>
      <c r="EOC44" s="669"/>
      <c r="EOD44" s="669"/>
      <c r="EOE44" s="669"/>
      <c r="EOF44" s="669"/>
      <c r="EOG44" s="669"/>
      <c r="EOH44" s="669"/>
      <c r="EOI44" s="669"/>
      <c r="EOJ44" s="669"/>
      <c r="EOK44" s="669"/>
      <c r="EOL44" s="669"/>
      <c r="EOM44" s="669"/>
      <c r="EON44" s="669"/>
      <c r="EOO44" s="669"/>
      <c r="EOP44" s="669"/>
      <c r="EOQ44" s="669"/>
      <c r="EOR44" s="669"/>
      <c r="EOS44" s="669"/>
      <c r="EOT44" s="669"/>
      <c r="EOU44" s="669"/>
      <c r="EOV44" s="669"/>
      <c r="EOW44" s="669"/>
      <c r="EOX44" s="669"/>
      <c r="EOY44" s="669"/>
      <c r="EOZ44" s="669"/>
      <c r="EPA44" s="669"/>
      <c r="EPB44" s="669"/>
      <c r="EPC44" s="669"/>
      <c r="EPD44" s="669"/>
      <c r="EPE44" s="669"/>
      <c r="EPF44" s="669"/>
      <c r="EPG44" s="669"/>
      <c r="EPH44" s="669"/>
      <c r="EPI44" s="669"/>
      <c r="EPJ44" s="669"/>
      <c r="EPK44" s="669"/>
      <c r="EPL44" s="669"/>
      <c r="EPM44" s="669"/>
      <c r="EPN44" s="669"/>
      <c r="EPO44" s="669"/>
      <c r="EPP44" s="669"/>
      <c r="EPQ44" s="669"/>
      <c r="EPR44" s="669"/>
      <c r="EPS44" s="669"/>
      <c r="EPT44" s="669"/>
      <c r="EPU44" s="669"/>
      <c r="EPV44" s="669"/>
      <c r="EPW44" s="669"/>
      <c r="EPX44" s="669"/>
      <c r="EPY44" s="669"/>
      <c r="EPZ44" s="669"/>
      <c r="EQA44" s="669"/>
      <c r="EQB44" s="669"/>
      <c r="EQC44" s="669"/>
      <c r="EQD44" s="669"/>
      <c r="EQE44" s="669"/>
      <c r="EQF44" s="669"/>
      <c r="EQG44" s="669"/>
      <c r="EQH44" s="669"/>
      <c r="EQI44" s="669"/>
      <c r="EQJ44" s="669"/>
      <c r="EQK44" s="669"/>
      <c r="EQL44" s="669"/>
      <c r="EQM44" s="669"/>
      <c r="EQN44" s="669"/>
      <c r="EQO44" s="669"/>
      <c r="EQP44" s="669"/>
      <c r="EQQ44" s="669"/>
      <c r="EQR44" s="669"/>
      <c r="EQS44" s="669"/>
      <c r="EQT44" s="669"/>
      <c r="EQU44" s="669"/>
      <c r="EQV44" s="669"/>
      <c r="EQW44" s="669"/>
      <c r="EQX44" s="669"/>
      <c r="EQY44" s="669"/>
      <c r="EQZ44" s="669"/>
      <c r="ERA44" s="669"/>
      <c r="ERB44" s="669"/>
      <c r="ERC44" s="669"/>
      <c r="ERD44" s="669"/>
      <c r="ERE44" s="669"/>
      <c r="ERF44" s="669"/>
      <c r="ERG44" s="669"/>
      <c r="ERH44" s="669"/>
      <c r="ERI44" s="669"/>
      <c r="ERJ44" s="669"/>
      <c r="ERK44" s="669"/>
      <c r="ERL44" s="669"/>
      <c r="ERM44" s="669"/>
      <c r="ERN44" s="669"/>
      <c r="ERO44" s="669"/>
      <c r="ERP44" s="669"/>
      <c r="ERQ44" s="669"/>
      <c r="ERR44" s="669"/>
      <c r="ERS44" s="669"/>
      <c r="ERT44" s="669"/>
      <c r="ERU44" s="669"/>
      <c r="ERV44" s="669"/>
      <c r="ERW44" s="669"/>
      <c r="ERX44" s="669"/>
      <c r="ERY44" s="669"/>
      <c r="ERZ44" s="669"/>
      <c r="ESA44" s="669"/>
      <c r="ESB44" s="669"/>
      <c r="ESC44" s="669"/>
      <c r="ESD44" s="669"/>
      <c r="ESE44" s="669"/>
      <c r="ESF44" s="669"/>
      <c r="ESG44" s="669"/>
      <c r="ESH44" s="669"/>
      <c r="ESI44" s="669"/>
      <c r="ESJ44" s="669"/>
      <c r="ESK44" s="669"/>
      <c r="ESL44" s="669"/>
      <c r="ESM44" s="669"/>
      <c r="ESN44" s="669"/>
      <c r="ESO44" s="669"/>
      <c r="ESP44" s="669"/>
      <c r="ESQ44" s="669"/>
      <c r="ESR44" s="669"/>
      <c r="ESS44" s="669"/>
      <c r="EST44" s="669"/>
      <c r="ESU44" s="669"/>
      <c r="ESV44" s="669"/>
      <c r="ESW44" s="669"/>
      <c r="ESX44" s="669"/>
      <c r="ESY44" s="669"/>
      <c r="ESZ44" s="669"/>
      <c r="ETA44" s="669"/>
      <c r="ETB44" s="669"/>
      <c r="ETC44" s="669"/>
      <c r="ETD44" s="669"/>
      <c r="ETE44" s="669"/>
      <c r="ETF44" s="669"/>
      <c r="ETG44" s="669"/>
      <c r="ETH44" s="669"/>
      <c r="ETI44" s="669"/>
      <c r="ETJ44" s="669"/>
      <c r="ETK44" s="669"/>
      <c r="ETL44" s="669"/>
      <c r="ETM44" s="669"/>
      <c r="ETN44" s="669"/>
      <c r="ETO44" s="669"/>
      <c r="ETP44" s="669"/>
      <c r="ETQ44" s="669"/>
      <c r="ETR44" s="669"/>
      <c r="ETS44" s="669"/>
      <c r="ETT44" s="669"/>
      <c r="ETU44" s="669"/>
      <c r="ETV44" s="669"/>
      <c r="ETW44" s="669"/>
      <c r="ETX44" s="669"/>
      <c r="ETY44" s="669"/>
      <c r="ETZ44" s="669"/>
      <c r="EUA44" s="669"/>
      <c r="EUB44" s="669"/>
      <c r="EUC44" s="669"/>
      <c r="EUD44" s="669"/>
      <c r="EUE44" s="669"/>
      <c r="EUF44" s="669"/>
      <c r="EUG44" s="669"/>
      <c r="EUH44" s="669"/>
      <c r="EUI44" s="669"/>
      <c r="EUJ44" s="669"/>
      <c r="EUK44" s="669"/>
      <c r="EUL44" s="669"/>
      <c r="EUM44" s="669"/>
      <c r="EUN44" s="669"/>
      <c r="EUO44" s="669"/>
      <c r="EUP44" s="669"/>
      <c r="EUQ44" s="669"/>
      <c r="EUR44" s="669"/>
      <c r="EUS44" s="669"/>
      <c r="EUT44" s="669"/>
      <c r="EUU44" s="669"/>
      <c r="EUV44" s="669"/>
      <c r="EUW44" s="669"/>
      <c r="EUX44" s="669"/>
      <c r="EUY44" s="669"/>
      <c r="EUZ44" s="669"/>
      <c r="EVA44" s="669"/>
      <c r="EVB44" s="669"/>
      <c r="EVC44" s="669"/>
      <c r="EVD44" s="669"/>
      <c r="EVE44" s="669"/>
      <c r="EVF44" s="669"/>
      <c r="EVG44" s="669"/>
      <c r="EVH44" s="669"/>
      <c r="EVI44" s="669"/>
      <c r="EVJ44" s="669"/>
      <c r="EVK44" s="669"/>
      <c r="EVL44" s="669"/>
      <c r="EVM44" s="669"/>
      <c r="EVN44" s="669"/>
      <c r="EVO44" s="669"/>
      <c r="EVP44" s="669"/>
      <c r="EVQ44" s="669"/>
      <c r="EVR44" s="669"/>
      <c r="EVS44" s="669"/>
      <c r="EVT44" s="669"/>
      <c r="EVU44" s="669"/>
      <c r="EVV44" s="669"/>
      <c r="EVW44" s="669"/>
      <c r="EVX44" s="669"/>
      <c r="EVY44" s="669"/>
      <c r="EVZ44" s="669"/>
      <c r="EWA44" s="669"/>
      <c r="EWB44" s="669"/>
      <c r="EWC44" s="669"/>
      <c r="EWD44" s="669"/>
      <c r="EWE44" s="669"/>
      <c r="EWF44" s="669"/>
      <c r="EWG44" s="669"/>
      <c r="EWH44" s="669"/>
      <c r="EWI44" s="669"/>
      <c r="EWJ44" s="669"/>
      <c r="EWK44" s="669"/>
      <c r="EWL44" s="669"/>
      <c r="EWM44" s="669"/>
      <c r="EWN44" s="669"/>
      <c r="EWO44" s="669"/>
      <c r="EWP44" s="669"/>
      <c r="EWQ44" s="669"/>
      <c r="EWR44" s="669"/>
      <c r="EWS44" s="669"/>
      <c r="EWT44" s="669"/>
      <c r="EWU44" s="669"/>
      <c r="EWV44" s="669"/>
      <c r="EWW44" s="669"/>
      <c r="EWX44" s="669"/>
      <c r="EWY44" s="669"/>
      <c r="EWZ44" s="669"/>
      <c r="EXA44" s="669"/>
      <c r="EXB44" s="669"/>
      <c r="EXC44" s="669"/>
      <c r="EXD44" s="669"/>
      <c r="EXE44" s="669"/>
      <c r="EXF44" s="669"/>
      <c r="EXG44" s="669"/>
      <c r="EXH44" s="669"/>
      <c r="EXI44" s="669"/>
      <c r="EXJ44" s="669"/>
      <c r="EXK44" s="669"/>
      <c r="EXL44" s="669"/>
      <c r="EXM44" s="669"/>
      <c r="EXN44" s="669"/>
      <c r="EXO44" s="669"/>
      <c r="EXP44" s="669"/>
      <c r="EXQ44" s="669"/>
      <c r="EXR44" s="669"/>
      <c r="EXS44" s="669"/>
      <c r="EXT44" s="669"/>
      <c r="EXU44" s="669"/>
      <c r="EXV44" s="669"/>
      <c r="EXW44" s="669"/>
      <c r="EXX44" s="669"/>
      <c r="EXY44" s="669"/>
      <c r="EXZ44" s="669"/>
      <c r="EYA44" s="669"/>
      <c r="EYB44" s="669"/>
      <c r="EYC44" s="669"/>
      <c r="EYD44" s="669"/>
      <c r="EYE44" s="669"/>
      <c r="EYF44" s="669"/>
      <c r="EYG44" s="669"/>
      <c r="EYH44" s="669"/>
      <c r="EYI44" s="669"/>
      <c r="EYJ44" s="669"/>
      <c r="EYK44" s="669"/>
      <c r="EYL44" s="669"/>
      <c r="EYM44" s="669"/>
      <c r="EYN44" s="669"/>
      <c r="EYO44" s="669"/>
      <c r="EYP44" s="669"/>
      <c r="EYQ44" s="669"/>
      <c r="EYR44" s="669"/>
      <c r="EYS44" s="669"/>
      <c r="EYT44" s="669"/>
      <c r="EYU44" s="669"/>
      <c r="EYV44" s="669"/>
      <c r="EYW44" s="669"/>
      <c r="EYX44" s="669"/>
      <c r="EYY44" s="669"/>
      <c r="EYZ44" s="669"/>
      <c r="EZA44" s="669"/>
      <c r="EZB44" s="669"/>
      <c r="EZC44" s="669"/>
      <c r="EZD44" s="669"/>
      <c r="EZE44" s="669"/>
      <c r="EZF44" s="669"/>
      <c r="EZG44" s="669"/>
      <c r="EZH44" s="669"/>
      <c r="EZI44" s="669"/>
      <c r="EZJ44" s="669"/>
      <c r="EZK44" s="669"/>
      <c r="EZL44" s="669"/>
      <c r="EZM44" s="669"/>
      <c r="EZN44" s="669"/>
      <c r="EZO44" s="669"/>
      <c r="EZP44" s="669"/>
      <c r="EZQ44" s="669"/>
      <c r="EZR44" s="669"/>
      <c r="EZS44" s="669"/>
      <c r="EZT44" s="669"/>
      <c r="EZU44" s="669"/>
      <c r="EZV44" s="669"/>
      <c r="EZW44" s="669"/>
      <c r="EZX44" s="669"/>
      <c r="EZY44" s="669"/>
      <c r="EZZ44" s="669"/>
      <c r="FAA44" s="669"/>
      <c r="FAB44" s="669"/>
      <c r="FAC44" s="669"/>
      <c r="FAD44" s="669"/>
      <c r="FAE44" s="669"/>
      <c r="FAF44" s="669"/>
      <c r="FAG44" s="669"/>
      <c r="FAH44" s="669"/>
      <c r="FAI44" s="669"/>
      <c r="FAJ44" s="669"/>
      <c r="FAK44" s="669"/>
      <c r="FAL44" s="669"/>
      <c r="FAM44" s="669"/>
      <c r="FAN44" s="669"/>
      <c r="FAO44" s="669"/>
      <c r="FAP44" s="669"/>
      <c r="FAQ44" s="669"/>
      <c r="FAR44" s="669"/>
      <c r="FAS44" s="669"/>
      <c r="FAT44" s="669"/>
      <c r="FAU44" s="669"/>
      <c r="FAV44" s="669"/>
      <c r="FAW44" s="669"/>
      <c r="FAX44" s="669"/>
      <c r="FAY44" s="669"/>
      <c r="FAZ44" s="669"/>
      <c r="FBA44" s="669"/>
      <c r="FBB44" s="669"/>
      <c r="FBC44" s="669"/>
      <c r="FBD44" s="669"/>
      <c r="FBE44" s="669"/>
      <c r="FBF44" s="669"/>
      <c r="FBG44" s="669"/>
      <c r="FBH44" s="669"/>
      <c r="FBI44" s="669"/>
      <c r="FBJ44" s="669"/>
      <c r="FBK44" s="669"/>
      <c r="FBL44" s="669"/>
      <c r="FBM44" s="669"/>
      <c r="FBN44" s="669"/>
      <c r="FBO44" s="669"/>
      <c r="FBP44" s="669"/>
      <c r="FBQ44" s="669"/>
      <c r="FBR44" s="669"/>
      <c r="FBS44" s="669"/>
      <c r="FBT44" s="669"/>
      <c r="FBU44" s="669"/>
      <c r="FBV44" s="669"/>
      <c r="FBW44" s="669"/>
      <c r="FBX44" s="669"/>
      <c r="FBY44" s="669"/>
      <c r="FBZ44" s="669"/>
      <c r="FCA44" s="669"/>
      <c r="FCB44" s="669"/>
      <c r="FCC44" s="669"/>
      <c r="FCD44" s="669"/>
      <c r="FCE44" s="669"/>
      <c r="FCF44" s="669"/>
      <c r="FCG44" s="669"/>
      <c r="FCH44" s="669"/>
      <c r="FCI44" s="669"/>
      <c r="FCJ44" s="669"/>
      <c r="FCK44" s="669"/>
      <c r="FCL44" s="669"/>
      <c r="FCM44" s="669"/>
      <c r="FCN44" s="669"/>
      <c r="FCO44" s="669"/>
      <c r="FCP44" s="669"/>
      <c r="FCQ44" s="669"/>
      <c r="FCR44" s="669"/>
      <c r="FCS44" s="669"/>
      <c r="FCT44" s="669"/>
      <c r="FCU44" s="669"/>
      <c r="FCV44" s="669"/>
      <c r="FCW44" s="669"/>
      <c r="FCX44" s="669"/>
      <c r="FCY44" s="669"/>
      <c r="FCZ44" s="669"/>
      <c r="FDA44" s="669"/>
      <c r="FDB44" s="669"/>
      <c r="FDC44" s="669"/>
      <c r="FDD44" s="669"/>
      <c r="FDE44" s="669"/>
      <c r="FDF44" s="669"/>
      <c r="FDG44" s="669"/>
      <c r="FDH44" s="669"/>
      <c r="FDI44" s="669"/>
      <c r="FDJ44" s="669"/>
      <c r="FDK44" s="669"/>
      <c r="FDL44" s="669"/>
      <c r="FDM44" s="669"/>
      <c r="FDN44" s="669"/>
      <c r="FDO44" s="669"/>
      <c r="FDP44" s="669"/>
      <c r="FDQ44" s="669"/>
      <c r="FDR44" s="669"/>
      <c r="FDS44" s="669"/>
      <c r="FDT44" s="669"/>
      <c r="FDU44" s="669"/>
      <c r="FDV44" s="669"/>
      <c r="FDW44" s="669"/>
      <c r="FDX44" s="669"/>
      <c r="FDY44" s="669"/>
      <c r="FDZ44" s="669"/>
      <c r="FEA44" s="669"/>
      <c r="FEB44" s="669"/>
      <c r="FEC44" s="669"/>
      <c r="FED44" s="669"/>
      <c r="FEE44" s="669"/>
      <c r="FEF44" s="669"/>
      <c r="FEG44" s="669"/>
      <c r="FEH44" s="669"/>
      <c r="FEI44" s="669"/>
      <c r="FEJ44" s="669"/>
      <c r="FEK44" s="669"/>
      <c r="FEL44" s="669"/>
      <c r="FEM44" s="669"/>
      <c r="FEN44" s="669"/>
      <c r="FEO44" s="669"/>
      <c r="FEP44" s="669"/>
      <c r="FEQ44" s="669"/>
      <c r="FER44" s="669"/>
      <c r="FES44" s="669"/>
      <c r="FET44" s="669"/>
      <c r="FEU44" s="669"/>
      <c r="FEV44" s="669"/>
      <c r="FEW44" s="669"/>
      <c r="FEX44" s="669"/>
      <c r="FEY44" s="669"/>
      <c r="FEZ44" s="669"/>
      <c r="FFA44" s="669"/>
      <c r="FFB44" s="669"/>
      <c r="FFC44" s="669"/>
      <c r="FFD44" s="669"/>
      <c r="FFE44" s="669"/>
      <c r="FFF44" s="669"/>
      <c r="FFG44" s="669"/>
      <c r="FFH44" s="669"/>
      <c r="FFI44" s="669"/>
      <c r="FFJ44" s="669"/>
      <c r="FFK44" s="669"/>
      <c r="FFL44" s="669"/>
      <c r="FFM44" s="669"/>
      <c r="FFN44" s="669"/>
      <c r="FFO44" s="669"/>
      <c r="FFP44" s="669"/>
      <c r="FFQ44" s="669"/>
      <c r="FFR44" s="669"/>
      <c r="FFS44" s="669"/>
      <c r="FFT44" s="669"/>
      <c r="FFU44" s="669"/>
      <c r="FFV44" s="669"/>
      <c r="FFW44" s="669"/>
      <c r="FFX44" s="669"/>
      <c r="FFY44" s="669"/>
      <c r="FFZ44" s="669"/>
      <c r="FGA44" s="669"/>
      <c r="FGB44" s="669"/>
      <c r="FGC44" s="669"/>
      <c r="FGD44" s="669"/>
      <c r="FGE44" s="669"/>
      <c r="FGF44" s="669"/>
      <c r="FGG44" s="669"/>
      <c r="FGH44" s="669"/>
      <c r="FGI44" s="669"/>
      <c r="FGJ44" s="669"/>
      <c r="FGK44" s="669"/>
      <c r="FGL44" s="669"/>
      <c r="FGM44" s="669"/>
      <c r="FGN44" s="669"/>
      <c r="FGO44" s="669"/>
      <c r="FGP44" s="669"/>
      <c r="FGQ44" s="669"/>
      <c r="FGR44" s="669"/>
      <c r="FGS44" s="669"/>
      <c r="FGT44" s="669"/>
      <c r="FGU44" s="669"/>
      <c r="FGV44" s="669"/>
      <c r="FGW44" s="669"/>
      <c r="FGX44" s="669"/>
      <c r="FGY44" s="669"/>
      <c r="FGZ44" s="669"/>
      <c r="FHA44" s="669"/>
      <c r="FHB44" s="669"/>
      <c r="FHC44" s="669"/>
      <c r="FHD44" s="669"/>
      <c r="FHE44" s="669"/>
      <c r="FHF44" s="669"/>
      <c r="FHG44" s="669"/>
      <c r="FHH44" s="669"/>
      <c r="FHI44" s="669"/>
      <c r="FHJ44" s="669"/>
      <c r="FHK44" s="669"/>
      <c r="FHL44" s="669"/>
      <c r="FHM44" s="669"/>
      <c r="FHN44" s="669"/>
      <c r="FHO44" s="669"/>
      <c r="FHP44" s="669"/>
      <c r="FHQ44" s="669"/>
      <c r="FHR44" s="669"/>
      <c r="FHS44" s="669"/>
      <c r="FHT44" s="669"/>
      <c r="FHU44" s="669"/>
      <c r="FHV44" s="669"/>
      <c r="FHW44" s="669"/>
      <c r="FHX44" s="669"/>
      <c r="FHY44" s="669"/>
      <c r="FHZ44" s="669"/>
      <c r="FIA44" s="669"/>
      <c r="FIB44" s="669"/>
      <c r="FIC44" s="669"/>
      <c r="FID44" s="669"/>
      <c r="FIE44" s="669"/>
      <c r="FIF44" s="669"/>
      <c r="FIG44" s="669"/>
      <c r="FIH44" s="669"/>
      <c r="FII44" s="669"/>
      <c r="FIJ44" s="669"/>
      <c r="FIK44" s="669"/>
      <c r="FIL44" s="669"/>
      <c r="FIM44" s="669"/>
      <c r="FIN44" s="669"/>
      <c r="FIO44" s="669"/>
      <c r="FIP44" s="669"/>
      <c r="FIQ44" s="669"/>
      <c r="FIR44" s="669"/>
      <c r="FIS44" s="669"/>
      <c r="FIT44" s="669"/>
      <c r="FIU44" s="669"/>
      <c r="FIV44" s="669"/>
      <c r="FIW44" s="669"/>
      <c r="FIX44" s="669"/>
      <c r="FIY44" s="669"/>
      <c r="FIZ44" s="669"/>
      <c r="FJA44" s="669"/>
      <c r="FJB44" s="669"/>
      <c r="FJC44" s="669"/>
      <c r="FJD44" s="669"/>
      <c r="FJE44" s="669"/>
      <c r="FJF44" s="669"/>
      <c r="FJG44" s="669"/>
      <c r="FJH44" s="669"/>
      <c r="FJI44" s="669"/>
      <c r="FJJ44" s="669"/>
      <c r="FJK44" s="669"/>
      <c r="FJL44" s="669"/>
      <c r="FJM44" s="669"/>
      <c r="FJN44" s="669"/>
      <c r="FJO44" s="669"/>
      <c r="FJP44" s="669"/>
      <c r="FJQ44" s="669"/>
      <c r="FJR44" s="669"/>
      <c r="FJS44" s="669"/>
      <c r="FJT44" s="669"/>
      <c r="FJU44" s="669"/>
      <c r="FJV44" s="669"/>
      <c r="FJW44" s="669"/>
      <c r="FJX44" s="669"/>
      <c r="FJY44" s="669"/>
      <c r="FJZ44" s="669"/>
      <c r="FKA44" s="669"/>
      <c r="FKB44" s="669"/>
      <c r="FKC44" s="669"/>
      <c r="FKD44" s="669"/>
      <c r="FKE44" s="669"/>
      <c r="FKF44" s="669"/>
      <c r="FKG44" s="669"/>
      <c r="FKH44" s="669"/>
      <c r="FKI44" s="669"/>
      <c r="FKJ44" s="669"/>
      <c r="FKK44" s="669"/>
      <c r="FKL44" s="669"/>
      <c r="FKM44" s="669"/>
      <c r="FKN44" s="669"/>
      <c r="FKO44" s="669"/>
      <c r="FKP44" s="669"/>
      <c r="FKQ44" s="669"/>
      <c r="FKR44" s="669"/>
      <c r="FKS44" s="669"/>
      <c r="FKT44" s="669"/>
      <c r="FKU44" s="669"/>
      <c r="FKV44" s="669"/>
      <c r="FKW44" s="669"/>
      <c r="FKX44" s="669"/>
      <c r="FKY44" s="669"/>
      <c r="FKZ44" s="669"/>
      <c r="FLA44" s="669"/>
      <c r="FLB44" s="669"/>
      <c r="FLC44" s="669"/>
      <c r="FLD44" s="669"/>
      <c r="FLE44" s="669"/>
      <c r="FLF44" s="669"/>
      <c r="FLG44" s="669"/>
      <c r="FLH44" s="669"/>
      <c r="FLI44" s="669"/>
      <c r="FLJ44" s="669"/>
      <c r="FLK44" s="669"/>
      <c r="FLL44" s="669"/>
      <c r="FLM44" s="669"/>
      <c r="FLN44" s="669"/>
      <c r="FLO44" s="669"/>
      <c r="FLP44" s="669"/>
      <c r="FLQ44" s="669"/>
      <c r="FLR44" s="669"/>
      <c r="FLS44" s="669"/>
      <c r="FLT44" s="669"/>
      <c r="FLU44" s="669"/>
      <c r="FLV44" s="669"/>
      <c r="FLW44" s="669"/>
      <c r="FLX44" s="669"/>
      <c r="FLY44" s="669"/>
      <c r="FLZ44" s="669"/>
      <c r="FMA44" s="669"/>
      <c r="FMB44" s="669"/>
      <c r="FMC44" s="669"/>
      <c r="FMD44" s="669"/>
      <c r="FME44" s="669"/>
      <c r="FMF44" s="669"/>
      <c r="FMG44" s="669"/>
      <c r="FMH44" s="669"/>
      <c r="FMI44" s="669"/>
      <c r="FMJ44" s="669"/>
      <c r="FMK44" s="669"/>
      <c r="FML44" s="669"/>
      <c r="FMM44" s="669"/>
      <c r="FMN44" s="669"/>
      <c r="FMO44" s="669"/>
      <c r="FMP44" s="669"/>
      <c r="FMQ44" s="669"/>
      <c r="FMR44" s="669"/>
      <c r="FMS44" s="669"/>
      <c r="FMT44" s="669"/>
      <c r="FMU44" s="669"/>
      <c r="FMV44" s="669"/>
      <c r="FMW44" s="669"/>
      <c r="FMX44" s="669"/>
      <c r="FMY44" s="669"/>
      <c r="FMZ44" s="669"/>
      <c r="FNA44" s="669"/>
      <c r="FNB44" s="669"/>
      <c r="FNC44" s="669"/>
      <c r="FND44" s="669"/>
      <c r="FNE44" s="669"/>
      <c r="FNF44" s="669"/>
      <c r="FNG44" s="669"/>
      <c r="FNH44" s="669"/>
      <c r="FNI44" s="669"/>
      <c r="FNJ44" s="669"/>
      <c r="FNK44" s="669"/>
      <c r="FNL44" s="669"/>
      <c r="FNM44" s="669"/>
      <c r="FNN44" s="669"/>
      <c r="FNO44" s="669"/>
      <c r="FNP44" s="669"/>
      <c r="FNQ44" s="669"/>
      <c r="FNR44" s="669"/>
      <c r="FNS44" s="669"/>
      <c r="FNT44" s="669"/>
      <c r="FNU44" s="669"/>
      <c r="FNV44" s="669"/>
      <c r="FNW44" s="669"/>
      <c r="FNX44" s="669"/>
      <c r="FNY44" s="669"/>
      <c r="FNZ44" s="669"/>
      <c r="FOA44" s="669"/>
      <c r="FOB44" s="669"/>
      <c r="FOC44" s="669"/>
      <c r="FOD44" s="669"/>
      <c r="FOE44" s="669"/>
      <c r="FOF44" s="669"/>
      <c r="FOG44" s="669"/>
      <c r="FOH44" s="669"/>
      <c r="FOI44" s="669"/>
      <c r="FOJ44" s="669"/>
      <c r="FOK44" s="669"/>
      <c r="FOL44" s="669"/>
      <c r="FOM44" s="669"/>
      <c r="FON44" s="669"/>
      <c r="FOO44" s="669"/>
      <c r="FOP44" s="669"/>
      <c r="FOQ44" s="669"/>
      <c r="FOR44" s="669"/>
      <c r="FOS44" s="669"/>
      <c r="FOT44" s="669"/>
      <c r="FOU44" s="669"/>
      <c r="FOV44" s="669"/>
      <c r="FOW44" s="669"/>
      <c r="FOX44" s="669"/>
      <c r="FOY44" s="669"/>
      <c r="FOZ44" s="669"/>
      <c r="FPA44" s="669"/>
      <c r="FPB44" s="669"/>
      <c r="FPC44" s="669"/>
      <c r="FPD44" s="669"/>
      <c r="FPE44" s="669"/>
      <c r="FPF44" s="669"/>
      <c r="FPG44" s="669"/>
      <c r="FPH44" s="669"/>
      <c r="FPI44" s="669"/>
      <c r="FPJ44" s="669"/>
      <c r="FPK44" s="669"/>
      <c r="FPL44" s="669"/>
      <c r="FPM44" s="669"/>
      <c r="FPN44" s="669"/>
      <c r="FPO44" s="669"/>
      <c r="FPP44" s="669"/>
      <c r="FPQ44" s="669"/>
      <c r="FPR44" s="669"/>
      <c r="FPS44" s="669"/>
      <c r="FPT44" s="669"/>
      <c r="FPU44" s="669"/>
      <c r="FPV44" s="669"/>
      <c r="FPW44" s="669"/>
      <c r="FPX44" s="669"/>
      <c r="FPY44" s="669"/>
      <c r="FPZ44" s="669"/>
      <c r="FQA44" s="669"/>
      <c r="FQB44" s="669"/>
      <c r="FQC44" s="669"/>
      <c r="FQD44" s="669"/>
      <c r="FQE44" s="669"/>
      <c r="FQF44" s="669"/>
      <c r="FQG44" s="669"/>
      <c r="FQH44" s="669"/>
      <c r="FQI44" s="669"/>
      <c r="FQJ44" s="669"/>
      <c r="FQK44" s="669"/>
      <c r="FQL44" s="669"/>
      <c r="FQM44" s="669"/>
      <c r="FQN44" s="669"/>
      <c r="FQO44" s="669"/>
      <c r="FQP44" s="669"/>
      <c r="FQQ44" s="669"/>
      <c r="FQR44" s="669"/>
      <c r="FQS44" s="669"/>
      <c r="FQT44" s="669"/>
      <c r="FQU44" s="669"/>
      <c r="FQV44" s="669"/>
      <c r="FQW44" s="669"/>
      <c r="FQX44" s="669"/>
      <c r="FQY44" s="669"/>
      <c r="FQZ44" s="669"/>
      <c r="FRA44" s="669"/>
      <c r="FRB44" s="669"/>
      <c r="FRC44" s="669"/>
      <c r="FRD44" s="669"/>
      <c r="FRE44" s="669"/>
      <c r="FRF44" s="669"/>
      <c r="FRG44" s="669"/>
      <c r="FRH44" s="669"/>
      <c r="FRI44" s="669"/>
      <c r="FRJ44" s="669"/>
      <c r="FRK44" s="669"/>
      <c r="FRL44" s="669"/>
      <c r="FRM44" s="669"/>
      <c r="FRN44" s="669"/>
      <c r="FRO44" s="669"/>
      <c r="FRP44" s="669"/>
      <c r="FRQ44" s="669"/>
      <c r="FRR44" s="669"/>
      <c r="FRS44" s="669"/>
      <c r="FRT44" s="669"/>
      <c r="FRU44" s="669"/>
      <c r="FRV44" s="669"/>
      <c r="FRW44" s="669"/>
      <c r="FRX44" s="669"/>
      <c r="FRY44" s="669"/>
      <c r="FRZ44" s="669"/>
      <c r="FSA44" s="669"/>
      <c r="FSB44" s="669"/>
      <c r="FSC44" s="669"/>
      <c r="FSD44" s="669"/>
      <c r="FSE44" s="669"/>
      <c r="FSF44" s="669"/>
      <c r="FSG44" s="669"/>
      <c r="FSH44" s="669"/>
      <c r="FSI44" s="669"/>
      <c r="FSJ44" s="669"/>
      <c r="FSK44" s="669"/>
      <c r="FSL44" s="669"/>
      <c r="FSM44" s="669"/>
      <c r="FSN44" s="669"/>
      <c r="FSO44" s="669"/>
      <c r="FSP44" s="669"/>
      <c r="FSQ44" s="669"/>
      <c r="FSR44" s="669"/>
      <c r="FSS44" s="669"/>
      <c r="FST44" s="669"/>
      <c r="FSU44" s="669"/>
      <c r="FSV44" s="669"/>
      <c r="FSW44" s="669"/>
      <c r="FSX44" s="669"/>
      <c r="FSY44" s="669"/>
      <c r="FSZ44" s="669"/>
      <c r="FTA44" s="669"/>
      <c r="FTB44" s="669"/>
      <c r="FTC44" s="669"/>
      <c r="FTD44" s="669"/>
      <c r="FTE44" s="669"/>
      <c r="FTF44" s="669"/>
      <c r="FTG44" s="669"/>
      <c r="FTH44" s="669"/>
      <c r="FTI44" s="669"/>
      <c r="FTJ44" s="669"/>
      <c r="FTK44" s="669"/>
      <c r="FTL44" s="669"/>
      <c r="FTM44" s="669"/>
      <c r="FTN44" s="669"/>
      <c r="FTO44" s="669"/>
      <c r="FTP44" s="669"/>
      <c r="FTQ44" s="669"/>
      <c r="FTR44" s="669"/>
      <c r="FTS44" s="669"/>
      <c r="FTT44" s="669"/>
      <c r="FTU44" s="669"/>
      <c r="FTV44" s="669"/>
      <c r="FTW44" s="669"/>
      <c r="FTX44" s="669"/>
      <c r="FTY44" s="669"/>
      <c r="FTZ44" s="669"/>
      <c r="FUA44" s="669"/>
      <c r="FUB44" s="669"/>
      <c r="FUC44" s="669"/>
      <c r="FUD44" s="669"/>
      <c r="FUE44" s="669"/>
      <c r="FUF44" s="669"/>
      <c r="FUG44" s="669"/>
      <c r="FUH44" s="669"/>
      <c r="FUI44" s="669"/>
      <c r="FUJ44" s="669"/>
      <c r="FUK44" s="669"/>
      <c r="FUL44" s="669"/>
      <c r="FUM44" s="669"/>
      <c r="FUN44" s="669"/>
      <c r="FUO44" s="669"/>
      <c r="FUP44" s="669"/>
      <c r="FUQ44" s="669"/>
      <c r="FUR44" s="669"/>
      <c r="FUS44" s="669"/>
      <c r="FUT44" s="669"/>
      <c r="FUU44" s="669"/>
      <c r="FUV44" s="669"/>
      <c r="FUW44" s="669"/>
      <c r="FUX44" s="669"/>
      <c r="FUY44" s="669"/>
      <c r="FUZ44" s="669"/>
      <c r="FVA44" s="669"/>
      <c r="FVB44" s="669"/>
      <c r="FVC44" s="669"/>
      <c r="FVD44" s="669"/>
      <c r="FVE44" s="669"/>
      <c r="FVF44" s="669"/>
      <c r="FVG44" s="669"/>
      <c r="FVH44" s="669"/>
      <c r="FVI44" s="669"/>
      <c r="FVJ44" s="669"/>
      <c r="FVK44" s="669"/>
      <c r="FVL44" s="669"/>
      <c r="FVM44" s="669"/>
      <c r="FVN44" s="669"/>
      <c r="FVO44" s="669"/>
      <c r="FVP44" s="669"/>
      <c r="FVQ44" s="669"/>
      <c r="FVR44" s="669"/>
      <c r="FVS44" s="669"/>
      <c r="FVT44" s="669"/>
      <c r="FVU44" s="669"/>
      <c r="FVV44" s="669"/>
      <c r="FVW44" s="669"/>
      <c r="FVX44" s="669"/>
      <c r="FVY44" s="669"/>
      <c r="FVZ44" s="669"/>
      <c r="FWA44" s="669"/>
      <c r="FWB44" s="669"/>
      <c r="FWC44" s="669"/>
      <c r="FWD44" s="669"/>
      <c r="FWE44" s="669"/>
      <c r="FWF44" s="669"/>
      <c r="FWG44" s="669"/>
      <c r="FWH44" s="669"/>
      <c r="FWI44" s="669"/>
      <c r="FWJ44" s="669"/>
      <c r="FWK44" s="669"/>
      <c r="FWL44" s="669"/>
      <c r="FWM44" s="669"/>
      <c r="FWN44" s="669"/>
      <c r="FWO44" s="669"/>
      <c r="FWP44" s="669"/>
      <c r="FWQ44" s="669"/>
      <c r="FWR44" s="669"/>
      <c r="FWS44" s="669"/>
      <c r="FWT44" s="669"/>
      <c r="FWU44" s="669"/>
      <c r="FWV44" s="669"/>
      <c r="FWW44" s="669"/>
      <c r="FWX44" s="669"/>
      <c r="FWY44" s="669"/>
      <c r="FWZ44" s="669"/>
      <c r="FXA44" s="669"/>
      <c r="FXB44" s="669"/>
      <c r="FXC44" s="669"/>
      <c r="FXD44" s="669"/>
      <c r="FXE44" s="669"/>
      <c r="FXF44" s="669"/>
      <c r="FXG44" s="669"/>
      <c r="FXH44" s="669"/>
      <c r="FXI44" s="669"/>
      <c r="FXJ44" s="669"/>
      <c r="FXK44" s="669"/>
      <c r="FXL44" s="669"/>
      <c r="FXM44" s="669"/>
      <c r="FXN44" s="669"/>
      <c r="FXO44" s="669"/>
      <c r="FXP44" s="669"/>
      <c r="FXQ44" s="669"/>
      <c r="FXR44" s="669"/>
      <c r="FXS44" s="669"/>
      <c r="FXT44" s="669"/>
      <c r="FXU44" s="669"/>
      <c r="FXV44" s="669"/>
      <c r="FXW44" s="669"/>
      <c r="FXX44" s="669"/>
      <c r="FXY44" s="669"/>
      <c r="FXZ44" s="669"/>
      <c r="FYA44" s="669"/>
      <c r="FYB44" s="669"/>
      <c r="FYC44" s="669"/>
      <c r="FYD44" s="669"/>
      <c r="FYE44" s="669"/>
      <c r="FYF44" s="669"/>
      <c r="FYG44" s="669"/>
      <c r="FYH44" s="669"/>
      <c r="FYI44" s="669"/>
      <c r="FYJ44" s="669"/>
      <c r="FYK44" s="669"/>
      <c r="FYL44" s="669"/>
      <c r="FYM44" s="669"/>
      <c r="FYN44" s="669"/>
      <c r="FYO44" s="669"/>
      <c r="FYP44" s="669"/>
      <c r="FYQ44" s="669"/>
      <c r="FYR44" s="669"/>
      <c r="FYS44" s="669"/>
      <c r="FYT44" s="669"/>
      <c r="FYU44" s="669"/>
      <c r="FYV44" s="669"/>
      <c r="FYW44" s="669"/>
      <c r="FYX44" s="669"/>
      <c r="FYY44" s="669"/>
      <c r="FYZ44" s="669"/>
      <c r="FZA44" s="669"/>
      <c r="FZB44" s="669"/>
      <c r="FZC44" s="669"/>
      <c r="FZD44" s="669"/>
      <c r="FZE44" s="669"/>
      <c r="FZF44" s="669"/>
      <c r="FZG44" s="669"/>
      <c r="FZH44" s="669"/>
      <c r="FZI44" s="669"/>
      <c r="FZJ44" s="669"/>
      <c r="FZK44" s="669"/>
      <c r="FZL44" s="669"/>
      <c r="FZM44" s="669"/>
      <c r="FZN44" s="669"/>
      <c r="FZO44" s="669"/>
      <c r="FZP44" s="669"/>
      <c r="FZQ44" s="669"/>
      <c r="FZR44" s="669"/>
      <c r="FZS44" s="669"/>
      <c r="FZT44" s="669"/>
      <c r="FZU44" s="669"/>
      <c r="FZV44" s="669"/>
      <c r="FZW44" s="669"/>
      <c r="FZX44" s="669"/>
      <c r="FZY44" s="669"/>
      <c r="FZZ44" s="669"/>
      <c r="GAA44" s="669"/>
      <c r="GAB44" s="669"/>
      <c r="GAC44" s="669"/>
      <c r="GAD44" s="669"/>
      <c r="GAE44" s="669"/>
      <c r="GAF44" s="669"/>
      <c r="GAG44" s="669"/>
      <c r="GAH44" s="669"/>
      <c r="GAI44" s="669"/>
      <c r="GAJ44" s="669"/>
      <c r="GAK44" s="669"/>
      <c r="GAL44" s="669"/>
      <c r="GAM44" s="669"/>
      <c r="GAN44" s="669"/>
      <c r="GAO44" s="669"/>
      <c r="GAP44" s="669"/>
      <c r="GAQ44" s="669"/>
      <c r="GAR44" s="669"/>
      <c r="GAS44" s="669"/>
      <c r="GAT44" s="669"/>
      <c r="GAU44" s="669"/>
      <c r="GAV44" s="669"/>
      <c r="GAW44" s="669"/>
      <c r="GAX44" s="669"/>
      <c r="GAY44" s="669"/>
      <c r="GAZ44" s="669"/>
      <c r="GBA44" s="669"/>
      <c r="GBB44" s="669"/>
      <c r="GBC44" s="669"/>
      <c r="GBD44" s="669"/>
      <c r="GBE44" s="669"/>
      <c r="GBF44" s="669"/>
      <c r="GBG44" s="669"/>
      <c r="GBH44" s="669"/>
      <c r="GBI44" s="669"/>
      <c r="GBJ44" s="669"/>
      <c r="GBK44" s="669"/>
      <c r="GBL44" s="669"/>
      <c r="GBM44" s="669"/>
      <c r="GBN44" s="669"/>
      <c r="GBO44" s="669"/>
      <c r="GBP44" s="669"/>
      <c r="GBQ44" s="669"/>
      <c r="GBR44" s="669"/>
      <c r="GBS44" s="669"/>
      <c r="GBT44" s="669"/>
      <c r="GBU44" s="669"/>
      <c r="GBV44" s="669"/>
      <c r="GBW44" s="669"/>
      <c r="GBX44" s="669"/>
      <c r="GBY44" s="669"/>
      <c r="GBZ44" s="669"/>
      <c r="GCA44" s="669"/>
      <c r="GCB44" s="669"/>
      <c r="GCC44" s="669"/>
      <c r="GCD44" s="669"/>
      <c r="GCE44" s="669"/>
      <c r="GCF44" s="669"/>
      <c r="GCG44" s="669"/>
      <c r="GCH44" s="669"/>
      <c r="GCI44" s="669"/>
      <c r="GCJ44" s="669"/>
      <c r="GCK44" s="669"/>
      <c r="GCL44" s="669"/>
      <c r="GCM44" s="669"/>
      <c r="GCN44" s="669"/>
      <c r="GCO44" s="669"/>
      <c r="GCP44" s="669"/>
      <c r="GCQ44" s="669"/>
      <c r="GCR44" s="669"/>
      <c r="GCS44" s="669"/>
      <c r="GCT44" s="669"/>
      <c r="GCU44" s="669"/>
      <c r="GCV44" s="669"/>
      <c r="GCW44" s="669"/>
      <c r="GCX44" s="669"/>
      <c r="GCY44" s="669"/>
      <c r="GCZ44" s="669"/>
      <c r="GDA44" s="669"/>
      <c r="GDB44" s="669"/>
      <c r="GDC44" s="669"/>
      <c r="GDD44" s="669"/>
      <c r="GDE44" s="669"/>
      <c r="GDF44" s="669"/>
      <c r="GDG44" s="669"/>
      <c r="GDH44" s="669"/>
      <c r="GDI44" s="669"/>
      <c r="GDJ44" s="669"/>
      <c r="GDK44" s="669"/>
      <c r="GDL44" s="669"/>
      <c r="GDM44" s="669"/>
      <c r="GDN44" s="669"/>
      <c r="GDO44" s="669"/>
      <c r="GDP44" s="669"/>
      <c r="GDQ44" s="669"/>
      <c r="GDR44" s="669"/>
      <c r="GDS44" s="669"/>
      <c r="GDT44" s="669"/>
      <c r="GDU44" s="669"/>
      <c r="GDV44" s="669"/>
      <c r="GDW44" s="669"/>
      <c r="GDX44" s="669"/>
      <c r="GDY44" s="669"/>
      <c r="GDZ44" s="669"/>
      <c r="GEA44" s="669"/>
      <c r="GEB44" s="669"/>
      <c r="GEC44" s="669"/>
      <c r="GED44" s="669"/>
      <c r="GEE44" s="669"/>
      <c r="GEF44" s="669"/>
      <c r="GEG44" s="669"/>
      <c r="GEH44" s="669"/>
      <c r="GEI44" s="669"/>
      <c r="GEJ44" s="669"/>
      <c r="GEK44" s="669"/>
      <c r="GEL44" s="669"/>
      <c r="GEM44" s="669"/>
      <c r="GEN44" s="669"/>
      <c r="GEO44" s="669"/>
      <c r="GEP44" s="669"/>
      <c r="GEQ44" s="669"/>
      <c r="GER44" s="669"/>
      <c r="GES44" s="669"/>
      <c r="GET44" s="669"/>
      <c r="GEU44" s="669"/>
      <c r="GEV44" s="669"/>
      <c r="GEW44" s="669"/>
      <c r="GEX44" s="669"/>
      <c r="GEY44" s="669"/>
      <c r="GEZ44" s="669"/>
      <c r="GFA44" s="669"/>
      <c r="GFB44" s="669"/>
      <c r="GFC44" s="669"/>
      <c r="GFD44" s="669"/>
      <c r="GFE44" s="669"/>
      <c r="GFF44" s="669"/>
      <c r="GFG44" s="669"/>
      <c r="GFH44" s="669"/>
      <c r="GFI44" s="669"/>
      <c r="GFJ44" s="669"/>
      <c r="GFK44" s="669"/>
      <c r="GFL44" s="669"/>
      <c r="GFM44" s="669"/>
      <c r="GFN44" s="669"/>
      <c r="GFO44" s="669"/>
      <c r="GFP44" s="669"/>
      <c r="GFQ44" s="669"/>
      <c r="GFR44" s="669"/>
      <c r="GFS44" s="669"/>
      <c r="GFT44" s="669"/>
      <c r="GFU44" s="669"/>
      <c r="GFV44" s="669"/>
      <c r="GFW44" s="669"/>
      <c r="GFX44" s="669"/>
      <c r="GFY44" s="669"/>
      <c r="GFZ44" s="669"/>
      <c r="GGA44" s="669"/>
      <c r="GGB44" s="669"/>
      <c r="GGC44" s="669"/>
      <c r="GGD44" s="669"/>
      <c r="GGE44" s="669"/>
      <c r="GGF44" s="669"/>
      <c r="GGG44" s="669"/>
      <c r="GGH44" s="669"/>
      <c r="GGI44" s="669"/>
      <c r="GGJ44" s="669"/>
      <c r="GGK44" s="669"/>
      <c r="GGL44" s="669"/>
      <c r="GGM44" s="669"/>
      <c r="GGN44" s="669"/>
      <c r="GGO44" s="669"/>
      <c r="GGP44" s="669"/>
      <c r="GGQ44" s="669"/>
      <c r="GGR44" s="669"/>
      <c r="GGS44" s="669"/>
      <c r="GGT44" s="669"/>
      <c r="GGU44" s="669"/>
      <c r="GGV44" s="669"/>
      <c r="GGW44" s="669"/>
      <c r="GGX44" s="669"/>
      <c r="GGY44" s="669"/>
      <c r="GGZ44" s="669"/>
      <c r="GHA44" s="669"/>
      <c r="GHB44" s="669"/>
      <c r="GHC44" s="669"/>
      <c r="GHD44" s="669"/>
      <c r="GHE44" s="669"/>
      <c r="GHF44" s="669"/>
      <c r="GHG44" s="669"/>
      <c r="GHH44" s="669"/>
      <c r="GHI44" s="669"/>
      <c r="GHJ44" s="669"/>
      <c r="GHK44" s="669"/>
      <c r="GHL44" s="669"/>
      <c r="GHM44" s="669"/>
      <c r="GHN44" s="669"/>
      <c r="GHO44" s="669"/>
      <c r="GHP44" s="669"/>
      <c r="GHQ44" s="669"/>
      <c r="GHR44" s="669"/>
      <c r="GHS44" s="669"/>
      <c r="GHT44" s="669"/>
      <c r="GHU44" s="669"/>
      <c r="GHV44" s="669"/>
      <c r="GHW44" s="669"/>
      <c r="GHX44" s="669"/>
      <c r="GHY44" s="669"/>
      <c r="GHZ44" s="669"/>
      <c r="GIA44" s="669"/>
      <c r="GIB44" s="669"/>
      <c r="GIC44" s="669"/>
      <c r="GID44" s="669"/>
      <c r="GIE44" s="669"/>
      <c r="GIF44" s="669"/>
      <c r="GIG44" s="669"/>
      <c r="GIH44" s="669"/>
      <c r="GII44" s="669"/>
      <c r="GIJ44" s="669"/>
      <c r="GIK44" s="669"/>
      <c r="GIL44" s="669"/>
      <c r="GIM44" s="669"/>
      <c r="GIN44" s="669"/>
      <c r="GIO44" s="669"/>
      <c r="GIP44" s="669"/>
      <c r="GIQ44" s="669"/>
      <c r="GIR44" s="669"/>
      <c r="GIS44" s="669"/>
      <c r="GIT44" s="669"/>
      <c r="GIU44" s="669"/>
      <c r="GIV44" s="669"/>
      <c r="GIW44" s="669"/>
      <c r="GIX44" s="669"/>
      <c r="GIY44" s="669"/>
      <c r="GIZ44" s="669"/>
      <c r="GJA44" s="669"/>
      <c r="GJB44" s="669"/>
      <c r="GJC44" s="669"/>
      <c r="GJD44" s="669"/>
      <c r="GJE44" s="669"/>
      <c r="GJF44" s="669"/>
      <c r="GJG44" s="669"/>
      <c r="GJH44" s="669"/>
      <c r="GJI44" s="669"/>
      <c r="GJJ44" s="669"/>
      <c r="GJK44" s="669"/>
      <c r="GJL44" s="669"/>
      <c r="GJM44" s="669"/>
      <c r="GJN44" s="669"/>
      <c r="GJO44" s="669"/>
      <c r="GJP44" s="669"/>
      <c r="GJQ44" s="669"/>
      <c r="GJR44" s="669"/>
      <c r="GJS44" s="669"/>
      <c r="GJT44" s="669"/>
      <c r="GJU44" s="669"/>
      <c r="GJV44" s="669"/>
      <c r="GJW44" s="669"/>
      <c r="GJX44" s="669"/>
      <c r="GJY44" s="669"/>
      <c r="GJZ44" s="669"/>
      <c r="GKA44" s="669"/>
      <c r="GKB44" s="669"/>
      <c r="GKC44" s="669"/>
      <c r="GKD44" s="669"/>
      <c r="GKE44" s="669"/>
      <c r="GKF44" s="669"/>
      <c r="GKG44" s="669"/>
      <c r="GKH44" s="669"/>
      <c r="GKI44" s="669"/>
      <c r="GKJ44" s="669"/>
      <c r="GKK44" s="669"/>
      <c r="GKL44" s="669"/>
      <c r="GKM44" s="669"/>
      <c r="GKN44" s="669"/>
      <c r="GKO44" s="669"/>
      <c r="GKP44" s="669"/>
      <c r="GKQ44" s="669"/>
      <c r="GKR44" s="669"/>
      <c r="GKS44" s="669"/>
      <c r="GKT44" s="669"/>
      <c r="GKU44" s="669"/>
      <c r="GKV44" s="669"/>
      <c r="GKW44" s="669"/>
      <c r="GKX44" s="669"/>
      <c r="GKY44" s="669"/>
      <c r="GKZ44" s="669"/>
      <c r="GLA44" s="669"/>
      <c r="GLB44" s="669"/>
      <c r="GLC44" s="669"/>
      <c r="GLD44" s="669"/>
      <c r="GLE44" s="669"/>
      <c r="GLF44" s="669"/>
      <c r="GLG44" s="669"/>
      <c r="GLH44" s="669"/>
      <c r="GLI44" s="669"/>
      <c r="GLJ44" s="669"/>
      <c r="GLK44" s="669"/>
      <c r="GLL44" s="669"/>
      <c r="GLM44" s="669"/>
      <c r="GLN44" s="669"/>
      <c r="GLO44" s="669"/>
      <c r="GLP44" s="669"/>
      <c r="GLQ44" s="669"/>
      <c r="GLR44" s="669"/>
      <c r="GLS44" s="669"/>
      <c r="GLT44" s="669"/>
      <c r="GLU44" s="669"/>
      <c r="GLV44" s="669"/>
      <c r="GLW44" s="669"/>
      <c r="GLX44" s="669"/>
      <c r="GLY44" s="669"/>
      <c r="GLZ44" s="669"/>
      <c r="GMA44" s="669"/>
      <c r="GMB44" s="669"/>
      <c r="GMC44" s="669"/>
      <c r="GMD44" s="669"/>
      <c r="GME44" s="669"/>
      <c r="GMF44" s="669"/>
      <c r="GMG44" s="669"/>
      <c r="GMH44" s="669"/>
      <c r="GMI44" s="669"/>
      <c r="GMJ44" s="669"/>
      <c r="GMK44" s="669"/>
      <c r="GML44" s="669"/>
      <c r="GMM44" s="669"/>
      <c r="GMN44" s="669"/>
      <c r="GMO44" s="669"/>
      <c r="GMP44" s="669"/>
      <c r="GMQ44" s="669"/>
      <c r="GMR44" s="669"/>
      <c r="GMS44" s="669"/>
      <c r="GMT44" s="669"/>
      <c r="GMU44" s="669"/>
      <c r="GMV44" s="669"/>
      <c r="GMW44" s="669"/>
      <c r="GMX44" s="669"/>
      <c r="GMY44" s="669"/>
      <c r="GMZ44" s="669"/>
      <c r="GNA44" s="669"/>
      <c r="GNB44" s="669"/>
      <c r="GNC44" s="669"/>
      <c r="GND44" s="669"/>
      <c r="GNE44" s="669"/>
      <c r="GNF44" s="669"/>
      <c r="GNG44" s="669"/>
      <c r="GNH44" s="669"/>
      <c r="GNI44" s="669"/>
      <c r="GNJ44" s="669"/>
      <c r="GNK44" s="669"/>
      <c r="GNL44" s="669"/>
      <c r="GNM44" s="669"/>
      <c r="GNN44" s="669"/>
      <c r="GNO44" s="669"/>
      <c r="GNP44" s="669"/>
      <c r="GNQ44" s="669"/>
      <c r="GNR44" s="669"/>
      <c r="GNS44" s="669"/>
      <c r="GNT44" s="669"/>
      <c r="GNU44" s="669"/>
      <c r="GNV44" s="669"/>
      <c r="GNW44" s="669"/>
      <c r="GNX44" s="669"/>
      <c r="GNY44" s="669"/>
      <c r="GNZ44" s="669"/>
      <c r="GOA44" s="669"/>
      <c r="GOB44" s="669"/>
      <c r="GOC44" s="669"/>
      <c r="GOD44" s="669"/>
      <c r="GOE44" s="669"/>
      <c r="GOF44" s="669"/>
      <c r="GOG44" s="669"/>
      <c r="GOH44" s="669"/>
      <c r="GOI44" s="669"/>
      <c r="GOJ44" s="669"/>
      <c r="GOK44" s="669"/>
      <c r="GOL44" s="669"/>
      <c r="GOM44" s="669"/>
      <c r="GON44" s="669"/>
      <c r="GOO44" s="669"/>
      <c r="GOP44" s="669"/>
      <c r="GOQ44" s="669"/>
      <c r="GOR44" s="669"/>
      <c r="GOS44" s="669"/>
      <c r="GOT44" s="669"/>
      <c r="GOU44" s="669"/>
      <c r="GOV44" s="669"/>
      <c r="GOW44" s="669"/>
      <c r="GOX44" s="669"/>
      <c r="GOY44" s="669"/>
      <c r="GOZ44" s="669"/>
      <c r="GPA44" s="669"/>
      <c r="GPB44" s="669"/>
      <c r="GPC44" s="669"/>
      <c r="GPD44" s="669"/>
      <c r="GPE44" s="669"/>
      <c r="GPF44" s="669"/>
      <c r="GPG44" s="669"/>
      <c r="GPH44" s="669"/>
      <c r="GPI44" s="669"/>
      <c r="GPJ44" s="669"/>
      <c r="GPK44" s="669"/>
      <c r="GPL44" s="669"/>
      <c r="GPM44" s="669"/>
      <c r="GPN44" s="669"/>
      <c r="GPO44" s="669"/>
      <c r="GPP44" s="669"/>
      <c r="GPQ44" s="669"/>
      <c r="GPR44" s="669"/>
      <c r="GPS44" s="669"/>
      <c r="GPT44" s="669"/>
      <c r="GPU44" s="669"/>
      <c r="GPV44" s="669"/>
      <c r="GPW44" s="669"/>
      <c r="GPX44" s="669"/>
      <c r="GPY44" s="669"/>
      <c r="GPZ44" s="669"/>
      <c r="GQA44" s="669"/>
      <c r="GQB44" s="669"/>
      <c r="GQC44" s="669"/>
      <c r="GQD44" s="669"/>
      <c r="GQE44" s="669"/>
      <c r="GQF44" s="669"/>
      <c r="GQG44" s="669"/>
      <c r="GQH44" s="669"/>
      <c r="GQI44" s="669"/>
      <c r="GQJ44" s="669"/>
      <c r="GQK44" s="669"/>
      <c r="GQL44" s="669"/>
      <c r="GQM44" s="669"/>
      <c r="GQN44" s="669"/>
      <c r="GQO44" s="669"/>
      <c r="GQP44" s="669"/>
      <c r="GQQ44" s="669"/>
      <c r="GQR44" s="669"/>
      <c r="GQS44" s="669"/>
      <c r="GQT44" s="669"/>
      <c r="GQU44" s="669"/>
      <c r="GQV44" s="669"/>
      <c r="GQW44" s="669"/>
      <c r="GQX44" s="669"/>
      <c r="GQY44" s="669"/>
      <c r="GQZ44" s="669"/>
      <c r="GRA44" s="669"/>
      <c r="GRB44" s="669"/>
      <c r="GRC44" s="669"/>
      <c r="GRD44" s="669"/>
      <c r="GRE44" s="669"/>
      <c r="GRF44" s="669"/>
      <c r="GRG44" s="669"/>
      <c r="GRH44" s="669"/>
      <c r="GRI44" s="669"/>
      <c r="GRJ44" s="669"/>
      <c r="GRK44" s="669"/>
      <c r="GRL44" s="669"/>
      <c r="GRM44" s="669"/>
      <c r="GRN44" s="669"/>
      <c r="GRO44" s="669"/>
      <c r="GRP44" s="669"/>
      <c r="GRQ44" s="669"/>
      <c r="GRR44" s="669"/>
      <c r="GRS44" s="669"/>
      <c r="GRT44" s="669"/>
      <c r="GRU44" s="669"/>
      <c r="GRV44" s="669"/>
      <c r="GRW44" s="669"/>
      <c r="GRX44" s="669"/>
      <c r="GRY44" s="669"/>
      <c r="GRZ44" s="669"/>
      <c r="GSA44" s="669"/>
      <c r="GSB44" s="669"/>
      <c r="GSC44" s="669"/>
      <c r="GSD44" s="669"/>
      <c r="GSE44" s="669"/>
      <c r="GSF44" s="669"/>
      <c r="GSG44" s="669"/>
      <c r="GSH44" s="669"/>
      <c r="GSI44" s="669"/>
      <c r="GSJ44" s="669"/>
      <c r="GSK44" s="669"/>
      <c r="GSL44" s="669"/>
      <c r="GSM44" s="669"/>
      <c r="GSN44" s="669"/>
      <c r="GSO44" s="669"/>
      <c r="GSP44" s="669"/>
      <c r="GSQ44" s="669"/>
      <c r="GSR44" s="669"/>
      <c r="GSS44" s="669"/>
      <c r="GST44" s="669"/>
      <c r="GSU44" s="669"/>
      <c r="GSV44" s="669"/>
      <c r="GSW44" s="669"/>
      <c r="GSX44" s="669"/>
      <c r="GSY44" s="669"/>
      <c r="GSZ44" s="669"/>
      <c r="GTA44" s="669"/>
      <c r="GTB44" s="669"/>
      <c r="GTC44" s="669"/>
      <c r="GTD44" s="669"/>
      <c r="GTE44" s="669"/>
      <c r="GTF44" s="669"/>
      <c r="GTG44" s="669"/>
      <c r="GTH44" s="669"/>
      <c r="GTI44" s="669"/>
      <c r="GTJ44" s="669"/>
      <c r="GTK44" s="669"/>
      <c r="GTL44" s="669"/>
      <c r="GTM44" s="669"/>
      <c r="GTN44" s="669"/>
      <c r="GTO44" s="669"/>
      <c r="GTP44" s="669"/>
      <c r="GTQ44" s="669"/>
      <c r="GTR44" s="669"/>
      <c r="GTS44" s="669"/>
      <c r="GTT44" s="669"/>
      <c r="GTU44" s="669"/>
      <c r="GTV44" s="669"/>
      <c r="GTW44" s="669"/>
      <c r="GTX44" s="669"/>
      <c r="GTY44" s="669"/>
      <c r="GTZ44" s="669"/>
      <c r="GUA44" s="669"/>
      <c r="GUB44" s="669"/>
      <c r="GUC44" s="669"/>
      <c r="GUD44" s="669"/>
      <c r="GUE44" s="669"/>
      <c r="GUF44" s="669"/>
      <c r="GUG44" s="669"/>
      <c r="GUH44" s="669"/>
      <c r="GUI44" s="669"/>
      <c r="GUJ44" s="669"/>
      <c r="GUK44" s="669"/>
      <c r="GUL44" s="669"/>
      <c r="GUM44" s="669"/>
      <c r="GUN44" s="669"/>
      <c r="GUO44" s="669"/>
      <c r="GUP44" s="669"/>
      <c r="GUQ44" s="669"/>
      <c r="GUR44" s="669"/>
      <c r="GUS44" s="669"/>
      <c r="GUT44" s="669"/>
      <c r="GUU44" s="669"/>
      <c r="GUV44" s="669"/>
      <c r="GUW44" s="669"/>
      <c r="GUX44" s="669"/>
      <c r="GUY44" s="669"/>
      <c r="GUZ44" s="669"/>
      <c r="GVA44" s="669"/>
      <c r="GVB44" s="669"/>
      <c r="GVC44" s="669"/>
      <c r="GVD44" s="669"/>
      <c r="GVE44" s="669"/>
      <c r="GVF44" s="669"/>
      <c r="GVG44" s="669"/>
      <c r="GVH44" s="669"/>
      <c r="GVI44" s="669"/>
      <c r="GVJ44" s="669"/>
      <c r="GVK44" s="669"/>
      <c r="GVL44" s="669"/>
      <c r="GVM44" s="669"/>
      <c r="GVN44" s="669"/>
      <c r="GVO44" s="669"/>
      <c r="GVP44" s="669"/>
      <c r="GVQ44" s="669"/>
      <c r="GVR44" s="669"/>
      <c r="GVS44" s="669"/>
      <c r="GVT44" s="669"/>
      <c r="GVU44" s="669"/>
      <c r="GVV44" s="669"/>
      <c r="GVW44" s="669"/>
      <c r="GVX44" s="669"/>
      <c r="GVY44" s="669"/>
      <c r="GVZ44" s="669"/>
      <c r="GWA44" s="669"/>
      <c r="GWB44" s="669"/>
      <c r="GWC44" s="669"/>
      <c r="GWD44" s="669"/>
      <c r="GWE44" s="669"/>
      <c r="GWF44" s="669"/>
      <c r="GWG44" s="669"/>
      <c r="GWH44" s="669"/>
      <c r="GWI44" s="669"/>
      <c r="GWJ44" s="669"/>
      <c r="GWK44" s="669"/>
      <c r="GWL44" s="669"/>
      <c r="GWM44" s="669"/>
      <c r="GWN44" s="669"/>
      <c r="GWO44" s="669"/>
      <c r="GWP44" s="669"/>
      <c r="GWQ44" s="669"/>
      <c r="GWR44" s="669"/>
      <c r="GWS44" s="669"/>
      <c r="GWT44" s="669"/>
      <c r="GWU44" s="669"/>
      <c r="GWV44" s="669"/>
      <c r="GWW44" s="669"/>
      <c r="GWX44" s="669"/>
      <c r="GWY44" s="669"/>
      <c r="GWZ44" s="669"/>
      <c r="GXA44" s="669"/>
      <c r="GXB44" s="669"/>
      <c r="GXC44" s="669"/>
      <c r="GXD44" s="669"/>
      <c r="GXE44" s="669"/>
      <c r="GXF44" s="669"/>
      <c r="GXG44" s="669"/>
      <c r="GXH44" s="669"/>
      <c r="GXI44" s="669"/>
      <c r="GXJ44" s="669"/>
      <c r="GXK44" s="669"/>
      <c r="GXL44" s="669"/>
      <c r="GXM44" s="669"/>
      <c r="GXN44" s="669"/>
      <c r="GXO44" s="669"/>
      <c r="GXP44" s="669"/>
      <c r="GXQ44" s="669"/>
      <c r="GXR44" s="669"/>
      <c r="GXS44" s="669"/>
      <c r="GXT44" s="669"/>
      <c r="GXU44" s="669"/>
      <c r="GXV44" s="669"/>
      <c r="GXW44" s="669"/>
      <c r="GXX44" s="669"/>
      <c r="GXY44" s="669"/>
      <c r="GXZ44" s="669"/>
      <c r="GYA44" s="669"/>
      <c r="GYB44" s="669"/>
      <c r="GYC44" s="669"/>
      <c r="GYD44" s="669"/>
      <c r="GYE44" s="669"/>
      <c r="GYF44" s="669"/>
      <c r="GYG44" s="669"/>
      <c r="GYH44" s="669"/>
      <c r="GYI44" s="669"/>
      <c r="GYJ44" s="669"/>
      <c r="GYK44" s="669"/>
      <c r="GYL44" s="669"/>
      <c r="GYM44" s="669"/>
      <c r="GYN44" s="669"/>
      <c r="GYO44" s="669"/>
      <c r="GYP44" s="669"/>
      <c r="GYQ44" s="669"/>
      <c r="GYR44" s="669"/>
      <c r="GYS44" s="669"/>
      <c r="GYT44" s="669"/>
      <c r="GYU44" s="669"/>
      <c r="GYV44" s="669"/>
      <c r="GYW44" s="669"/>
      <c r="GYX44" s="669"/>
      <c r="GYY44" s="669"/>
      <c r="GYZ44" s="669"/>
      <c r="GZA44" s="669"/>
      <c r="GZB44" s="669"/>
      <c r="GZC44" s="669"/>
      <c r="GZD44" s="669"/>
      <c r="GZE44" s="669"/>
      <c r="GZF44" s="669"/>
      <c r="GZG44" s="669"/>
      <c r="GZH44" s="669"/>
      <c r="GZI44" s="669"/>
      <c r="GZJ44" s="669"/>
      <c r="GZK44" s="669"/>
      <c r="GZL44" s="669"/>
      <c r="GZM44" s="669"/>
      <c r="GZN44" s="669"/>
      <c r="GZO44" s="669"/>
      <c r="GZP44" s="669"/>
      <c r="GZQ44" s="669"/>
      <c r="GZR44" s="669"/>
      <c r="GZS44" s="669"/>
      <c r="GZT44" s="669"/>
      <c r="GZU44" s="669"/>
      <c r="GZV44" s="669"/>
      <c r="GZW44" s="669"/>
      <c r="GZX44" s="669"/>
      <c r="GZY44" s="669"/>
      <c r="GZZ44" s="669"/>
      <c r="HAA44" s="669"/>
      <c r="HAB44" s="669"/>
      <c r="HAC44" s="669"/>
      <c r="HAD44" s="669"/>
      <c r="HAE44" s="669"/>
      <c r="HAF44" s="669"/>
      <c r="HAG44" s="669"/>
      <c r="HAH44" s="669"/>
      <c r="HAI44" s="669"/>
      <c r="HAJ44" s="669"/>
      <c r="HAK44" s="669"/>
      <c r="HAL44" s="669"/>
      <c r="HAM44" s="669"/>
      <c r="HAN44" s="669"/>
      <c r="HAO44" s="669"/>
      <c r="HAP44" s="669"/>
      <c r="HAQ44" s="669"/>
      <c r="HAR44" s="669"/>
      <c r="HAS44" s="669"/>
      <c r="HAT44" s="669"/>
      <c r="HAU44" s="669"/>
      <c r="HAV44" s="669"/>
      <c r="HAW44" s="669"/>
      <c r="HAX44" s="669"/>
      <c r="HAY44" s="669"/>
      <c r="HAZ44" s="669"/>
      <c r="HBA44" s="669"/>
      <c r="HBB44" s="669"/>
      <c r="HBC44" s="669"/>
      <c r="HBD44" s="669"/>
      <c r="HBE44" s="669"/>
      <c r="HBF44" s="669"/>
      <c r="HBG44" s="669"/>
      <c r="HBH44" s="669"/>
      <c r="HBI44" s="669"/>
      <c r="HBJ44" s="669"/>
      <c r="HBK44" s="669"/>
      <c r="HBL44" s="669"/>
      <c r="HBM44" s="669"/>
      <c r="HBN44" s="669"/>
      <c r="HBO44" s="669"/>
      <c r="HBP44" s="669"/>
      <c r="HBQ44" s="669"/>
      <c r="HBR44" s="669"/>
      <c r="HBS44" s="669"/>
      <c r="HBT44" s="669"/>
      <c r="HBU44" s="669"/>
      <c r="HBV44" s="669"/>
      <c r="HBW44" s="669"/>
      <c r="HBX44" s="669"/>
      <c r="HBY44" s="669"/>
      <c r="HBZ44" s="669"/>
      <c r="HCA44" s="669"/>
      <c r="HCB44" s="669"/>
      <c r="HCC44" s="669"/>
      <c r="HCD44" s="669"/>
      <c r="HCE44" s="669"/>
      <c r="HCF44" s="669"/>
      <c r="HCG44" s="669"/>
      <c r="HCH44" s="669"/>
      <c r="HCI44" s="669"/>
      <c r="HCJ44" s="669"/>
      <c r="HCK44" s="669"/>
      <c r="HCL44" s="669"/>
      <c r="HCM44" s="669"/>
      <c r="HCN44" s="669"/>
      <c r="HCO44" s="669"/>
      <c r="HCP44" s="669"/>
      <c r="HCQ44" s="669"/>
      <c r="HCR44" s="669"/>
      <c r="HCS44" s="669"/>
      <c r="HCT44" s="669"/>
      <c r="HCU44" s="669"/>
      <c r="HCV44" s="669"/>
      <c r="HCW44" s="669"/>
      <c r="HCX44" s="669"/>
      <c r="HCY44" s="669"/>
      <c r="HCZ44" s="669"/>
      <c r="HDA44" s="669"/>
      <c r="HDB44" s="669"/>
      <c r="HDC44" s="669"/>
      <c r="HDD44" s="669"/>
      <c r="HDE44" s="669"/>
      <c r="HDF44" s="669"/>
      <c r="HDG44" s="669"/>
      <c r="HDH44" s="669"/>
      <c r="HDI44" s="669"/>
      <c r="HDJ44" s="669"/>
      <c r="HDK44" s="669"/>
      <c r="HDL44" s="669"/>
      <c r="HDM44" s="669"/>
      <c r="HDN44" s="669"/>
      <c r="HDO44" s="669"/>
      <c r="HDP44" s="669"/>
      <c r="HDQ44" s="669"/>
      <c r="HDR44" s="669"/>
      <c r="HDS44" s="669"/>
      <c r="HDT44" s="669"/>
      <c r="HDU44" s="669"/>
      <c r="HDV44" s="669"/>
      <c r="HDW44" s="669"/>
      <c r="HDX44" s="669"/>
      <c r="HDY44" s="669"/>
      <c r="HDZ44" s="669"/>
      <c r="HEA44" s="669"/>
      <c r="HEB44" s="669"/>
      <c r="HEC44" s="669"/>
      <c r="HED44" s="669"/>
      <c r="HEE44" s="669"/>
      <c r="HEF44" s="669"/>
      <c r="HEG44" s="669"/>
      <c r="HEH44" s="669"/>
      <c r="HEI44" s="669"/>
      <c r="HEJ44" s="669"/>
      <c r="HEK44" s="669"/>
      <c r="HEL44" s="669"/>
      <c r="HEM44" s="669"/>
      <c r="HEN44" s="669"/>
      <c r="HEO44" s="669"/>
      <c r="HEP44" s="669"/>
      <c r="HEQ44" s="669"/>
      <c r="HER44" s="669"/>
      <c r="HES44" s="669"/>
      <c r="HET44" s="669"/>
      <c r="HEU44" s="669"/>
      <c r="HEV44" s="669"/>
      <c r="HEW44" s="669"/>
      <c r="HEX44" s="669"/>
      <c r="HEY44" s="669"/>
      <c r="HEZ44" s="669"/>
      <c r="HFA44" s="669"/>
      <c r="HFB44" s="669"/>
      <c r="HFC44" s="669"/>
      <c r="HFD44" s="669"/>
      <c r="HFE44" s="669"/>
      <c r="HFF44" s="669"/>
      <c r="HFG44" s="669"/>
      <c r="HFH44" s="669"/>
      <c r="HFI44" s="669"/>
      <c r="HFJ44" s="669"/>
      <c r="HFK44" s="669"/>
      <c r="HFL44" s="669"/>
      <c r="HFM44" s="669"/>
      <c r="HFN44" s="669"/>
      <c r="HFO44" s="669"/>
      <c r="HFP44" s="669"/>
      <c r="HFQ44" s="669"/>
      <c r="HFR44" s="669"/>
      <c r="HFS44" s="669"/>
      <c r="HFT44" s="669"/>
      <c r="HFU44" s="669"/>
      <c r="HFV44" s="669"/>
      <c r="HFW44" s="669"/>
      <c r="HFX44" s="669"/>
      <c r="HFY44" s="669"/>
      <c r="HFZ44" s="669"/>
      <c r="HGA44" s="669"/>
      <c r="HGB44" s="669"/>
      <c r="HGC44" s="669"/>
      <c r="HGD44" s="669"/>
      <c r="HGE44" s="669"/>
      <c r="HGF44" s="669"/>
      <c r="HGG44" s="669"/>
      <c r="HGH44" s="669"/>
      <c r="HGI44" s="669"/>
      <c r="HGJ44" s="669"/>
      <c r="HGK44" s="669"/>
      <c r="HGL44" s="669"/>
      <c r="HGM44" s="669"/>
      <c r="HGN44" s="669"/>
      <c r="HGO44" s="669"/>
      <c r="HGP44" s="669"/>
      <c r="HGQ44" s="669"/>
      <c r="HGR44" s="669"/>
      <c r="HGS44" s="669"/>
      <c r="HGT44" s="669"/>
      <c r="HGU44" s="669"/>
      <c r="HGV44" s="669"/>
      <c r="HGW44" s="669"/>
      <c r="HGX44" s="669"/>
      <c r="HGY44" s="669"/>
      <c r="HGZ44" s="669"/>
      <c r="HHA44" s="669"/>
      <c r="HHB44" s="669"/>
      <c r="HHC44" s="669"/>
      <c r="HHD44" s="669"/>
      <c r="HHE44" s="669"/>
      <c r="HHF44" s="669"/>
      <c r="HHG44" s="669"/>
      <c r="HHH44" s="669"/>
      <c r="HHI44" s="669"/>
      <c r="HHJ44" s="669"/>
      <c r="HHK44" s="669"/>
      <c r="HHL44" s="669"/>
      <c r="HHM44" s="669"/>
      <c r="HHN44" s="669"/>
      <c r="HHO44" s="669"/>
      <c r="HHP44" s="669"/>
      <c r="HHQ44" s="669"/>
      <c r="HHR44" s="669"/>
      <c r="HHS44" s="669"/>
      <c r="HHT44" s="669"/>
      <c r="HHU44" s="669"/>
      <c r="HHV44" s="669"/>
      <c r="HHW44" s="669"/>
      <c r="HHX44" s="669"/>
      <c r="HHY44" s="669"/>
      <c r="HHZ44" s="669"/>
      <c r="HIA44" s="669"/>
      <c r="HIB44" s="669"/>
      <c r="HIC44" s="669"/>
      <c r="HID44" s="669"/>
      <c r="HIE44" s="669"/>
      <c r="HIF44" s="669"/>
      <c r="HIG44" s="669"/>
      <c r="HIH44" s="669"/>
      <c r="HII44" s="669"/>
      <c r="HIJ44" s="669"/>
      <c r="HIK44" s="669"/>
      <c r="HIL44" s="669"/>
      <c r="HIM44" s="669"/>
      <c r="HIN44" s="669"/>
      <c r="HIO44" s="669"/>
      <c r="HIP44" s="669"/>
      <c r="HIQ44" s="669"/>
      <c r="HIR44" s="669"/>
      <c r="HIS44" s="669"/>
      <c r="HIT44" s="669"/>
      <c r="HIU44" s="669"/>
      <c r="HIV44" s="669"/>
      <c r="HIW44" s="669"/>
      <c r="HIX44" s="669"/>
      <c r="HIY44" s="669"/>
      <c r="HIZ44" s="669"/>
      <c r="HJA44" s="669"/>
      <c r="HJB44" s="669"/>
      <c r="HJC44" s="669"/>
      <c r="HJD44" s="669"/>
      <c r="HJE44" s="669"/>
      <c r="HJF44" s="669"/>
      <c r="HJG44" s="669"/>
      <c r="HJH44" s="669"/>
      <c r="HJI44" s="669"/>
      <c r="HJJ44" s="669"/>
      <c r="HJK44" s="669"/>
      <c r="HJL44" s="669"/>
      <c r="HJM44" s="669"/>
      <c r="HJN44" s="669"/>
      <c r="HJO44" s="669"/>
      <c r="HJP44" s="669"/>
      <c r="HJQ44" s="669"/>
      <c r="HJR44" s="669"/>
      <c r="HJS44" s="669"/>
      <c r="HJT44" s="669"/>
      <c r="HJU44" s="669"/>
      <c r="HJV44" s="669"/>
      <c r="HJW44" s="669"/>
      <c r="HJX44" s="669"/>
      <c r="HJY44" s="669"/>
      <c r="HJZ44" s="669"/>
      <c r="HKA44" s="669"/>
      <c r="HKB44" s="669"/>
      <c r="HKC44" s="669"/>
      <c r="HKD44" s="669"/>
      <c r="HKE44" s="669"/>
      <c r="HKF44" s="669"/>
      <c r="HKG44" s="669"/>
      <c r="HKH44" s="669"/>
      <c r="HKI44" s="669"/>
      <c r="HKJ44" s="669"/>
      <c r="HKK44" s="669"/>
      <c r="HKL44" s="669"/>
      <c r="HKM44" s="669"/>
      <c r="HKN44" s="669"/>
      <c r="HKO44" s="669"/>
      <c r="HKP44" s="669"/>
      <c r="HKQ44" s="669"/>
      <c r="HKR44" s="669"/>
      <c r="HKS44" s="669"/>
      <c r="HKT44" s="669"/>
      <c r="HKU44" s="669"/>
      <c r="HKV44" s="669"/>
      <c r="HKW44" s="669"/>
      <c r="HKX44" s="669"/>
      <c r="HKY44" s="669"/>
      <c r="HKZ44" s="669"/>
      <c r="HLA44" s="669"/>
      <c r="HLB44" s="669"/>
      <c r="HLC44" s="669"/>
      <c r="HLD44" s="669"/>
      <c r="HLE44" s="669"/>
      <c r="HLF44" s="669"/>
      <c r="HLG44" s="669"/>
      <c r="HLH44" s="669"/>
      <c r="HLI44" s="669"/>
      <c r="HLJ44" s="669"/>
      <c r="HLK44" s="669"/>
      <c r="HLL44" s="669"/>
      <c r="HLM44" s="669"/>
      <c r="HLN44" s="669"/>
      <c r="HLO44" s="669"/>
      <c r="HLP44" s="669"/>
      <c r="HLQ44" s="669"/>
      <c r="HLR44" s="669"/>
      <c r="HLS44" s="669"/>
      <c r="HLT44" s="669"/>
      <c r="HLU44" s="669"/>
      <c r="HLV44" s="669"/>
      <c r="HLW44" s="669"/>
      <c r="HLX44" s="669"/>
      <c r="HLY44" s="669"/>
      <c r="HLZ44" s="669"/>
      <c r="HMA44" s="669"/>
      <c r="HMB44" s="669"/>
      <c r="HMC44" s="669"/>
      <c r="HMD44" s="669"/>
      <c r="HME44" s="669"/>
      <c r="HMF44" s="669"/>
      <c r="HMG44" s="669"/>
      <c r="HMH44" s="669"/>
      <c r="HMI44" s="669"/>
      <c r="HMJ44" s="669"/>
      <c r="HMK44" s="669"/>
      <c r="HML44" s="669"/>
      <c r="HMM44" s="669"/>
      <c r="HMN44" s="669"/>
      <c r="HMO44" s="669"/>
      <c r="HMP44" s="669"/>
      <c r="HMQ44" s="669"/>
      <c r="HMR44" s="669"/>
      <c r="HMS44" s="669"/>
      <c r="HMT44" s="669"/>
      <c r="HMU44" s="669"/>
      <c r="HMV44" s="669"/>
      <c r="HMW44" s="669"/>
      <c r="HMX44" s="669"/>
      <c r="HMY44" s="669"/>
      <c r="HMZ44" s="669"/>
      <c r="HNA44" s="669"/>
      <c r="HNB44" s="669"/>
      <c r="HNC44" s="669"/>
      <c r="HND44" s="669"/>
      <c r="HNE44" s="669"/>
      <c r="HNF44" s="669"/>
      <c r="HNG44" s="669"/>
      <c r="HNH44" s="669"/>
      <c r="HNI44" s="669"/>
      <c r="HNJ44" s="669"/>
      <c r="HNK44" s="669"/>
      <c r="HNL44" s="669"/>
      <c r="HNM44" s="669"/>
      <c r="HNN44" s="669"/>
      <c r="HNO44" s="669"/>
      <c r="HNP44" s="669"/>
      <c r="HNQ44" s="669"/>
      <c r="HNR44" s="669"/>
      <c r="HNS44" s="669"/>
      <c r="HNT44" s="669"/>
      <c r="HNU44" s="669"/>
      <c r="HNV44" s="669"/>
      <c r="HNW44" s="669"/>
      <c r="HNX44" s="669"/>
      <c r="HNY44" s="669"/>
      <c r="HNZ44" s="669"/>
      <c r="HOA44" s="669"/>
      <c r="HOB44" s="669"/>
      <c r="HOC44" s="669"/>
      <c r="HOD44" s="669"/>
      <c r="HOE44" s="669"/>
      <c r="HOF44" s="669"/>
      <c r="HOG44" s="669"/>
      <c r="HOH44" s="669"/>
      <c r="HOI44" s="669"/>
      <c r="HOJ44" s="669"/>
      <c r="HOK44" s="669"/>
      <c r="HOL44" s="669"/>
      <c r="HOM44" s="669"/>
      <c r="HON44" s="669"/>
      <c r="HOO44" s="669"/>
      <c r="HOP44" s="669"/>
      <c r="HOQ44" s="669"/>
      <c r="HOR44" s="669"/>
      <c r="HOS44" s="669"/>
      <c r="HOT44" s="669"/>
      <c r="HOU44" s="669"/>
      <c r="HOV44" s="669"/>
      <c r="HOW44" s="669"/>
      <c r="HOX44" s="669"/>
      <c r="HOY44" s="669"/>
      <c r="HOZ44" s="669"/>
      <c r="HPA44" s="669"/>
      <c r="HPB44" s="669"/>
      <c r="HPC44" s="669"/>
      <c r="HPD44" s="669"/>
      <c r="HPE44" s="669"/>
      <c r="HPF44" s="669"/>
      <c r="HPG44" s="669"/>
      <c r="HPH44" s="669"/>
      <c r="HPI44" s="669"/>
      <c r="HPJ44" s="669"/>
      <c r="HPK44" s="669"/>
      <c r="HPL44" s="669"/>
      <c r="HPM44" s="669"/>
      <c r="HPN44" s="669"/>
      <c r="HPO44" s="669"/>
      <c r="HPP44" s="669"/>
      <c r="HPQ44" s="669"/>
      <c r="HPR44" s="669"/>
      <c r="HPS44" s="669"/>
      <c r="HPT44" s="669"/>
      <c r="HPU44" s="669"/>
      <c r="HPV44" s="669"/>
      <c r="HPW44" s="669"/>
      <c r="HPX44" s="669"/>
      <c r="HPY44" s="669"/>
      <c r="HPZ44" s="669"/>
      <c r="HQA44" s="669"/>
      <c r="HQB44" s="669"/>
      <c r="HQC44" s="669"/>
      <c r="HQD44" s="669"/>
      <c r="HQE44" s="669"/>
      <c r="HQF44" s="669"/>
      <c r="HQG44" s="669"/>
      <c r="HQH44" s="669"/>
      <c r="HQI44" s="669"/>
      <c r="HQJ44" s="669"/>
      <c r="HQK44" s="669"/>
      <c r="HQL44" s="669"/>
      <c r="HQM44" s="669"/>
      <c r="HQN44" s="669"/>
      <c r="HQO44" s="669"/>
      <c r="HQP44" s="669"/>
      <c r="HQQ44" s="669"/>
      <c r="HQR44" s="669"/>
      <c r="HQS44" s="669"/>
      <c r="HQT44" s="669"/>
      <c r="HQU44" s="669"/>
      <c r="HQV44" s="669"/>
      <c r="HQW44" s="669"/>
      <c r="HQX44" s="669"/>
      <c r="HQY44" s="669"/>
      <c r="HQZ44" s="669"/>
      <c r="HRA44" s="669"/>
      <c r="HRB44" s="669"/>
      <c r="HRC44" s="669"/>
      <c r="HRD44" s="669"/>
      <c r="HRE44" s="669"/>
      <c r="HRF44" s="669"/>
      <c r="HRG44" s="669"/>
      <c r="HRH44" s="669"/>
      <c r="HRI44" s="669"/>
      <c r="HRJ44" s="669"/>
      <c r="HRK44" s="669"/>
      <c r="HRL44" s="669"/>
      <c r="HRM44" s="669"/>
      <c r="HRN44" s="669"/>
      <c r="HRO44" s="669"/>
      <c r="HRP44" s="669"/>
      <c r="HRQ44" s="669"/>
      <c r="HRR44" s="669"/>
      <c r="HRS44" s="669"/>
      <c r="HRT44" s="669"/>
      <c r="HRU44" s="669"/>
      <c r="HRV44" s="669"/>
      <c r="HRW44" s="669"/>
      <c r="HRX44" s="669"/>
      <c r="HRY44" s="669"/>
      <c r="HRZ44" s="669"/>
      <c r="HSA44" s="669"/>
      <c r="HSB44" s="669"/>
      <c r="HSC44" s="669"/>
      <c r="HSD44" s="669"/>
      <c r="HSE44" s="669"/>
      <c r="HSF44" s="669"/>
      <c r="HSG44" s="669"/>
      <c r="HSH44" s="669"/>
      <c r="HSI44" s="669"/>
      <c r="HSJ44" s="669"/>
      <c r="HSK44" s="669"/>
      <c r="HSL44" s="669"/>
      <c r="HSM44" s="669"/>
      <c r="HSN44" s="669"/>
      <c r="HSO44" s="669"/>
      <c r="HSP44" s="669"/>
      <c r="HSQ44" s="669"/>
      <c r="HSR44" s="669"/>
      <c r="HSS44" s="669"/>
      <c r="HST44" s="669"/>
      <c r="HSU44" s="669"/>
      <c r="HSV44" s="669"/>
      <c r="HSW44" s="669"/>
      <c r="HSX44" s="669"/>
      <c r="HSY44" s="669"/>
      <c r="HSZ44" s="669"/>
      <c r="HTA44" s="669"/>
      <c r="HTB44" s="669"/>
      <c r="HTC44" s="669"/>
      <c r="HTD44" s="669"/>
      <c r="HTE44" s="669"/>
      <c r="HTF44" s="669"/>
      <c r="HTG44" s="669"/>
      <c r="HTH44" s="669"/>
      <c r="HTI44" s="669"/>
      <c r="HTJ44" s="669"/>
      <c r="HTK44" s="669"/>
      <c r="HTL44" s="669"/>
      <c r="HTM44" s="669"/>
      <c r="HTN44" s="669"/>
      <c r="HTO44" s="669"/>
      <c r="HTP44" s="669"/>
      <c r="HTQ44" s="669"/>
      <c r="HTR44" s="669"/>
      <c r="HTS44" s="669"/>
      <c r="HTT44" s="669"/>
      <c r="HTU44" s="669"/>
      <c r="HTV44" s="669"/>
      <c r="HTW44" s="669"/>
      <c r="HTX44" s="669"/>
      <c r="HTY44" s="669"/>
      <c r="HTZ44" s="669"/>
      <c r="HUA44" s="669"/>
      <c r="HUB44" s="669"/>
      <c r="HUC44" s="669"/>
      <c r="HUD44" s="669"/>
      <c r="HUE44" s="669"/>
      <c r="HUF44" s="669"/>
      <c r="HUG44" s="669"/>
      <c r="HUH44" s="669"/>
      <c r="HUI44" s="669"/>
      <c r="HUJ44" s="669"/>
      <c r="HUK44" s="669"/>
      <c r="HUL44" s="669"/>
      <c r="HUM44" s="669"/>
      <c r="HUN44" s="669"/>
      <c r="HUO44" s="669"/>
      <c r="HUP44" s="669"/>
      <c r="HUQ44" s="669"/>
      <c r="HUR44" s="669"/>
      <c r="HUS44" s="669"/>
      <c r="HUT44" s="669"/>
      <c r="HUU44" s="669"/>
      <c r="HUV44" s="669"/>
      <c r="HUW44" s="669"/>
      <c r="HUX44" s="669"/>
      <c r="HUY44" s="669"/>
      <c r="HUZ44" s="669"/>
      <c r="HVA44" s="669"/>
      <c r="HVB44" s="669"/>
      <c r="HVC44" s="669"/>
      <c r="HVD44" s="669"/>
      <c r="HVE44" s="669"/>
      <c r="HVF44" s="669"/>
      <c r="HVG44" s="669"/>
      <c r="HVH44" s="669"/>
      <c r="HVI44" s="669"/>
      <c r="HVJ44" s="669"/>
      <c r="HVK44" s="669"/>
      <c r="HVL44" s="669"/>
      <c r="HVM44" s="669"/>
      <c r="HVN44" s="669"/>
      <c r="HVO44" s="669"/>
      <c r="HVP44" s="669"/>
      <c r="HVQ44" s="669"/>
      <c r="HVR44" s="669"/>
      <c r="HVS44" s="669"/>
      <c r="HVT44" s="669"/>
      <c r="HVU44" s="669"/>
      <c r="HVV44" s="669"/>
      <c r="HVW44" s="669"/>
      <c r="HVX44" s="669"/>
      <c r="HVY44" s="669"/>
      <c r="HVZ44" s="669"/>
      <c r="HWA44" s="669"/>
      <c r="HWB44" s="669"/>
      <c r="HWC44" s="669"/>
      <c r="HWD44" s="669"/>
      <c r="HWE44" s="669"/>
      <c r="HWF44" s="669"/>
      <c r="HWG44" s="669"/>
      <c r="HWH44" s="669"/>
      <c r="HWI44" s="669"/>
      <c r="HWJ44" s="669"/>
      <c r="HWK44" s="669"/>
      <c r="HWL44" s="669"/>
      <c r="HWM44" s="669"/>
      <c r="HWN44" s="669"/>
      <c r="HWO44" s="669"/>
      <c r="HWP44" s="669"/>
      <c r="HWQ44" s="669"/>
      <c r="HWR44" s="669"/>
      <c r="HWS44" s="669"/>
      <c r="HWT44" s="669"/>
      <c r="HWU44" s="669"/>
      <c r="HWV44" s="669"/>
      <c r="HWW44" s="669"/>
      <c r="HWX44" s="669"/>
      <c r="HWY44" s="669"/>
      <c r="HWZ44" s="669"/>
      <c r="HXA44" s="669"/>
      <c r="HXB44" s="669"/>
      <c r="HXC44" s="669"/>
      <c r="HXD44" s="669"/>
      <c r="HXE44" s="669"/>
      <c r="HXF44" s="669"/>
      <c r="HXG44" s="669"/>
      <c r="HXH44" s="669"/>
      <c r="HXI44" s="669"/>
      <c r="HXJ44" s="669"/>
      <c r="HXK44" s="669"/>
      <c r="HXL44" s="669"/>
      <c r="HXM44" s="669"/>
      <c r="HXN44" s="669"/>
      <c r="HXO44" s="669"/>
      <c r="HXP44" s="669"/>
      <c r="HXQ44" s="669"/>
      <c r="HXR44" s="669"/>
      <c r="HXS44" s="669"/>
      <c r="HXT44" s="669"/>
      <c r="HXU44" s="669"/>
      <c r="HXV44" s="669"/>
      <c r="HXW44" s="669"/>
      <c r="HXX44" s="669"/>
      <c r="HXY44" s="669"/>
      <c r="HXZ44" s="669"/>
      <c r="HYA44" s="669"/>
      <c r="HYB44" s="669"/>
      <c r="HYC44" s="669"/>
      <c r="HYD44" s="669"/>
      <c r="HYE44" s="669"/>
      <c r="HYF44" s="669"/>
      <c r="HYG44" s="669"/>
      <c r="HYH44" s="669"/>
      <c r="HYI44" s="669"/>
      <c r="HYJ44" s="669"/>
      <c r="HYK44" s="669"/>
      <c r="HYL44" s="669"/>
      <c r="HYM44" s="669"/>
      <c r="HYN44" s="669"/>
      <c r="HYO44" s="669"/>
      <c r="HYP44" s="669"/>
      <c r="HYQ44" s="669"/>
      <c r="HYR44" s="669"/>
      <c r="HYS44" s="669"/>
      <c r="HYT44" s="669"/>
      <c r="HYU44" s="669"/>
      <c r="HYV44" s="669"/>
      <c r="HYW44" s="669"/>
      <c r="HYX44" s="669"/>
      <c r="HYY44" s="669"/>
      <c r="HYZ44" s="669"/>
      <c r="HZA44" s="669"/>
      <c r="HZB44" s="669"/>
      <c r="HZC44" s="669"/>
      <c r="HZD44" s="669"/>
      <c r="HZE44" s="669"/>
      <c r="HZF44" s="669"/>
      <c r="HZG44" s="669"/>
      <c r="HZH44" s="669"/>
      <c r="HZI44" s="669"/>
      <c r="HZJ44" s="669"/>
      <c r="HZK44" s="669"/>
      <c r="HZL44" s="669"/>
      <c r="HZM44" s="669"/>
      <c r="HZN44" s="669"/>
      <c r="HZO44" s="669"/>
      <c r="HZP44" s="669"/>
      <c r="HZQ44" s="669"/>
      <c r="HZR44" s="669"/>
      <c r="HZS44" s="669"/>
      <c r="HZT44" s="669"/>
      <c r="HZU44" s="669"/>
      <c r="HZV44" s="669"/>
      <c r="HZW44" s="669"/>
      <c r="HZX44" s="669"/>
      <c r="HZY44" s="669"/>
      <c r="HZZ44" s="669"/>
      <c r="IAA44" s="669"/>
      <c r="IAB44" s="669"/>
      <c r="IAC44" s="669"/>
      <c r="IAD44" s="669"/>
      <c r="IAE44" s="669"/>
      <c r="IAF44" s="669"/>
      <c r="IAG44" s="669"/>
      <c r="IAH44" s="669"/>
      <c r="IAI44" s="669"/>
      <c r="IAJ44" s="669"/>
      <c r="IAK44" s="669"/>
      <c r="IAL44" s="669"/>
      <c r="IAM44" s="669"/>
      <c r="IAN44" s="669"/>
      <c r="IAO44" s="669"/>
      <c r="IAP44" s="669"/>
      <c r="IAQ44" s="669"/>
      <c r="IAR44" s="669"/>
      <c r="IAS44" s="669"/>
      <c r="IAT44" s="669"/>
      <c r="IAU44" s="669"/>
      <c r="IAV44" s="669"/>
      <c r="IAW44" s="669"/>
      <c r="IAX44" s="669"/>
      <c r="IAY44" s="669"/>
      <c r="IAZ44" s="669"/>
      <c r="IBA44" s="669"/>
      <c r="IBB44" s="669"/>
      <c r="IBC44" s="669"/>
      <c r="IBD44" s="669"/>
      <c r="IBE44" s="669"/>
      <c r="IBF44" s="669"/>
      <c r="IBG44" s="669"/>
      <c r="IBH44" s="669"/>
      <c r="IBI44" s="669"/>
      <c r="IBJ44" s="669"/>
      <c r="IBK44" s="669"/>
      <c r="IBL44" s="669"/>
      <c r="IBM44" s="669"/>
      <c r="IBN44" s="669"/>
      <c r="IBO44" s="669"/>
      <c r="IBP44" s="669"/>
      <c r="IBQ44" s="669"/>
      <c r="IBR44" s="669"/>
      <c r="IBS44" s="669"/>
      <c r="IBT44" s="669"/>
      <c r="IBU44" s="669"/>
      <c r="IBV44" s="669"/>
      <c r="IBW44" s="669"/>
      <c r="IBX44" s="669"/>
      <c r="IBY44" s="669"/>
      <c r="IBZ44" s="669"/>
      <c r="ICA44" s="669"/>
      <c r="ICB44" s="669"/>
      <c r="ICC44" s="669"/>
      <c r="ICD44" s="669"/>
      <c r="ICE44" s="669"/>
      <c r="ICF44" s="669"/>
      <c r="ICG44" s="669"/>
      <c r="ICH44" s="669"/>
      <c r="ICI44" s="669"/>
      <c r="ICJ44" s="669"/>
      <c r="ICK44" s="669"/>
      <c r="ICL44" s="669"/>
      <c r="ICM44" s="669"/>
      <c r="ICN44" s="669"/>
      <c r="ICO44" s="669"/>
      <c r="ICP44" s="669"/>
      <c r="ICQ44" s="669"/>
      <c r="ICR44" s="669"/>
      <c r="ICS44" s="669"/>
      <c r="ICT44" s="669"/>
      <c r="ICU44" s="669"/>
      <c r="ICV44" s="669"/>
      <c r="ICW44" s="669"/>
      <c r="ICX44" s="669"/>
      <c r="ICY44" s="669"/>
      <c r="ICZ44" s="669"/>
      <c r="IDA44" s="669"/>
      <c r="IDB44" s="669"/>
      <c r="IDC44" s="669"/>
      <c r="IDD44" s="669"/>
      <c r="IDE44" s="669"/>
      <c r="IDF44" s="669"/>
      <c r="IDG44" s="669"/>
      <c r="IDH44" s="669"/>
      <c r="IDI44" s="669"/>
      <c r="IDJ44" s="669"/>
      <c r="IDK44" s="669"/>
      <c r="IDL44" s="669"/>
      <c r="IDM44" s="669"/>
      <c r="IDN44" s="669"/>
      <c r="IDO44" s="669"/>
      <c r="IDP44" s="669"/>
      <c r="IDQ44" s="669"/>
      <c r="IDR44" s="669"/>
      <c r="IDS44" s="669"/>
      <c r="IDT44" s="669"/>
      <c r="IDU44" s="669"/>
      <c r="IDV44" s="669"/>
      <c r="IDW44" s="669"/>
      <c r="IDX44" s="669"/>
      <c r="IDY44" s="669"/>
      <c r="IDZ44" s="669"/>
      <c r="IEA44" s="669"/>
      <c r="IEB44" s="669"/>
      <c r="IEC44" s="669"/>
      <c r="IED44" s="669"/>
      <c r="IEE44" s="669"/>
      <c r="IEF44" s="669"/>
      <c r="IEG44" s="669"/>
      <c r="IEH44" s="669"/>
      <c r="IEI44" s="669"/>
      <c r="IEJ44" s="669"/>
      <c r="IEK44" s="669"/>
      <c r="IEL44" s="669"/>
      <c r="IEM44" s="669"/>
      <c r="IEN44" s="669"/>
      <c r="IEO44" s="669"/>
      <c r="IEP44" s="669"/>
      <c r="IEQ44" s="669"/>
      <c r="IER44" s="669"/>
      <c r="IES44" s="669"/>
      <c r="IET44" s="669"/>
      <c r="IEU44" s="669"/>
      <c r="IEV44" s="669"/>
      <c r="IEW44" s="669"/>
      <c r="IEX44" s="669"/>
      <c r="IEY44" s="669"/>
      <c r="IEZ44" s="669"/>
      <c r="IFA44" s="669"/>
      <c r="IFB44" s="669"/>
      <c r="IFC44" s="669"/>
      <c r="IFD44" s="669"/>
      <c r="IFE44" s="669"/>
      <c r="IFF44" s="669"/>
      <c r="IFG44" s="669"/>
      <c r="IFH44" s="669"/>
      <c r="IFI44" s="669"/>
      <c r="IFJ44" s="669"/>
      <c r="IFK44" s="669"/>
      <c r="IFL44" s="669"/>
      <c r="IFM44" s="669"/>
      <c r="IFN44" s="669"/>
      <c r="IFO44" s="669"/>
      <c r="IFP44" s="669"/>
      <c r="IFQ44" s="669"/>
      <c r="IFR44" s="669"/>
      <c r="IFS44" s="669"/>
      <c r="IFT44" s="669"/>
      <c r="IFU44" s="669"/>
      <c r="IFV44" s="669"/>
      <c r="IFW44" s="669"/>
      <c r="IFX44" s="669"/>
      <c r="IFY44" s="669"/>
      <c r="IFZ44" s="669"/>
      <c r="IGA44" s="669"/>
      <c r="IGB44" s="669"/>
      <c r="IGC44" s="669"/>
      <c r="IGD44" s="669"/>
      <c r="IGE44" s="669"/>
      <c r="IGF44" s="669"/>
      <c r="IGG44" s="669"/>
      <c r="IGH44" s="669"/>
      <c r="IGI44" s="669"/>
      <c r="IGJ44" s="669"/>
      <c r="IGK44" s="669"/>
      <c r="IGL44" s="669"/>
      <c r="IGM44" s="669"/>
      <c r="IGN44" s="669"/>
      <c r="IGO44" s="669"/>
      <c r="IGP44" s="669"/>
      <c r="IGQ44" s="669"/>
      <c r="IGR44" s="669"/>
      <c r="IGS44" s="669"/>
      <c r="IGT44" s="669"/>
      <c r="IGU44" s="669"/>
      <c r="IGV44" s="669"/>
      <c r="IGW44" s="669"/>
      <c r="IGX44" s="669"/>
      <c r="IGY44" s="669"/>
      <c r="IGZ44" s="669"/>
      <c r="IHA44" s="669"/>
      <c r="IHB44" s="669"/>
      <c r="IHC44" s="669"/>
      <c r="IHD44" s="669"/>
      <c r="IHE44" s="669"/>
      <c r="IHF44" s="669"/>
      <c r="IHG44" s="669"/>
      <c r="IHH44" s="669"/>
      <c r="IHI44" s="669"/>
      <c r="IHJ44" s="669"/>
      <c r="IHK44" s="669"/>
      <c r="IHL44" s="669"/>
      <c r="IHM44" s="669"/>
      <c r="IHN44" s="669"/>
      <c r="IHO44" s="669"/>
      <c r="IHP44" s="669"/>
      <c r="IHQ44" s="669"/>
      <c r="IHR44" s="669"/>
      <c r="IHS44" s="669"/>
      <c r="IHT44" s="669"/>
      <c r="IHU44" s="669"/>
      <c r="IHV44" s="669"/>
      <c r="IHW44" s="669"/>
      <c r="IHX44" s="669"/>
      <c r="IHY44" s="669"/>
      <c r="IHZ44" s="669"/>
      <c r="IIA44" s="669"/>
      <c r="IIB44" s="669"/>
      <c r="IIC44" s="669"/>
      <c r="IID44" s="669"/>
      <c r="IIE44" s="669"/>
      <c r="IIF44" s="669"/>
      <c r="IIG44" s="669"/>
      <c r="IIH44" s="669"/>
      <c r="III44" s="669"/>
      <c r="IIJ44" s="669"/>
      <c r="IIK44" s="669"/>
      <c r="IIL44" s="669"/>
      <c r="IIM44" s="669"/>
      <c r="IIN44" s="669"/>
      <c r="IIO44" s="669"/>
      <c r="IIP44" s="669"/>
      <c r="IIQ44" s="669"/>
      <c r="IIR44" s="669"/>
      <c r="IIS44" s="669"/>
      <c r="IIT44" s="669"/>
      <c r="IIU44" s="669"/>
      <c r="IIV44" s="669"/>
      <c r="IIW44" s="669"/>
      <c r="IIX44" s="669"/>
      <c r="IIY44" s="669"/>
      <c r="IIZ44" s="669"/>
      <c r="IJA44" s="669"/>
      <c r="IJB44" s="669"/>
      <c r="IJC44" s="669"/>
      <c r="IJD44" s="669"/>
      <c r="IJE44" s="669"/>
      <c r="IJF44" s="669"/>
      <c r="IJG44" s="669"/>
      <c r="IJH44" s="669"/>
      <c r="IJI44" s="669"/>
      <c r="IJJ44" s="669"/>
      <c r="IJK44" s="669"/>
      <c r="IJL44" s="669"/>
      <c r="IJM44" s="669"/>
      <c r="IJN44" s="669"/>
      <c r="IJO44" s="669"/>
      <c r="IJP44" s="669"/>
      <c r="IJQ44" s="669"/>
      <c r="IJR44" s="669"/>
      <c r="IJS44" s="669"/>
      <c r="IJT44" s="669"/>
      <c r="IJU44" s="669"/>
      <c r="IJV44" s="669"/>
      <c r="IJW44" s="669"/>
      <c r="IJX44" s="669"/>
      <c r="IJY44" s="669"/>
      <c r="IJZ44" s="669"/>
      <c r="IKA44" s="669"/>
      <c r="IKB44" s="669"/>
      <c r="IKC44" s="669"/>
      <c r="IKD44" s="669"/>
      <c r="IKE44" s="669"/>
      <c r="IKF44" s="669"/>
      <c r="IKG44" s="669"/>
      <c r="IKH44" s="669"/>
      <c r="IKI44" s="669"/>
      <c r="IKJ44" s="669"/>
      <c r="IKK44" s="669"/>
      <c r="IKL44" s="669"/>
      <c r="IKM44" s="669"/>
      <c r="IKN44" s="669"/>
      <c r="IKO44" s="669"/>
      <c r="IKP44" s="669"/>
      <c r="IKQ44" s="669"/>
      <c r="IKR44" s="669"/>
      <c r="IKS44" s="669"/>
      <c r="IKT44" s="669"/>
      <c r="IKU44" s="669"/>
      <c r="IKV44" s="669"/>
      <c r="IKW44" s="669"/>
      <c r="IKX44" s="669"/>
      <c r="IKY44" s="669"/>
      <c r="IKZ44" s="669"/>
      <c r="ILA44" s="669"/>
      <c r="ILB44" s="669"/>
      <c r="ILC44" s="669"/>
      <c r="ILD44" s="669"/>
      <c r="ILE44" s="669"/>
      <c r="ILF44" s="669"/>
      <c r="ILG44" s="669"/>
      <c r="ILH44" s="669"/>
      <c r="ILI44" s="669"/>
      <c r="ILJ44" s="669"/>
      <c r="ILK44" s="669"/>
      <c r="ILL44" s="669"/>
      <c r="ILM44" s="669"/>
      <c r="ILN44" s="669"/>
      <c r="ILO44" s="669"/>
      <c r="ILP44" s="669"/>
      <c r="ILQ44" s="669"/>
      <c r="ILR44" s="669"/>
      <c r="ILS44" s="669"/>
      <c r="ILT44" s="669"/>
      <c r="ILU44" s="669"/>
      <c r="ILV44" s="669"/>
      <c r="ILW44" s="669"/>
      <c r="ILX44" s="669"/>
      <c r="ILY44" s="669"/>
      <c r="ILZ44" s="669"/>
      <c r="IMA44" s="669"/>
      <c r="IMB44" s="669"/>
      <c r="IMC44" s="669"/>
      <c r="IMD44" s="669"/>
      <c r="IME44" s="669"/>
      <c r="IMF44" s="669"/>
      <c r="IMG44" s="669"/>
      <c r="IMH44" s="669"/>
      <c r="IMI44" s="669"/>
      <c r="IMJ44" s="669"/>
      <c r="IMK44" s="669"/>
      <c r="IML44" s="669"/>
      <c r="IMM44" s="669"/>
      <c r="IMN44" s="669"/>
      <c r="IMO44" s="669"/>
      <c r="IMP44" s="669"/>
      <c r="IMQ44" s="669"/>
      <c r="IMR44" s="669"/>
      <c r="IMS44" s="669"/>
      <c r="IMT44" s="669"/>
      <c r="IMU44" s="669"/>
      <c r="IMV44" s="669"/>
      <c r="IMW44" s="669"/>
      <c r="IMX44" s="669"/>
      <c r="IMY44" s="669"/>
      <c r="IMZ44" s="669"/>
      <c r="INA44" s="669"/>
      <c r="INB44" s="669"/>
      <c r="INC44" s="669"/>
      <c r="IND44" s="669"/>
      <c r="INE44" s="669"/>
      <c r="INF44" s="669"/>
      <c r="ING44" s="669"/>
      <c r="INH44" s="669"/>
      <c r="INI44" s="669"/>
      <c r="INJ44" s="669"/>
      <c r="INK44" s="669"/>
      <c r="INL44" s="669"/>
      <c r="INM44" s="669"/>
      <c r="INN44" s="669"/>
      <c r="INO44" s="669"/>
      <c r="INP44" s="669"/>
      <c r="INQ44" s="669"/>
      <c r="INR44" s="669"/>
      <c r="INS44" s="669"/>
      <c r="INT44" s="669"/>
      <c r="INU44" s="669"/>
      <c r="INV44" s="669"/>
      <c r="INW44" s="669"/>
      <c r="INX44" s="669"/>
      <c r="INY44" s="669"/>
      <c r="INZ44" s="669"/>
      <c r="IOA44" s="669"/>
      <c r="IOB44" s="669"/>
      <c r="IOC44" s="669"/>
      <c r="IOD44" s="669"/>
      <c r="IOE44" s="669"/>
      <c r="IOF44" s="669"/>
      <c r="IOG44" s="669"/>
      <c r="IOH44" s="669"/>
      <c r="IOI44" s="669"/>
      <c r="IOJ44" s="669"/>
      <c r="IOK44" s="669"/>
      <c r="IOL44" s="669"/>
      <c r="IOM44" s="669"/>
      <c r="ION44" s="669"/>
      <c r="IOO44" s="669"/>
      <c r="IOP44" s="669"/>
      <c r="IOQ44" s="669"/>
      <c r="IOR44" s="669"/>
      <c r="IOS44" s="669"/>
      <c r="IOT44" s="669"/>
      <c r="IOU44" s="669"/>
      <c r="IOV44" s="669"/>
      <c r="IOW44" s="669"/>
      <c r="IOX44" s="669"/>
      <c r="IOY44" s="669"/>
      <c r="IOZ44" s="669"/>
      <c r="IPA44" s="669"/>
      <c r="IPB44" s="669"/>
      <c r="IPC44" s="669"/>
      <c r="IPD44" s="669"/>
      <c r="IPE44" s="669"/>
      <c r="IPF44" s="669"/>
      <c r="IPG44" s="669"/>
      <c r="IPH44" s="669"/>
      <c r="IPI44" s="669"/>
      <c r="IPJ44" s="669"/>
      <c r="IPK44" s="669"/>
      <c r="IPL44" s="669"/>
      <c r="IPM44" s="669"/>
      <c r="IPN44" s="669"/>
      <c r="IPO44" s="669"/>
      <c r="IPP44" s="669"/>
      <c r="IPQ44" s="669"/>
      <c r="IPR44" s="669"/>
      <c r="IPS44" s="669"/>
      <c r="IPT44" s="669"/>
      <c r="IPU44" s="669"/>
      <c r="IPV44" s="669"/>
      <c r="IPW44" s="669"/>
      <c r="IPX44" s="669"/>
      <c r="IPY44" s="669"/>
      <c r="IPZ44" s="669"/>
      <c r="IQA44" s="669"/>
      <c r="IQB44" s="669"/>
      <c r="IQC44" s="669"/>
      <c r="IQD44" s="669"/>
      <c r="IQE44" s="669"/>
      <c r="IQF44" s="669"/>
      <c r="IQG44" s="669"/>
      <c r="IQH44" s="669"/>
      <c r="IQI44" s="669"/>
      <c r="IQJ44" s="669"/>
      <c r="IQK44" s="669"/>
      <c r="IQL44" s="669"/>
      <c r="IQM44" s="669"/>
      <c r="IQN44" s="669"/>
      <c r="IQO44" s="669"/>
      <c r="IQP44" s="669"/>
      <c r="IQQ44" s="669"/>
      <c r="IQR44" s="669"/>
      <c r="IQS44" s="669"/>
      <c r="IQT44" s="669"/>
      <c r="IQU44" s="669"/>
      <c r="IQV44" s="669"/>
      <c r="IQW44" s="669"/>
      <c r="IQX44" s="669"/>
      <c r="IQY44" s="669"/>
      <c r="IQZ44" s="669"/>
      <c r="IRA44" s="669"/>
      <c r="IRB44" s="669"/>
      <c r="IRC44" s="669"/>
      <c r="IRD44" s="669"/>
      <c r="IRE44" s="669"/>
      <c r="IRF44" s="669"/>
      <c r="IRG44" s="669"/>
      <c r="IRH44" s="669"/>
      <c r="IRI44" s="669"/>
      <c r="IRJ44" s="669"/>
      <c r="IRK44" s="669"/>
      <c r="IRL44" s="669"/>
      <c r="IRM44" s="669"/>
      <c r="IRN44" s="669"/>
      <c r="IRO44" s="669"/>
      <c r="IRP44" s="669"/>
      <c r="IRQ44" s="669"/>
      <c r="IRR44" s="669"/>
      <c r="IRS44" s="669"/>
      <c r="IRT44" s="669"/>
      <c r="IRU44" s="669"/>
      <c r="IRV44" s="669"/>
      <c r="IRW44" s="669"/>
      <c r="IRX44" s="669"/>
      <c r="IRY44" s="669"/>
      <c r="IRZ44" s="669"/>
      <c r="ISA44" s="669"/>
      <c r="ISB44" s="669"/>
      <c r="ISC44" s="669"/>
      <c r="ISD44" s="669"/>
      <c r="ISE44" s="669"/>
      <c r="ISF44" s="669"/>
      <c r="ISG44" s="669"/>
      <c r="ISH44" s="669"/>
      <c r="ISI44" s="669"/>
      <c r="ISJ44" s="669"/>
      <c r="ISK44" s="669"/>
      <c r="ISL44" s="669"/>
      <c r="ISM44" s="669"/>
      <c r="ISN44" s="669"/>
      <c r="ISO44" s="669"/>
      <c r="ISP44" s="669"/>
      <c r="ISQ44" s="669"/>
      <c r="ISR44" s="669"/>
      <c r="ISS44" s="669"/>
      <c r="IST44" s="669"/>
      <c r="ISU44" s="669"/>
      <c r="ISV44" s="669"/>
      <c r="ISW44" s="669"/>
      <c r="ISX44" s="669"/>
      <c r="ISY44" s="669"/>
      <c r="ISZ44" s="669"/>
      <c r="ITA44" s="669"/>
      <c r="ITB44" s="669"/>
      <c r="ITC44" s="669"/>
      <c r="ITD44" s="669"/>
      <c r="ITE44" s="669"/>
      <c r="ITF44" s="669"/>
      <c r="ITG44" s="669"/>
      <c r="ITH44" s="669"/>
      <c r="ITI44" s="669"/>
      <c r="ITJ44" s="669"/>
      <c r="ITK44" s="669"/>
      <c r="ITL44" s="669"/>
      <c r="ITM44" s="669"/>
      <c r="ITN44" s="669"/>
      <c r="ITO44" s="669"/>
      <c r="ITP44" s="669"/>
      <c r="ITQ44" s="669"/>
      <c r="ITR44" s="669"/>
      <c r="ITS44" s="669"/>
      <c r="ITT44" s="669"/>
      <c r="ITU44" s="669"/>
      <c r="ITV44" s="669"/>
      <c r="ITW44" s="669"/>
      <c r="ITX44" s="669"/>
      <c r="ITY44" s="669"/>
      <c r="ITZ44" s="669"/>
      <c r="IUA44" s="669"/>
      <c r="IUB44" s="669"/>
      <c r="IUC44" s="669"/>
      <c r="IUD44" s="669"/>
      <c r="IUE44" s="669"/>
      <c r="IUF44" s="669"/>
      <c r="IUG44" s="669"/>
      <c r="IUH44" s="669"/>
      <c r="IUI44" s="669"/>
      <c r="IUJ44" s="669"/>
      <c r="IUK44" s="669"/>
      <c r="IUL44" s="669"/>
      <c r="IUM44" s="669"/>
      <c r="IUN44" s="669"/>
      <c r="IUO44" s="669"/>
      <c r="IUP44" s="669"/>
      <c r="IUQ44" s="669"/>
      <c r="IUR44" s="669"/>
      <c r="IUS44" s="669"/>
      <c r="IUT44" s="669"/>
      <c r="IUU44" s="669"/>
      <c r="IUV44" s="669"/>
      <c r="IUW44" s="669"/>
      <c r="IUX44" s="669"/>
      <c r="IUY44" s="669"/>
      <c r="IUZ44" s="669"/>
      <c r="IVA44" s="669"/>
      <c r="IVB44" s="669"/>
      <c r="IVC44" s="669"/>
      <c r="IVD44" s="669"/>
      <c r="IVE44" s="669"/>
      <c r="IVF44" s="669"/>
      <c r="IVG44" s="669"/>
      <c r="IVH44" s="669"/>
      <c r="IVI44" s="669"/>
      <c r="IVJ44" s="669"/>
      <c r="IVK44" s="669"/>
      <c r="IVL44" s="669"/>
      <c r="IVM44" s="669"/>
      <c r="IVN44" s="669"/>
      <c r="IVO44" s="669"/>
      <c r="IVP44" s="669"/>
      <c r="IVQ44" s="669"/>
      <c r="IVR44" s="669"/>
      <c r="IVS44" s="669"/>
      <c r="IVT44" s="669"/>
      <c r="IVU44" s="669"/>
      <c r="IVV44" s="669"/>
      <c r="IVW44" s="669"/>
      <c r="IVX44" s="669"/>
      <c r="IVY44" s="669"/>
      <c r="IVZ44" s="669"/>
      <c r="IWA44" s="669"/>
      <c r="IWB44" s="669"/>
      <c r="IWC44" s="669"/>
      <c r="IWD44" s="669"/>
      <c r="IWE44" s="669"/>
      <c r="IWF44" s="669"/>
      <c r="IWG44" s="669"/>
      <c r="IWH44" s="669"/>
      <c r="IWI44" s="669"/>
      <c r="IWJ44" s="669"/>
      <c r="IWK44" s="669"/>
      <c r="IWL44" s="669"/>
      <c r="IWM44" s="669"/>
      <c r="IWN44" s="669"/>
      <c r="IWO44" s="669"/>
      <c r="IWP44" s="669"/>
      <c r="IWQ44" s="669"/>
      <c r="IWR44" s="669"/>
      <c r="IWS44" s="669"/>
      <c r="IWT44" s="669"/>
      <c r="IWU44" s="669"/>
      <c r="IWV44" s="669"/>
      <c r="IWW44" s="669"/>
      <c r="IWX44" s="669"/>
      <c r="IWY44" s="669"/>
      <c r="IWZ44" s="669"/>
      <c r="IXA44" s="669"/>
      <c r="IXB44" s="669"/>
      <c r="IXC44" s="669"/>
      <c r="IXD44" s="669"/>
      <c r="IXE44" s="669"/>
      <c r="IXF44" s="669"/>
      <c r="IXG44" s="669"/>
      <c r="IXH44" s="669"/>
      <c r="IXI44" s="669"/>
      <c r="IXJ44" s="669"/>
      <c r="IXK44" s="669"/>
      <c r="IXL44" s="669"/>
      <c r="IXM44" s="669"/>
      <c r="IXN44" s="669"/>
      <c r="IXO44" s="669"/>
      <c r="IXP44" s="669"/>
      <c r="IXQ44" s="669"/>
      <c r="IXR44" s="669"/>
      <c r="IXS44" s="669"/>
      <c r="IXT44" s="669"/>
      <c r="IXU44" s="669"/>
      <c r="IXV44" s="669"/>
      <c r="IXW44" s="669"/>
      <c r="IXX44" s="669"/>
      <c r="IXY44" s="669"/>
      <c r="IXZ44" s="669"/>
      <c r="IYA44" s="669"/>
      <c r="IYB44" s="669"/>
      <c r="IYC44" s="669"/>
      <c r="IYD44" s="669"/>
      <c r="IYE44" s="669"/>
      <c r="IYF44" s="669"/>
      <c r="IYG44" s="669"/>
      <c r="IYH44" s="669"/>
      <c r="IYI44" s="669"/>
      <c r="IYJ44" s="669"/>
      <c r="IYK44" s="669"/>
      <c r="IYL44" s="669"/>
      <c r="IYM44" s="669"/>
      <c r="IYN44" s="669"/>
      <c r="IYO44" s="669"/>
      <c r="IYP44" s="669"/>
      <c r="IYQ44" s="669"/>
      <c r="IYR44" s="669"/>
      <c r="IYS44" s="669"/>
      <c r="IYT44" s="669"/>
      <c r="IYU44" s="669"/>
      <c r="IYV44" s="669"/>
      <c r="IYW44" s="669"/>
      <c r="IYX44" s="669"/>
      <c r="IYY44" s="669"/>
      <c r="IYZ44" s="669"/>
      <c r="IZA44" s="669"/>
      <c r="IZB44" s="669"/>
      <c r="IZC44" s="669"/>
      <c r="IZD44" s="669"/>
      <c r="IZE44" s="669"/>
      <c r="IZF44" s="669"/>
      <c r="IZG44" s="669"/>
      <c r="IZH44" s="669"/>
      <c r="IZI44" s="669"/>
      <c r="IZJ44" s="669"/>
      <c r="IZK44" s="669"/>
      <c r="IZL44" s="669"/>
      <c r="IZM44" s="669"/>
      <c r="IZN44" s="669"/>
      <c r="IZO44" s="669"/>
      <c r="IZP44" s="669"/>
      <c r="IZQ44" s="669"/>
      <c r="IZR44" s="669"/>
      <c r="IZS44" s="669"/>
      <c r="IZT44" s="669"/>
      <c r="IZU44" s="669"/>
      <c r="IZV44" s="669"/>
      <c r="IZW44" s="669"/>
      <c r="IZX44" s="669"/>
      <c r="IZY44" s="669"/>
      <c r="IZZ44" s="669"/>
      <c r="JAA44" s="669"/>
      <c r="JAB44" s="669"/>
      <c r="JAC44" s="669"/>
      <c r="JAD44" s="669"/>
      <c r="JAE44" s="669"/>
      <c r="JAF44" s="669"/>
      <c r="JAG44" s="669"/>
      <c r="JAH44" s="669"/>
      <c r="JAI44" s="669"/>
      <c r="JAJ44" s="669"/>
      <c r="JAK44" s="669"/>
      <c r="JAL44" s="669"/>
      <c r="JAM44" s="669"/>
      <c r="JAN44" s="669"/>
      <c r="JAO44" s="669"/>
      <c r="JAP44" s="669"/>
      <c r="JAQ44" s="669"/>
      <c r="JAR44" s="669"/>
      <c r="JAS44" s="669"/>
      <c r="JAT44" s="669"/>
      <c r="JAU44" s="669"/>
      <c r="JAV44" s="669"/>
      <c r="JAW44" s="669"/>
      <c r="JAX44" s="669"/>
      <c r="JAY44" s="669"/>
      <c r="JAZ44" s="669"/>
      <c r="JBA44" s="669"/>
      <c r="JBB44" s="669"/>
      <c r="JBC44" s="669"/>
      <c r="JBD44" s="669"/>
      <c r="JBE44" s="669"/>
      <c r="JBF44" s="669"/>
      <c r="JBG44" s="669"/>
      <c r="JBH44" s="669"/>
      <c r="JBI44" s="669"/>
      <c r="JBJ44" s="669"/>
      <c r="JBK44" s="669"/>
      <c r="JBL44" s="669"/>
      <c r="JBM44" s="669"/>
      <c r="JBN44" s="669"/>
      <c r="JBO44" s="669"/>
      <c r="JBP44" s="669"/>
      <c r="JBQ44" s="669"/>
      <c r="JBR44" s="669"/>
      <c r="JBS44" s="669"/>
      <c r="JBT44" s="669"/>
      <c r="JBU44" s="669"/>
      <c r="JBV44" s="669"/>
      <c r="JBW44" s="669"/>
      <c r="JBX44" s="669"/>
      <c r="JBY44" s="669"/>
      <c r="JBZ44" s="669"/>
      <c r="JCA44" s="669"/>
      <c r="JCB44" s="669"/>
      <c r="JCC44" s="669"/>
      <c r="JCD44" s="669"/>
      <c r="JCE44" s="669"/>
      <c r="JCF44" s="669"/>
      <c r="JCG44" s="669"/>
      <c r="JCH44" s="669"/>
      <c r="JCI44" s="669"/>
      <c r="JCJ44" s="669"/>
      <c r="JCK44" s="669"/>
      <c r="JCL44" s="669"/>
      <c r="JCM44" s="669"/>
      <c r="JCN44" s="669"/>
      <c r="JCO44" s="669"/>
      <c r="JCP44" s="669"/>
      <c r="JCQ44" s="669"/>
      <c r="JCR44" s="669"/>
      <c r="JCS44" s="669"/>
      <c r="JCT44" s="669"/>
      <c r="JCU44" s="669"/>
      <c r="JCV44" s="669"/>
      <c r="JCW44" s="669"/>
      <c r="JCX44" s="669"/>
      <c r="JCY44" s="669"/>
      <c r="JCZ44" s="669"/>
      <c r="JDA44" s="669"/>
      <c r="JDB44" s="669"/>
      <c r="JDC44" s="669"/>
      <c r="JDD44" s="669"/>
      <c r="JDE44" s="669"/>
      <c r="JDF44" s="669"/>
      <c r="JDG44" s="669"/>
      <c r="JDH44" s="669"/>
      <c r="JDI44" s="669"/>
      <c r="JDJ44" s="669"/>
      <c r="JDK44" s="669"/>
      <c r="JDL44" s="669"/>
      <c r="JDM44" s="669"/>
      <c r="JDN44" s="669"/>
      <c r="JDO44" s="669"/>
      <c r="JDP44" s="669"/>
      <c r="JDQ44" s="669"/>
      <c r="JDR44" s="669"/>
      <c r="JDS44" s="669"/>
      <c r="JDT44" s="669"/>
      <c r="JDU44" s="669"/>
      <c r="JDV44" s="669"/>
      <c r="JDW44" s="669"/>
      <c r="JDX44" s="669"/>
      <c r="JDY44" s="669"/>
      <c r="JDZ44" s="669"/>
      <c r="JEA44" s="669"/>
      <c r="JEB44" s="669"/>
      <c r="JEC44" s="669"/>
      <c r="JED44" s="669"/>
      <c r="JEE44" s="669"/>
      <c r="JEF44" s="669"/>
      <c r="JEG44" s="669"/>
      <c r="JEH44" s="669"/>
      <c r="JEI44" s="669"/>
      <c r="JEJ44" s="669"/>
      <c r="JEK44" s="669"/>
      <c r="JEL44" s="669"/>
      <c r="JEM44" s="669"/>
      <c r="JEN44" s="669"/>
      <c r="JEO44" s="669"/>
      <c r="JEP44" s="669"/>
      <c r="JEQ44" s="669"/>
      <c r="JER44" s="669"/>
      <c r="JES44" s="669"/>
      <c r="JET44" s="669"/>
      <c r="JEU44" s="669"/>
      <c r="JEV44" s="669"/>
      <c r="JEW44" s="669"/>
      <c r="JEX44" s="669"/>
      <c r="JEY44" s="669"/>
      <c r="JEZ44" s="669"/>
      <c r="JFA44" s="669"/>
      <c r="JFB44" s="669"/>
      <c r="JFC44" s="669"/>
      <c r="JFD44" s="669"/>
      <c r="JFE44" s="669"/>
      <c r="JFF44" s="669"/>
      <c r="JFG44" s="669"/>
      <c r="JFH44" s="669"/>
      <c r="JFI44" s="669"/>
      <c r="JFJ44" s="669"/>
      <c r="JFK44" s="669"/>
      <c r="JFL44" s="669"/>
      <c r="JFM44" s="669"/>
      <c r="JFN44" s="669"/>
      <c r="JFO44" s="669"/>
      <c r="JFP44" s="669"/>
      <c r="JFQ44" s="669"/>
      <c r="JFR44" s="669"/>
      <c r="JFS44" s="669"/>
      <c r="JFT44" s="669"/>
      <c r="JFU44" s="669"/>
      <c r="JFV44" s="669"/>
      <c r="JFW44" s="669"/>
      <c r="JFX44" s="669"/>
      <c r="JFY44" s="669"/>
      <c r="JFZ44" s="669"/>
      <c r="JGA44" s="669"/>
      <c r="JGB44" s="669"/>
      <c r="JGC44" s="669"/>
      <c r="JGD44" s="669"/>
      <c r="JGE44" s="669"/>
      <c r="JGF44" s="669"/>
      <c r="JGG44" s="669"/>
      <c r="JGH44" s="669"/>
      <c r="JGI44" s="669"/>
      <c r="JGJ44" s="669"/>
      <c r="JGK44" s="669"/>
      <c r="JGL44" s="669"/>
      <c r="JGM44" s="669"/>
      <c r="JGN44" s="669"/>
      <c r="JGO44" s="669"/>
      <c r="JGP44" s="669"/>
      <c r="JGQ44" s="669"/>
      <c r="JGR44" s="669"/>
      <c r="JGS44" s="669"/>
      <c r="JGT44" s="669"/>
      <c r="JGU44" s="669"/>
      <c r="JGV44" s="669"/>
      <c r="JGW44" s="669"/>
      <c r="JGX44" s="669"/>
      <c r="JGY44" s="669"/>
      <c r="JGZ44" s="669"/>
      <c r="JHA44" s="669"/>
      <c r="JHB44" s="669"/>
      <c r="JHC44" s="669"/>
      <c r="JHD44" s="669"/>
      <c r="JHE44" s="669"/>
      <c r="JHF44" s="669"/>
      <c r="JHG44" s="669"/>
      <c r="JHH44" s="669"/>
      <c r="JHI44" s="669"/>
      <c r="JHJ44" s="669"/>
      <c r="JHK44" s="669"/>
      <c r="JHL44" s="669"/>
      <c r="JHM44" s="669"/>
      <c r="JHN44" s="669"/>
      <c r="JHO44" s="669"/>
      <c r="JHP44" s="669"/>
      <c r="JHQ44" s="669"/>
      <c r="JHR44" s="669"/>
      <c r="JHS44" s="669"/>
      <c r="JHT44" s="669"/>
      <c r="JHU44" s="669"/>
      <c r="JHV44" s="669"/>
      <c r="JHW44" s="669"/>
      <c r="JHX44" s="669"/>
      <c r="JHY44" s="669"/>
      <c r="JHZ44" s="669"/>
      <c r="JIA44" s="669"/>
      <c r="JIB44" s="669"/>
      <c r="JIC44" s="669"/>
      <c r="JID44" s="669"/>
      <c r="JIE44" s="669"/>
      <c r="JIF44" s="669"/>
      <c r="JIG44" s="669"/>
      <c r="JIH44" s="669"/>
      <c r="JII44" s="669"/>
      <c r="JIJ44" s="669"/>
      <c r="JIK44" s="669"/>
      <c r="JIL44" s="669"/>
      <c r="JIM44" s="669"/>
      <c r="JIN44" s="669"/>
      <c r="JIO44" s="669"/>
      <c r="JIP44" s="669"/>
      <c r="JIQ44" s="669"/>
      <c r="JIR44" s="669"/>
      <c r="JIS44" s="669"/>
      <c r="JIT44" s="669"/>
      <c r="JIU44" s="669"/>
      <c r="JIV44" s="669"/>
      <c r="JIW44" s="669"/>
      <c r="JIX44" s="669"/>
      <c r="JIY44" s="669"/>
      <c r="JIZ44" s="669"/>
      <c r="JJA44" s="669"/>
      <c r="JJB44" s="669"/>
      <c r="JJC44" s="669"/>
      <c r="JJD44" s="669"/>
      <c r="JJE44" s="669"/>
      <c r="JJF44" s="669"/>
      <c r="JJG44" s="669"/>
      <c r="JJH44" s="669"/>
      <c r="JJI44" s="669"/>
      <c r="JJJ44" s="669"/>
      <c r="JJK44" s="669"/>
      <c r="JJL44" s="669"/>
      <c r="JJM44" s="669"/>
      <c r="JJN44" s="669"/>
      <c r="JJO44" s="669"/>
      <c r="JJP44" s="669"/>
      <c r="JJQ44" s="669"/>
      <c r="JJR44" s="669"/>
      <c r="JJS44" s="669"/>
      <c r="JJT44" s="669"/>
      <c r="JJU44" s="669"/>
      <c r="JJV44" s="669"/>
      <c r="JJW44" s="669"/>
      <c r="JJX44" s="669"/>
      <c r="JJY44" s="669"/>
      <c r="JJZ44" s="669"/>
      <c r="JKA44" s="669"/>
      <c r="JKB44" s="669"/>
      <c r="JKC44" s="669"/>
      <c r="JKD44" s="669"/>
      <c r="JKE44" s="669"/>
      <c r="JKF44" s="669"/>
      <c r="JKG44" s="669"/>
      <c r="JKH44" s="669"/>
      <c r="JKI44" s="669"/>
      <c r="JKJ44" s="669"/>
      <c r="JKK44" s="669"/>
      <c r="JKL44" s="669"/>
      <c r="JKM44" s="669"/>
      <c r="JKN44" s="669"/>
      <c r="JKO44" s="669"/>
      <c r="JKP44" s="669"/>
      <c r="JKQ44" s="669"/>
      <c r="JKR44" s="669"/>
      <c r="JKS44" s="669"/>
      <c r="JKT44" s="669"/>
      <c r="JKU44" s="669"/>
      <c r="JKV44" s="669"/>
      <c r="JKW44" s="669"/>
      <c r="JKX44" s="669"/>
      <c r="JKY44" s="669"/>
      <c r="JKZ44" s="669"/>
      <c r="JLA44" s="669"/>
      <c r="JLB44" s="669"/>
      <c r="JLC44" s="669"/>
      <c r="JLD44" s="669"/>
      <c r="JLE44" s="669"/>
      <c r="JLF44" s="669"/>
      <c r="JLG44" s="669"/>
      <c r="JLH44" s="669"/>
      <c r="JLI44" s="669"/>
      <c r="JLJ44" s="669"/>
      <c r="JLK44" s="669"/>
      <c r="JLL44" s="669"/>
      <c r="JLM44" s="669"/>
      <c r="JLN44" s="669"/>
      <c r="JLO44" s="669"/>
      <c r="JLP44" s="669"/>
      <c r="JLQ44" s="669"/>
      <c r="JLR44" s="669"/>
      <c r="JLS44" s="669"/>
      <c r="JLT44" s="669"/>
      <c r="JLU44" s="669"/>
      <c r="JLV44" s="669"/>
      <c r="JLW44" s="669"/>
      <c r="JLX44" s="669"/>
      <c r="JLY44" s="669"/>
      <c r="JLZ44" s="669"/>
      <c r="JMA44" s="669"/>
      <c r="JMB44" s="669"/>
      <c r="JMC44" s="669"/>
      <c r="JMD44" s="669"/>
      <c r="JME44" s="669"/>
      <c r="JMF44" s="669"/>
      <c r="JMG44" s="669"/>
      <c r="JMH44" s="669"/>
      <c r="JMI44" s="669"/>
      <c r="JMJ44" s="669"/>
      <c r="JMK44" s="669"/>
      <c r="JML44" s="669"/>
      <c r="JMM44" s="669"/>
      <c r="JMN44" s="669"/>
      <c r="JMO44" s="669"/>
      <c r="JMP44" s="669"/>
      <c r="JMQ44" s="669"/>
      <c r="JMR44" s="669"/>
      <c r="JMS44" s="669"/>
      <c r="JMT44" s="669"/>
      <c r="JMU44" s="669"/>
      <c r="JMV44" s="669"/>
      <c r="JMW44" s="669"/>
      <c r="JMX44" s="669"/>
      <c r="JMY44" s="669"/>
      <c r="JMZ44" s="669"/>
      <c r="JNA44" s="669"/>
      <c r="JNB44" s="669"/>
      <c r="JNC44" s="669"/>
      <c r="JND44" s="669"/>
      <c r="JNE44" s="669"/>
      <c r="JNF44" s="669"/>
      <c r="JNG44" s="669"/>
      <c r="JNH44" s="669"/>
      <c r="JNI44" s="669"/>
      <c r="JNJ44" s="669"/>
      <c r="JNK44" s="669"/>
      <c r="JNL44" s="669"/>
      <c r="JNM44" s="669"/>
      <c r="JNN44" s="669"/>
      <c r="JNO44" s="669"/>
      <c r="JNP44" s="669"/>
      <c r="JNQ44" s="669"/>
      <c r="JNR44" s="669"/>
      <c r="JNS44" s="669"/>
      <c r="JNT44" s="669"/>
      <c r="JNU44" s="669"/>
      <c r="JNV44" s="669"/>
      <c r="JNW44" s="669"/>
      <c r="JNX44" s="669"/>
      <c r="JNY44" s="669"/>
      <c r="JNZ44" s="669"/>
      <c r="JOA44" s="669"/>
      <c r="JOB44" s="669"/>
      <c r="JOC44" s="669"/>
      <c r="JOD44" s="669"/>
      <c r="JOE44" s="669"/>
      <c r="JOF44" s="669"/>
      <c r="JOG44" s="669"/>
      <c r="JOH44" s="669"/>
      <c r="JOI44" s="669"/>
      <c r="JOJ44" s="669"/>
      <c r="JOK44" s="669"/>
      <c r="JOL44" s="669"/>
      <c r="JOM44" s="669"/>
      <c r="JON44" s="669"/>
      <c r="JOO44" s="669"/>
      <c r="JOP44" s="669"/>
      <c r="JOQ44" s="669"/>
      <c r="JOR44" s="669"/>
      <c r="JOS44" s="669"/>
      <c r="JOT44" s="669"/>
      <c r="JOU44" s="669"/>
      <c r="JOV44" s="669"/>
      <c r="JOW44" s="669"/>
      <c r="JOX44" s="669"/>
      <c r="JOY44" s="669"/>
      <c r="JOZ44" s="669"/>
      <c r="JPA44" s="669"/>
      <c r="JPB44" s="669"/>
      <c r="JPC44" s="669"/>
      <c r="JPD44" s="669"/>
      <c r="JPE44" s="669"/>
      <c r="JPF44" s="669"/>
      <c r="JPG44" s="669"/>
      <c r="JPH44" s="669"/>
      <c r="JPI44" s="669"/>
      <c r="JPJ44" s="669"/>
      <c r="JPK44" s="669"/>
      <c r="JPL44" s="669"/>
      <c r="JPM44" s="669"/>
      <c r="JPN44" s="669"/>
      <c r="JPO44" s="669"/>
      <c r="JPP44" s="669"/>
      <c r="JPQ44" s="669"/>
      <c r="JPR44" s="669"/>
      <c r="JPS44" s="669"/>
      <c r="JPT44" s="669"/>
      <c r="JPU44" s="669"/>
      <c r="JPV44" s="669"/>
      <c r="JPW44" s="669"/>
      <c r="JPX44" s="669"/>
      <c r="JPY44" s="669"/>
      <c r="JPZ44" s="669"/>
      <c r="JQA44" s="669"/>
      <c r="JQB44" s="669"/>
      <c r="JQC44" s="669"/>
      <c r="JQD44" s="669"/>
      <c r="JQE44" s="669"/>
      <c r="JQF44" s="669"/>
      <c r="JQG44" s="669"/>
      <c r="JQH44" s="669"/>
      <c r="JQI44" s="669"/>
      <c r="JQJ44" s="669"/>
      <c r="JQK44" s="669"/>
      <c r="JQL44" s="669"/>
      <c r="JQM44" s="669"/>
      <c r="JQN44" s="669"/>
      <c r="JQO44" s="669"/>
      <c r="JQP44" s="669"/>
      <c r="JQQ44" s="669"/>
      <c r="JQR44" s="669"/>
      <c r="JQS44" s="669"/>
      <c r="JQT44" s="669"/>
      <c r="JQU44" s="669"/>
      <c r="JQV44" s="669"/>
      <c r="JQW44" s="669"/>
      <c r="JQX44" s="669"/>
      <c r="JQY44" s="669"/>
      <c r="JQZ44" s="669"/>
      <c r="JRA44" s="669"/>
      <c r="JRB44" s="669"/>
      <c r="JRC44" s="669"/>
      <c r="JRD44" s="669"/>
      <c r="JRE44" s="669"/>
      <c r="JRF44" s="669"/>
      <c r="JRG44" s="669"/>
      <c r="JRH44" s="669"/>
      <c r="JRI44" s="669"/>
      <c r="JRJ44" s="669"/>
      <c r="JRK44" s="669"/>
      <c r="JRL44" s="669"/>
      <c r="JRM44" s="669"/>
      <c r="JRN44" s="669"/>
      <c r="JRO44" s="669"/>
      <c r="JRP44" s="669"/>
      <c r="JRQ44" s="669"/>
      <c r="JRR44" s="669"/>
      <c r="JRS44" s="669"/>
      <c r="JRT44" s="669"/>
      <c r="JRU44" s="669"/>
      <c r="JRV44" s="669"/>
      <c r="JRW44" s="669"/>
      <c r="JRX44" s="669"/>
      <c r="JRY44" s="669"/>
      <c r="JRZ44" s="669"/>
      <c r="JSA44" s="669"/>
      <c r="JSB44" s="669"/>
      <c r="JSC44" s="669"/>
      <c r="JSD44" s="669"/>
      <c r="JSE44" s="669"/>
      <c r="JSF44" s="669"/>
      <c r="JSG44" s="669"/>
      <c r="JSH44" s="669"/>
      <c r="JSI44" s="669"/>
      <c r="JSJ44" s="669"/>
      <c r="JSK44" s="669"/>
      <c r="JSL44" s="669"/>
      <c r="JSM44" s="669"/>
      <c r="JSN44" s="669"/>
      <c r="JSO44" s="669"/>
      <c r="JSP44" s="669"/>
      <c r="JSQ44" s="669"/>
      <c r="JSR44" s="669"/>
      <c r="JSS44" s="669"/>
      <c r="JST44" s="669"/>
      <c r="JSU44" s="669"/>
      <c r="JSV44" s="669"/>
      <c r="JSW44" s="669"/>
      <c r="JSX44" s="669"/>
      <c r="JSY44" s="669"/>
      <c r="JSZ44" s="669"/>
      <c r="JTA44" s="669"/>
      <c r="JTB44" s="669"/>
      <c r="JTC44" s="669"/>
      <c r="JTD44" s="669"/>
      <c r="JTE44" s="669"/>
      <c r="JTF44" s="669"/>
      <c r="JTG44" s="669"/>
      <c r="JTH44" s="669"/>
      <c r="JTI44" s="669"/>
      <c r="JTJ44" s="669"/>
      <c r="JTK44" s="669"/>
      <c r="JTL44" s="669"/>
      <c r="JTM44" s="669"/>
      <c r="JTN44" s="669"/>
      <c r="JTO44" s="669"/>
      <c r="JTP44" s="669"/>
      <c r="JTQ44" s="669"/>
      <c r="JTR44" s="669"/>
      <c r="JTS44" s="669"/>
      <c r="JTT44" s="669"/>
      <c r="JTU44" s="669"/>
      <c r="JTV44" s="669"/>
      <c r="JTW44" s="669"/>
      <c r="JTX44" s="669"/>
      <c r="JTY44" s="669"/>
      <c r="JTZ44" s="669"/>
      <c r="JUA44" s="669"/>
      <c r="JUB44" s="669"/>
      <c r="JUC44" s="669"/>
      <c r="JUD44" s="669"/>
      <c r="JUE44" s="669"/>
      <c r="JUF44" s="669"/>
      <c r="JUG44" s="669"/>
      <c r="JUH44" s="669"/>
      <c r="JUI44" s="669"/>
      <c r="JUJ44" s="669"/>
      <c r="JUK44" s="669"/>
      <c r="JUL44" s="669"/>
      <c r="JUM44" s="669"/>
      <c r="JUN44" s="669"/>
      <c r="JUO44" s="669"/>
      <c r="JUP44" s="669"/>
      <c r="JUQ44" s="669"/>
      <c r="JUR44" s="669"/>
      <c r="JUS44" s="669"/>
      <c r="JUT44" s="669"/>
      <c r="JUU44" s="669"/>
      <c r="JUV44" s="669"/>
      <c r="JUW44" s="669"/>
      <c r="JUX44" s="669"/>
      <c r="JUY44" s="669"/>
      <c r="JUZ44" s="669"/>
      <c r="JVA44" s="669"/>
      <c r="JVB44" s="669"/>
      <c r="JVC44" s="669"/>
      <c r="JVD44" s="669"/>
      <c r="JVE44" s="669"/>
      <c r="JVF44" s="669"/>
      <c r="JVG44" s="669"/>
      <c r="JVH44" s="669"/>
      <c r="JVI44" s="669"/>
      <c r="JVJ44" s="669"/>
      <c r="JVK44" s="669"/>
      <c r="JVL44" s="669"/>
      <c r="JVM44" s="669"/>
      <c r="JVN44" s="669"/>
      <c r="JVO44" s="669"/>
      <c r="JVP44" s="669"/>
      <c r="JVQ44" s="669"/>
      <c r="JVR44" s="669"/>
      <c r="JVS44" s="669"/>
      <c r="JVT44" s="669"/>
      <c r="JVU44" s="669"/>
      <c r="JVV44" s="669"/>
      <c r="JVW44" s="669"/>
      <c r="JVX44" s="669"/>
      <c r="JVY44" s="669"/>
      <c r="JVZ44" s="669"/>
      <c r="JWA44" s="669"/>
      <c r="JWB44" s="669"/>
      <c r="JWC44" s="669"/>
      <c r="JWD44" s="669"/>
      <c r="JWE44" s="669"/>
      <c r="JWF44" s="669"/>
      <c r="JWG44" s="669"/>
      <c r="JWH44" s="669"/>
      <c r="JWI44" s="669"/>
      <c r="JWJ44" s="669"/>
      <c r="JWK44" s="669"/>
      <c r="JWL44" s="669"/>
      <c r="JWM44" s="669"/>
      <c r="JWN44" s="669"/>
      <c r="JWO44" s="669"/>
      <c r="JWP44" s="669"/>
      <c r="JWQ44" s="669"/>
      <c r="JWR44" s="669"/>
      <c r="JWS44" s="669"/>
      <c r="JWT44" s="669"/>
      <c r="JWU44" s="669"/>
      <c r="JWV44" s="669"/>
      <c r="JWW44" s="669"/>
      <c r="JWX44" s="669"/>
      <c r="JWY44" s="669"/>
      <c r="JWZ44" s="669"/>
      <c r="JXA44" s="669"/>
      <c r="JXB44" s="669"/>
      <c r="JXC44" s="669"/>
      <c r="JXD44" s="669"/>
      <c r="JXE44" s="669"/>
      <c r="JXF44" s="669"/>
      <c r="JXG44" s="669"/>
      <c r="JXH44" s="669"/>
      <c r="JXI44" s="669"/>
      <c r="JXJ44" s="669"/>
      <c r="JXK44" s="669"/>
      <c r="JXL44" s="669"/>
      <c r="JXM44" s="669"/>
      <c r="JXN44" s="669"/>
      <c r="JXO44" s="669"/>
      <c r="JXP44" s="669"/>
      <c r="JXQ44" s="669"/>
      <c r="JXR44" s="669"/>
      <c r="JXS44" s="669"/>
      <c r="JXT44" s="669"/>
      <c r="JXU44" s="669"/>
      <c r="JXV44" s="669"/>
      <c r="JXW44" s="669"/>
      <c r="JXX44" s="669"/>
      <c r="JXY44" s="669"/>
      <c r="JXZ44" s="669"/>
      <c r="JYA44" s="669"/>
      <c r="JYB44" s="669"/>
      <c r="JYC44" s="669"/>
      <c r="JYD44" s="669"/>
      <c r="JYE44" s="669"/>
      <c r="JYF44" s="669"/>
      <c r="JYG44" s="669"/>
      <c r="JYH44" s="669"/>
      <c r="JYI44" s="669"/>
      <c r="JYJ44" s="669"/>
      <c r="JYK44" s="669"/>
      <c r="JYL44" s="669"/>
      <c r="JYM44" s="669"/>
      <c r="JYN44" s="669"/>
      <c r="JYO44" s="669"/>
      <c r="JYP44" s="669"/>
      <c r="JYQ44" s="669"/>
      <c r="JYR44" s="669"/>
      <c r="JYS44" s="669"/>
      <c r="JYT44" s="669"/>
      <c r="JYU44" s="669"/>
      <c r="JYV44" s="669"/>
      <c r="JYW44" s="669"/>
      <c r="JYX44" s="669"/>
      <c r="JYY44" s="669"/>
      <c r="JYZ44" s="669"/>
      <c r="JZA44" s="669"/>
      <c r="JZB44" s="669"/>
      <c r="JZC44" s="669"/>
      <c r="JZD44" s="669"/>
      <c r="JZE44" s="669"/>
      <c r="JZF44" s="669"/>
      <c r="JZG44" s="669"/>
      <c r="JZH44" s="669"/>
      <c r="JZI44" s="669"/>
      <c r="JZJ44" s="669"/>
      <c r="JZK44" s="669"/>
      <c r="JZL44" s="669"/>
      <c r="JZM44" s="669"/>
      <c r="JZN44" s="669"/>
      <c r="JZO44" s="669"/>
      <c r="JZP44" s="669"/>
      <c r="JZQ44" s="669"/>
      <c r="JZR44" s="669"/>
      <c r="JZS44" s="669"/>
      <c r="JZT44" s="669"/>
      <c r="JZU44" s="669"/>
      <c r="JZV44" s="669"/>
      <c r="JZW44" s="669"/>
      <c r="JZX44" s="669"/>
      <c r="JZY44" s="669"/>
      <c r="JZZ44" s="669"/>
      <c r="KAA44" s="669"/>
      <c r="KAB44" s="669"/>
      <c r="KAC44" s="669"/>
      <c r="KAD44" s="669"/>
      <c r="KAE44" s="669"/>
      <c r="KAF44" s="669"/>
      <c r="KAG44" s="669"/>
      <c r="KAH44" s="669"/>
      <c r="KAI44" s="669"/>
      <c r="KAJ44" s="669"/>
      <c r="KAK44" s="669"/>
      <c r="KAL44" s="669"/>
      <c r="KAM44" s="669"/>
      <c r="KAN44" s="669"/>
      <c r="KAO44" s="669"/>
      <c r="KAP44" s="669"/>
      <c r="KAQ44" s="669"/>
      <c r="KAR44" s="669"/>
      <c r="KAS44" s="669"/>
      <c r="KAT44" s="669"/>
      <c r="KAU44" s="669"/>
      <c r="KAV44" s="669"/>
      <c r="KAW44" s="669"/>
      <c r="KAX44" s="669"/>
      <c r="KAY44" s="669"/>
      <c r="KAZ44" s="669"/>
      <c r="KBA44" s="669"/>
      <c r="KBB44" s="669"/>
      <c r="KBC44" s="669"/>
      <c r="KBD44" s="669"/>
      <c r="KBE44" s="669"/>
      <c r="KBF44" s="669"/>
      <c r="KBG44" s="669"/>
      <c r="KBH44" s="669"/>
      <c r="KBI44" s="669"/>
      <c r="KBJ44" s="669"/>
      <c r="KBK44" s="669"/>
      <c r="KBL44" s="669"/>
      <c r="KBM44" s="669"/>
      <c r="KBN44" s="669"/>
      <c r="KBO44" s="669"/>
      <c r="KBP44" s="669"/>
      <c r="KBQ44" s="669"/>
      <c r="KBR44" s="669"/>
      <c r="KBS44" s="669"/>
      <c r="KBT44" s="669"/>
      <c r="KBU44" s="669"/>
      <c r="KBV44" s="669"/>
      <c r="KBW44" s="669"/>
      <c r="KBX44" s="669"/>
      <c r="KBY44" s="669"/>
      <c r="KBZ44" s="669"/>
      <c r="KCA44" s="669"/>
      <c r="KCB44" s="669"/>
      <c r="KCC44" s="669"/>
      <c r="KCD44" s="669"/>
      <c r="KCE44" s="669"/>
      <c r="KCF44" s="669"/>
      <c r="KCG44" s="669"/>
      <c r="KCH44" s="669"/>
      <c r="KCI44" s="669"/>
      <c r="KCJ44" s="669"/>
      <c r="KCK44" s="669"/>
      <c r="KCL44" s="669"/>
      <c r="KCM44" s="669"/>
      <c r="KCN44" s="669"/>
      <c r="KCO44" s="669"/>
      <c r="KCP44" s="669"/>
      <c r="KCQ44" s="669"/>
      <c r="KCR44" s="669"/>
      <c r="KCS44" s="669"/>
      <c r="KCT44" s="669"/>
      <c r="KCU44" s="669"/>
      <c r="KCV44" s="669"/>
      <c r="KCW44" s="669"/>
      <c r="KCX44" s="669"/>
      <c r="KCY44" s="669"/>
      <c r="KCZ44" s="669"/>
      <c r="KDA44" s="669"/>
      <c r="KDB44" s="669"/>
      <c r="KDC44" s="669"/>
      <c r="KDD44" s="669"/>
      <c r="KDE44" s="669"/>
      <c r="KDF44" s="669"/>
      <c r="KDG44" s="669"/>
      <c r="KDH44" s="669"/>
      <c r="KDI44" s="669"/>
      <c r="KDJ44" s="669"/>
      <c r="KDK44" s="669"/>
      <c r="KDL44" s="669"/>
      <c r="KDM44" s="669"/>
      <c r="KDN44" s="669"/>
      <c r="KDO44" s="669"/>
      <c r="KDP44" s="669"/>
      <c r="KDQ44" s="669"/>
      <c r="KDR44" s="669"/>
      <c r="KDS44" s="669"/>
      <c r="KDT44" s="669"/>
      <c r="KDU44" s="669"/>
      <c r="KDV44" s="669"/>
      <c r="KDW44" s="669"/>
      <c r="KDX44" s="669"/>
      <c r="KDY44" s="669"/>
      <c r="KDZ44" s="669"/>
      <c r="KEA44" s="669"/>
      <c r="KEB44" s="669"/>
      <c r="KEC44" s="669"/>
      <c r="KED44" s="669"/>
      <c r="KEE44" s="669"/>
      <c r="KEF44" s="669"/>
      <c r="KEG44" s="669"/>
      <c r="KEH44" s="669"/>
      <c r="KEI44" s="669"/>
      <c r="KEJ44" s="669"/>
      <c r="KEK44" s="669"/>
      <c r="KEL44" s="669"/>
      <c r="KEM44" s="669"/>
      <c r="KEN44" s="669"/>
      <c r="KEO44" s="669"/>
      <c r="KEP44" s="669"/>
      <c r="KEQ44" s="669"/>
      <c r="KER44" s="669"/>
      <c r="KES44" s="669"/>
      <c r="KET44" s="669"/>
      <c r="KEU44" s="669"/>
      <c r="KEV44" s="669"/>
      <c r="KEW44" s="669"/>
      <c r="KEX44" s="669"/>
      <c r="KEY44" s="669"/>
      <c r="KEZ44" s="669"/>
      <c r="KFA44" s="669"/>
      <c r="KFB44" s="669"/>
      <c r="KFC44" s="669"/>
      <c r="KFD44" s="669"/>
      <c r="KFE44" s="669"/>
      <c r="KFF44" s="669"/>
      <c r="KFG44" s="669"/>
      <c r="KFH44" s="669"/>
      <c r="KFI44" s="669"/>
      <c r="KFJ44" s="669"/>
      <c r="KFK44" s="669"/>
      <c r="KFL44" s="669"/>
      <c r="KFM44" s="669"/>
      <c r="KFN44" s="669"/>
      <c r="KFO44" s="669"/>
      <c r="KFP44" s="669"/>
      <c r="KFQ44" s="669"/>
      <c r="KFR44" s="669"/>
      <c r="KFS44" s="669"/>
      <c r="KFT44" s="669"/>
      <c r="KFU44" s="669"/>
      <c r="KFV44" s="669"/>
      <c r="KFW44" s="669"/>
      <c r="KFX44" s="669"/>
      <c r="KFY44" s="669"/>
      <c r="KFZ44" s="669"/>
      <c r="KGA44" s="669"/>
      <c r="KGB44" s="669"/>
      <c r="KGC44" s="669"/>
      <c r="KGD44" s="669"/>
      <c r="KGE44" s="669"/>
      <c r="KGF44" s="669"/>
      <c r="KGG44" s="669"/>
      <c r="KGH44" s="669"/>
      <c r="KGI44" s="669"/>
      <c r="KGJ44" s="669"/>
      <c r="KGK44" s="669"/>
      <c r="KGL44" s="669"/>
      <c r="KGM44" s="669"/>
      <c r="KGN44" s="669"/>
      <c r="KGO44" s="669"/>
      <c r="KGP44" s="669"/>
      <c r="KGQ44" s="669"/>
      <c r="KGR44" s="669"/>
      <c r="KGS44" s="669"/>
      <c r="KGT44" s="669"/>
      <c r="KGU44" s="669"/>
      <c r="KGV44" s="669"/>
      <c r="KGW44" s="669"/>
      <c r="KGX44" s="669"/>
      <c r="KGY44" s="669"/>
      <c r="KGZ44" s="669"/>
      <c r="KHA44" s="669"/>
      <c r="KHB44" s="669"/>
      <c r="KHC44" s="669"/>
      <c r="KHD44" s="669"/>
      <c r="KHE44" s="669"/>
      <c r="KHF44" s="669"/>
      <c r="KHG44" s="669"/>
      <c r="KHH44" s="669"/>
      <c r="KHI44" s="669"/>
      <c r="KHJ44" s="669"/>
      <c r="KHK44" s="669"/>
      <c r="KHL44" s="669"/>
      <c r="KHM44" s="669"/>
      <c r="KHN44" s="669"/>
      <c r="KHO44" s="669"/>
      <c r="KHP44" s="669"/>
      <c r="KHQ44" s="669"/>
      <c r="KHR44" s="669"/>
      <c r="KHS44" s="669"/>
      <c r="KHT44" s="669"/>
      <c r="KHU44" s="669"/>
      <c r="KHV44" s="669"/>
      <c r="KHW44" s="669"/>
      <c r="KHX44" s="669"/>
      <c r="KHY44" s="669"/>
      <c r="KHZ44" s="669"/>
      <c r="KIA44" s="669"/>
      <c r="KIB44" s="669"/>
      <c r="KIC44" s="669"/>
      <c r="KID44" s="669"/>
      <c r="KIE44" s="669"/>
      <c r="KIF44" s="669"/>
      <c r="KIG44" s="669"/>
      <c r="KIH44" s="669"/>
      <c r="KII44" s="669"/>
      <c r="KIJ44" s="669"/>
      <c r="KIK44" s="669"/>
      <c r="KIL44" s="669"/>
      <c r="KIM44" s="669"/>
      <c r="KIN44" s="669"/>
      <c r="KIO44" s="669"/>
      <c r="KIP44" s="669"/>
      <c r="KIQ44" s="669"/>
      <c r="KIR44" s="669"/>
      <c r="KIS44" s="669"/>
      <c r="KIT44" s="669"/>
      <c r="KIU44" s="669"/>
      <c r="KIV44" s="669"/>
      <c r="KIW44" s="669"/>
      <c r="KIX44" s="669"/>
      <c r="KIY44" s="669"/>
      <c r="KIZ44" s="669"/>
      <c r="KJA44" s="669"/>
      <c r="KJB44" s="669"/>
      <c r="KJC44" s="669"/>
      <c r="KJD44" s="669"/>
      <c r="KJE44" s="669"/>
      <c r="KJF44" s="669"/>
      <c r="KJG44" s="669"/>
      <c r="KJH44" s="669"/>
      <c r="KJI44" s="669"/>
      <c r="KJJ44" s="669"/>
      <c r="KJK44" s="669"/>
      <c r="KJL44" s="669"/>
      <c r="KJM44" s="669"/>
      <c r="KJN44" s="669"/>
      <c r="KJO44" s="669"/>
      <c r="KJP44" s="669"/>
      <c r="KJQ44" s="669"/>
      <c r="KJR44" s="669"/>
      <c r="KJS44" s="669"/>
      <c r="KJT44" s="669"/>
      <c r="KJU44" s="669"/>
      <c r="KJV44" s="669"/>
      <c r="KJW44" s="669"/>
      <c r="KJX44" s="669"/>
      <c r="KJY44" s="669"/>
      <c r="KJZ44" s="669"/>
      <c r="KKA44" s="669"/>
      <c r="KKB44" s="669"/>
      <c r="KKC44" s="669"/>
      <c r="KKD44" s="669"/>
      <c r="KKE44" s="669"/>
      <c r="KKF44" s="669"/>
      <c r="KKG44" s="669"/>
      <c r="KKH44" s="669"/>
      <c r="KKI44" s="669"/>
      <c r="KKJ44" s="669"/>
      <c r="KKK44" s="669"/>
      <c r="KKL44" s="669"/>
      <c r="KKM44" s="669"/>
      <c r="KKN44" s="669"/>
      <c r="KKO44" s="669"/>
      <c r="KKP44" s="669"/>
      <c r="KKQ44" s="669"/>
      <c r="KKR44" s="669"/>
      <c r="KKS44" s="669"/>
      <c r="KKT44" s="669"/>
      <c r="KKU44" s="669"/>
      <c r="KKV44" s="669"/>
      <c r="KKW44" s="669"/>
      <c r="KKX44" s="669"/>
      <c r="KKY44" s="669"/>
      <c r="KKZ44" s="669"/>
      <c r="KLA44" s="669"/>
      <c r="KLB44" s="669"/>
      <c r="KLC44" s="669"/>
      <c r="KLD44" s="669"/>
      <c r="KLE44" s="669"/>
      <c r="KLF44" s="669"/>
      <c r="KLG44" s="669"/>
      <c r="KLH44" s="669"/>
      <c r="KLI44" s="669"/>
      <c r="KLJ44" s="669"/>
      <c r="KLK44" s="669"/>
      <c r="KLL44" s="669"/>
      <c r="KLM44" s="669"/>
      <c r="KLN44" s="669"/>
      <c r="KLO44" s="669"/>
      <c r="KLP44" s="669"/>
      <c r="KLQ44" s="669"/>
      <c r="KLR44" s="669"/>
      <c r="KLS44" s="669"/>
      <c r="KLT44" s="669"/>
      <c r="KLU44" s="669"/>
      <c r="KLV44" s="669"/>
      <c r="KLW44" s="669"/>
      <c r="KLX44" s="669"/>
      <c r="KLY44" s="669"/>
      <c r="KLZ44" s="669"/>
      <c r="KMA44" s="669"/>
      <c r="KMB44" s="669"/>
      <c r="KMC44" s="669"/>
      <c r="KMD44" s="669"/>
      <c r="KME44" s="669"/>
      <c r="KMF44" s="669"/>
      <c r="KMG44" s="669"/>
      <c r="KMH44" s="669"/>
      <c r="KMI44" s="669"/>
      <c r="KMJ44" s="669"/>
      <c r="KMK44" s="669"/>
      <c r="KML44" s="669"/>
      <c r="KMM44" s="669"/>
      <c r="KMN44" s="669"/>
      <c r="KMO44" s="669"/>
      <c r="KMP44" s="669"/>
      <c r="KMQ44" s="669"/>
      <c r="KMR44" s="669"/>
      <c r="KMS44" s="669"/>
      <c r="KMT44" s="669"/>
      <c r="KMU44" s="669"/>
      <c r="KMV44" s="669"/>
      <c r="KMW44" s="669"/>
      <c r="KMX44" s="669"/>
      <c r="KMY44" s="669"/>
      <c r="KMZ44" s="669"/>
      <c r="KNA44" s="669"/>
      <c r="KNB44" s="669"/>
      <c r="KNC44" s="669"/>
      <c r="KND44" s="669"/>
      <c r="KNE44" s="669"/>
      <c r="KNF44" s="669"/>
      <c r="KNG44" s="669"/>
      <c r="KNH44" s="669"/>
      <c r="KNI44" s="669"/>
      <c r="KNJ44" s="669"/>
      <c r="KNK44" s="669"/>
      <c r="KNL44" s="669"/>
      <c r="KNM44" s="669"/>
      <c r="KNN44" s="669"/>
      <c r="KNO44" s="669"/>
      <c r="KNP44" s="669"/>
      <c r="KNQ44" s="669"/>
      <c r="KNR44" s="669"/>
      <c r="KNS44" s="669"/>
      <c r="KNT44" s="669"/>
      <c r="KNU44" s="669"/>
      <c r="KNV44" s="669"/>
      <c r="KNW44" s="669"/>
      <c r="KNX44" s="669"/>
      <c r="KNY44" s="669"/>
      <c r="KNZ44" s="669"/>
      <c r="KOA44" s="669"/>
      <c r="KOB44" s="669"/>
      <c r="KOC44" s="669"/>
      <c r="KOD44" s="669"/>
      <c r="KOE44" s="669"/>
      <c r="KOF44" s="669"/>
      <c r="KOG44" s="669"/>
      <c r="KOH44" s="669"/>
      <c r="KOI44" s="669"/>
      <c r="KOJ44" s="669"/>
      <c r="KOK44" s="669"/>
      <c r="KOL44" s="669"/>
      <c r="KOM44" s="669"/>
      <c r="KON44" s="669"/>
      <c r="KOO44" s="669"/>
      <c r="KOP44" s="669"/>
      <c r="KOQ44" s="669"/>
      <c r="KOR44" s="669"/>
      <c r="KOS44" s="669"/>
      <c r="KOT44" s="669"/>
      <c r="KOU44" s="669"/>
      <c r="KOV44" s="669"/>
      <c r="KOW44" s="669"/>
      <c r="KOX44" s="669"/>
      <c r="KOY44" s="669"/>
      <c r="KOZ44" s="669"/>
      <c r="KPA44" s="669"/>
      <c r="KPB44" s="669"/>
      <c r="KPC44" s="669"/>
      <c r="KPD44" s="669"/>
      <c r="KPE44" s="669"/>
      <c r="KPF44" s="669"/>
      <c r="KPG44" s="669"/>
      <c r="KPH44" s="669"/>
      <c r="KPI44" s="669"/>
      <c r="KPJ44" s="669"/>
      <c r="KPK44" s="669"/>
      <c r="KPL44" s="669"/>
      <c r="KPM44" s="669"/>
      <c r="KPN44" s="669"/>
      <c r="KPO44" s="669"/>
      <c r="KPP44" s="669"/>
      <c r="KPQ44" s="669"/>
      <c r="KPR44" s="669"/>
      <c r="KPS44" s="669"/>
      <c r="KPT44" s="669"/>
      <c r="KPU44" s="669"/>
      <c r="KPV44" s="669"/>
      <c r="KPW44" s="669"/>
      <c r="KPX44" s="669"/>
      <c r="KPY44" s="669"/>
      <c r="KPZ44" s="669"/>
      <c r="KQA44" s="669"/>
      <c r="KQB44" s="669"/>
      <c r="KQC44" s="669"/>
      <c r="KQD44" s="669"/>
      <c r="KQE44" s="669"/>
      <c r="KQF44" s="669"/>
      <c r="KQG44" s="669"/>
      <c r="KQH44" s="669"/>
      <c r="KQI44" s="669"/>
      <c r="KQJ44" s="669"/>
      <c r="KQK44" s="669"/>
      <c r="KQL44" s="669"/>
      <c r="KQM44" s="669"/>
      <c r="KQN44" s="669"/>
      <c r="KQO44" s="669"/>
      <c r="KQP44" s="669"/>
      <c r="KQQ44" s="669"/>
      <c r="KQR44" s="669"/>
      <c r="KQS44" s="669"/>
      <c r="KQT44" s="669"/>
      <c r="KQU44" s="669"/>
      <c r="KQV44" s="669"/>
      <c r="KQW44" s="669"/>
      <c r="KQX44" s="669"/>
      <c r="KQY44" s="669"/>
      <c r="KQZ44" s="669"/>
      <c r="KRA44" s="669"/>
      <c r="KRB44" s="669"/>
      <c r="KRC44" s="669"/>
      <c r="KRD44" s="669"/>
      <c r="KRE44" s="669"/>
      <c r="KRF44" s="669"/>
      <c r="KRG44" s="669"/>
      <c r="KRH44" s="669"/>
      <c r="KRI44" s="669"/>
      <c r="KRJ44" s="669"/>
      <c r="KRK44" s="669"/>
      <c r="KRL44" s="669"/>
      <c r="KRM44" s="669"/>
      <c r="KRN44" s="669"/>
      <c r="KRO44" s="669"/>
      <c r="KRP44" s="669"/>
      <c r="KRQ44" s="669"/>
      <c r="KRR44" s="669"/>
      <c r="KRS44" s="669"/>
      <c r="KRT44" s="669"/>
      <c r="KRU44" s="669"/>
      <c r="KRV44" s="669"/>
      <c r="KRW44" s="669"/>
      <c r="KRX44" s="669"/>
      <c r="KRY44" s="669"/>
      <c r="KRZ44" s="669"/>
      <c r="KSA44" s="669"/>
      <c r="KSB44" s="669"/>
      <c r="KSC44" s="669"/>
      <c r="KSD44" s="669"/>
      <c r="KSE44" s="669"/>
      <c r="KSF44" s="669"/>
      <c r="KSG44" s="669"/>
      <c r="KSH44" s="669"/>
      <c r="KSI44" s="669"/>
      <c r="KSJ44" s="669"/>
      <c r="KSK44" s="669"/>
      <c r="KSL44" s="669"/>
      <c r="KSM44" s="669"/>
      <c r="KSN44" s="669"/>
      <c r="KSO44" s="669"/>
      <c r="KSP44" s="669"/>
      <c r="KSQ44" s="669"/>
      <c r="KSR44" s="669"/>
      <c r="KSS44" s="669"/>
      <c r="KST44" s="669"/>
      <c r="KSU44" s="669"/>
      <c r="KSV44" s="669"/>
      <c r="KSW44" s="669"/>
      <c r="KSX44" s="669"/>
      <c r="KSY44" s="669"/>
      <c r="KSZ44" s="669"/>
      <c r="KTA44" s="669"/>
      <c r="KTB44" s="669"/>
      <c r="KTC44" s="669"/>
      <c r="KTD44" s="669"/>
      <c r="KTE44" s="669"/>
      <c r="KTF44" s="669"/>
      <c r="KTG44" s="669"/>
      <c r="KTH44" s="669"/>
      <c r="KTI44" s="669"/>
      <c r="KTJ44" s="669"/>
      <c r="KTK44" s="669"/>
      <c r="KTL44" s="669"/>
      <c r="KTM44" s="669"/>
      <c r="KTN44" s="669"/>
      <c r="KTO44" s="669"/>
      <c r="KTP44" s="669"/>
      <c r="KTQ44" s="669"/>
      <c r="KTR44" s="669"/>
      <c r="KTS44" s="669"/>
      <c r="KTT44" s="669"/>
      <c r="KTU44" s="669"/>
      <c r="KTV44" s="669"/>
      <c r="KTW44" s="669"/>
      <c r="KTX44" s="669"/>
      <c r="KTY44" s="669"/>
      <c r="KTZ44" s="669"/>
      <c r="KUA44" s="669"/>
      <c r="KUB44" s="669"/>
      <c r="KUC44" s="669"/>
      <c r="KUD44" s="669"/>
      <c r="KUE44" s="669"/>
      <c r="KUF44" s="669"/>
      <c r="KUG44" s="669"/>
      <c r="KUH44" s="669"/>
      <c r="KUI44" s="669"/>
      <c r="KUJ44" s="669"/>
      <c r="KUK44" s="669"/>
      <c r="KUL44" s="669"/>
      <c r="KUM44" s="669"/>
      <c r="KUN44" s="669"/>
      <c r="KUO44" s="669"/>
      <c r="KUP44" s="669"/>
      <c r="KUQ44" s="669"/>
      <c r="KUR44" s="669"/>
      <c r="KUS44" s="669"/>
      <c r="KUT44" s="669"/>
      <c r="KUU44" s="669"/>
      <c r="KUV44" s="669"/>
      <c r="KUW44" s="669"/>
      <c r="KUX44" s="669"/>
      <c r="KUY44" s="669"/>
      <c r="KUZ44" s="669"/>
      <c r="KVA44" s="669"/>
      <c r="KVB44" s="669"/>
      <c r="KVC44" s="669"/>
      <c r="KVD44" s="669"/>
      <c r="KVE44" s="669"/>
      <c r="KVF44" s="669"/>
      <c r="KVG44" s="669"/>
      <c r="KVH44" s="669"/>
      <c r="KVI44" s="669"/>
      <c r="KVJ44" s="669"/>
      <c r="KVK44" s="669"/>
      <c r="KVL44" s="669"/>
      <c r="KVM44" s="669"/>
      <c r="KVN44" s="669"/>
      <c r="KVO44" s="669"/>
      <c r="KVP44" s="669"/>
      <c r="KVQ44" s="669"/>
      <c r="KVR44" s="669"/>
      <c r="KVS44" s="669"/>
      <c r="KVT44" s="669"/>
      <c r="KVU44" s="669"/>
      <c r="KVV44" s="669"/>
      <c r="KVW44" s="669"/>
      <c r="KVX44" s="669"/>
      <c r="KVY44" s="669"/>
      <c r="KVZ44" s="669"/>
      <c r="KWA44" s="669"/>
      <c r="KWB44" s="669"/>
      <c r="KWC44" s="669"/>
      <c r="KWD44" s="669"/>
      <c r="KWE44" s="669"/>
      <c r="KWF44" s="669"/>
      <c r="KWG44" s="669"/>
      <c r="KWH44" s="669"/>
      <c r="KWI44" s="669"/>
      <c r="KWJ44" s="669"/>
      <c r="KWK44" s="669"/>
      <c r="KWL44" s="669"/>
      <c r="KWM44" s="669"/>
      <c r="KWN44" s="669"/>
      <c r="KWO44" s="669"/>
      <c r="KWP44" s="669"/>
      <c r="KWQ44" s="669"/>
      <c r="KWR44" s="669"/>
      <c r="KWS44" s="669"/>
      <c r="KWT44" s="669"/>
      <c r="KWU44" s="669"/>
      <c r="KWV44" s="669"/>
      <c r="KWW44" s="669"/>
      <c r="KWX44" s="669"/>
      <c r="KWY44" s="669"/>
      <c r="KWZ44" s="669"/>
      <c r="KXA44" s="669"/>
      <c r="KXB44" s="669"/>
      <c r="KXC44" s="669"/>
      <c r="KXD44" s="669"/>
      <c r="KXE44" s="669"/>
      <c r="KXF44" s="669"/>
      <c r="KXG44" s="669"/>
      <c r="KXH44" s="669"/>
      <c r="KXI44" s="669"/>
      <c r="KXJ44" s="669"/>
      <c r="KXK44" s="669"/>
      <c r="KXL44" s="669"/>
      <c r="KXM44" s="669"/>
      <c r="KXN44" s="669"/>
      <c r="KXO44" s="669"/>
      <c r="KXP44" s="669"/>
      <c r="KXQ44" s="669"/>
      <c r="KXR44" s="669"/>
      <c r="KXS44" s="669"/>
      <c r="KXT44" s="669"/>
      <c r="KXU44" s="669"/>
      <c r="KXV44" s="669"/>
      <c r="KXW44" s="669"/>
      <c r="KXX44" s="669"/>
      <c r="KXY44" s="669"/>
      <c r="KXZ44" s="669"/>
      <c r="KYA44" s="669"/>
      <c r="KYB44" s="669"/>
      <c r="KYC44" s="669"/>
      <c r="KYD44" s="669"/>
      <c r="KYE44" s="669"/>
      <c r="KYF44" s="669"/>
      <c r="KYG44" s="669"/>
      <c r="KYH44" s="669"/>
      <c r="KYI44" s="669"/>
      <c r="KYJ44" s="669"/>
      <c r="KYK44" s="669"/>
      <c r="KYL44" s="669"/>
      <c r="KYM44" s="669"/>
      <c r="KYN44" s="669"/>
      <c r="KYO44" s="669"/>
      <c r="KYP44" s="669"/>
      <c r="KYQ44" s="669"/>
      <c r="KYR44" s="669"/>
      <c r="KYS44" s="669"/>
      <c r="KYT44" s="669"/>
      <c r="KYU44" s="669"/>
      <c r="KYV44" s="669"/>
      <c r="KYW44" s="669"/>
      <c r="KYX44" s="669"/>
      <c r="KYY44" s="669"/>
      <c r="KYZ44" s="669"/>
      <c r="KZA44" s="669"/>
      <c r="KZB44" s="669"/>
      <c r="KZC44" s="669"/>
      <c r="KZD44" s="669"/>
      <c r="KZE44" s="669"/>
      <c r="KZF44" s="669"/>
      <c r="KZG44" s="669"/>
      <c r="KZH44" s="669"/>
      <c r="KZI44" s="669"/>
      <c r="KZJ44" s="669"/>
      <c r="KZK44" s="669"/>
      <c r="KZL44" s="669"/>
      <c r="KZM44" s="669"/>
      <c r="KZN44" s="669"/>
      <c r="KZO44" s="669"/>
      <c r="KZP44" s="669"/>
      <c r="KZQ44" s="669"/>
      <c r="KZR44" s="669"/>
      <c r="KZS44" s="669"/>
      <c r="KZT44" s="669"/>
      <c r="KZU44" s="669"/>
      <c r="KZV44" s="669"/>
      <c r="KZW44" s="669"/>
      <c r="KZX44" s="669"/>
      <c r="KZY44" s="669"/>
      <c r="KZZ44" s="669"/>
      <c r="LAA44" s="669"/>
      <c r="LAB44" s="669"/>
      <c r="LAC44" s="669"/>
      <c r="LAD44" s="669"/>
      <c r="LAE44" s="669"/>
      <c r="LAF44" s="669"/>
      <c r="LAG44" s="669"/>
      <c r="LAH44" s="669"/>
      <c r="LAI44" s="669"/>
      <c r="LAJ44" s="669"/>
      <c r="LAK44" s="669"/>
      <c r="LAL44" s="669"/>
      <c r="LAM44" s="669"/>
      <c r="LAN44" s="669"/>
      <c r="LAO44" s="669"/>
      <c r="LAP44" s="669"/>
      <c r="LAQ44" s="669"/>
      <c r="LAR44" s="669"/>
      <c r="LAS44" s="669"/>
      <c r="LAT44" s="669"/>
      <c r="LAU44" s="669"/>
      <c r="LAV44" s="669"/>
      <c r="LAW44" s="669"/>
      <c r="LAX44" s="669"/>
      <c r="LAY44" s="669"/>
      <c r="LAZ44" s="669"/>
      <c r="LBA44" s="669"/>
      <c r="LBB44" s="669"/>
      <c r="LBC44" s="669"/>
      <c r="LBD44" s="669"/>
      <c r="LBE44" s="669"/>
      <c r="LBF44" s="669"/>
      <c r="LBG44" s="669"/>
      <c r="LBH44" s="669"/>
      <c r="LBI44" s="669"/>
      <c r="LBJ44" s="669"/>
      <c r="LBK44" s="669"/>
      <c r="LBL44" s="669"/>
      <c r="LBM44" s="669"/>
      <c r="LBN44" s="669"/>
      <c r="LBO44" s="669"/>
      <c r="LBP44" s="669"/>
      <c r="LBQ44" s="669"/>
      <c r="LBR44" s="669"/>
      <c r="LBS44" s="669"/>
      <c r="LBT44" s="669"/>
      <c r="LBU44" s="669"/>
      <c r="LBV44" s="669"/>
      <c r="LBW44" s="669"/>
      <c r="LBX44" s="669"/>
      <c r="LBY44" s="669"/>
      <c r="LBZ44" s="669"/>
      <c r="LCA44" s="669"/>
      <c r="LCB44" s="669"/>
      <c r="LCC44" s="669"/>
      <c r="LCD44" s="669"/>
      <c r="LCE44" s="669"/>
      <c r="LCF44" s="669"/>
      <c r="LCG44" s="669"/>
      <c r="LCH44" s="669"/>
      <c r="LCI44" s="669"/>
      <c r="LCJ44" s="669"/>
      <c r="LCK44" s="669"/>
      <c r="LCL44" s="669"/>
      <c r="LCM44" s="669"/>
      <c r="LCN44" s="669"/>
      <c r="LCO44" s="669"/>
      <c r="LCP44" s="669"/>
      <c r="LCQ44" s="669"/>
      <c r="LCR44" s="669"/>
      <c r="LCS44" s="669"/>
      <c r="LCT44" s="669"/>
      <c r="LCU44" s="669"/>
      <c r="LCV44" s="669"/>
      <c r="LCW44" s="669"/>
      <c r="LCX44" s="669"/>
      <c r="LCY44" s="669"/>
      <c r="LCZ44" s="669"/>
      <c r="LDA44" s="669"/>
      <c r="LDB44" s="669"/>
      <c r="LDC44" s="669"/>
      <c r="LDD44" s="669"/>
      <c r="LDE44" s="669"/>
      <c r="LDF44" s="669"/>
      <c r="LDG44" s="669"/>
      <c r="LDH44" s="669"/>
      <c r="LDI44" s="669"/>
      <c r="LDJ44" s="669"/>
      <c r="LDK44" s="669"/>
      <c r="LDL44" s="669"/>
      <c r="LDM44" s="669"/>
      <c r="LDN44" s="669"/>
      <c r="LDO44" s="669"/>
      <c r="LDP44" s="669"/>
      <c r="LDQ44" s="669"/>
      <c r="LDR44" s="669"/>
      <c r="LDS44" s="669"/>
      <c r="LDT44" s="669"/>
      <c r="LDU44" s="669"/>
      <c r="LDV44" s="669"/>
      <c r="LDW44" s="669"/>
      <c r="LDX44" s="669"/>
      <c r="LDY44" s="669"/>
      <c r="LDZ44" s="669"/>
      <c r="LEA44" s="669"/>
      <c r="LEB44" s="669"/>
      <c r="LEC44" s="669"/>
      <c r="LED44" s="669"/>
      <c r="LEE44" s="669"/>
      <c r="LEF44" s="669"/>
      <c r="LEG44" s="669"/>
      <c r="LEH44" s="669"/>
      <c r="LEI44" s="669"/>
      <c r="LEJ44" s="669"/>
      <c r="LEK44" s="669"/>
      <c r="LEL44" s="669"/>
      <c r="LEM44" s="669"/>
      <c r="LEN44" s="669"/>
      <c r="LEO44" s="669"/>
      <c r="LEP44" s="669"/>
      <c r="LEQ44" s="669"/>
      <c r="LER44" s="669"/>
      <c r="LES44" s="669"/>
      <c r="LET44" s="669"/>
      <c r="LEU44" s="669"/>
      <c r="LEV44" s="669"/>
      <c r="LEW44" s="669"/>
      <c r="LEX44" s="669"/>
      <c r="LEY44" s="669"/>
      <c r="LEZ44" s="669"/>
      <c r="LFA44" s="669"/>
      <c r="LFB44" s="669"/>
      <c r="LFC44" s="669"/>
      <c r="LFD44" s="669"/>
      <c r="LFE44" s="669"/>
      <c r="LFF44" s="669"/>
      <c r="LFG44" s="669"/>
      <c r="LFH44" s="669"/>
      <c r="LFI44" s="669"/>
      <c r="LFJ44" s="669"/>
      <c r="LFK44" s="669"/>
      <c r="LFL44" s="669"/>
      <c r="LFM44" s="669"/>
      <c r="LFN44" s="669"/>
      <c r="LFO44" s="669"/>
      <c r="LFP44" s="669"/>
      <c r="LFQ44" s="669"/>
      <c r="LFR44" s="669"/>
      <c r="LFS44" s="669"/>
      <c r="LFT44" s="669"/>
      <c r="LFU44" s="669"/>
      <c r="LFV44" s="669"/>
      <c r="LFW44" s="669"/>
      <c r="LFX44" s="669"/>
      <c r="LFY44" s="669"/>
      <c r="LFZ44" s="669"/>
      <c r="LGA44" s="669"/>
      <c r="LGB44" s="669"/>
      <c r="LGC44" s="669"/>
      <c r="LGD44" s="669"/>
      <c r="LGE44" s="669"/>
      <c r="LGF44" s="669"/>
      <c r="LGG44" s="669"/>
      <c r="LGH44" s="669"/>
      <c r="LGI44" s="669"/>
      <c r="LGJ44" s="669"/>
      <c r="LGK44" s="669"/>
      <c r="LGL44" s="669"/>
      <c r="LGM44" s="669"/>
      <c r="LGN44" s="669"/>
      <c r="LGO44" s="669"/>
      <c r="LGP44" s="669"/>
      <c r="LGQ44" s="669"/>
      <c r="LGR44" s="669"/>
      <c r="LGS44" s="669"/>
      <c r="LGT44" s="669"/>
      <c r="LGU44" s="669"/>
      <c r="LGV44" s="669"/>
      <c r="LGW44" s="669"/>
      <c r="LGX44" s="669"/>
      <c r="LGY44" s="669"/>
      <c r="LGZ44" s="669"/>
      <c r="LHA44" s="669"/>
      <c r="LHB44" s="669"/>
      <c r="LHC44" s="669"/>
      <c r="LHD44" s="669"/>
      <c r="LHE44" s="669"/>
      <c r="LHF44" s="669"/>
      <c r="LHG44" s="669"/>
      <c r="LHH44" s="669"/>
      <c r="LHI44" s="669"/>
      <c r="LHJ44" s="669"/>
      <c r="LHK44" s="669"/>
      <c r="LHL44" s="669"/>
      <c r="LHM44" s="669"/>
      <c r="LHN44" s="669"/>
      <c r="LHO44" s="669"/>
      <c r="LHP44" s="669"/>
      <c r="LHQ44" s="669"/>
      <c r="LHR44" s="669"/>
      <c r="LHS44" s="669"/>
      <c r="LHT44" s="669"/>
      <c r="LHU44" s="669"/>
      <c r="LHV44" s="669"/>
      <c r="LHW44" s="669"/>
      <c r="LHX44" s="669"/>
      <c r="LHY44" s="669"/>
      <c r="LHZ44" s="669"/>
      <c r="LIA44" s="669"/>
      <c r="LIB44" s="669"/>
      <c r="LIC44" s="669"/>
      <c r="LID44" s="669"/>
      <c r="LIE44" s="669"/>
      <c r="LIF44" s="669"/>
      <c r="LIG44" s="669"/>
      <c r="LIH44" s="669"/>
      <c r="LII44" s="669"/>
      <c r="LIJ44" s="669"/>
      <c r="LIK44" s="669"/>
      <c r="LIL44" s="669"/>
      <c r="LIM44" s="669"/>
      <c r="LIN44" s="669"/>
      <c r="LIO44" s="669"/>
      <c r="LIP44" s="669"/>
      <c r="LIQ44" s="669"/>
      <c r="LIR44" s="669"/>
      <c r="LIS44" s="669"/>
      <c r="LIT44" s="669"/>
      <c r="LIU44" s="669"/>
      <c r="LIV44" s="669"/>
      <c r="LIW44" s="669"/>
      <c r="LIX44" s="669"/>
      <c r="LIY44" s="669"/>
      <c r="LIZ44" s="669"/>
      <c r="LJA44" s="669"/>
      <c r="LJB44" s="669"/>
      <c r="LJC44" s="669"/>
      <c r="LJD44" s="669"/>
      <c r="LJE44" s="669"/>
      <c r="LJF44" s="669"/>
      <c r="LJG44" s="669"/>
      <c r="LJH44" s="669"/>
      <c r="LJI44" s="669"/>
      <c r="LJJ44" s="669"/>
      <c r="LJK44" s="669"/>
      <c r="LJL44" s="669"/>
      <c r="LJM44" s="669"/>
      <c r="LJN44" s="669"/>
      <c r="LJO44" s="669"/>
      <c r="LJP44" s="669"/>
      <c r="LJQ44" s="669"/>
      <c r="LJR44" s="669"/>
      <c r="LJS44" s="669"/>
      <c r="LJT44" s="669"/>
      <c r="LJU44" s="669"/>
      <c r="LJV44" s="669"/>
      <c r="LJW44" s="669"/>
      <c r="LJX44" s="669"/>
      <c r="LJY44" s="669"/>
      <c r="LJZ44" s="669"/>
      <c r="LKA44" s="669"/>
      <c r="LKB44" s="669"/>
      <c r="LKC44" s="669"/>
      <c r="LKD44" s="669"/>
      <c r="LKE44" s="669"/>
      <c r="LKF44" s="669"/>
      <c r="LKG44" s="669"/>
      <c r="LKH44" s="669"/>
      <c r="LKI44" s="669"/>
      <c r="LKJ44" s="669"/>
      <c r="LKK44" s="669"/>
      <c r="LKL44" s="669"/>
      <c r="LKM44" s="669"/>
      <c r="LKN44" s="669"/>
      <c r="LKO44" s="669"/>
      <c r="LKP44" s="669"/>
      <c r="LKQ44" s="669"/>
      <c r="LKR44" s="669"/>
      <c r="LKS44" s="669"/>
      <c r="LKT44" s="669"/>
      <c r="LKU44" s="669"/>
      <c r="LKV44" s="669"/>
      <c r="LKW44" s="669"/>
      <c r="LKX44" s="669"/>
      <c r="LKY44" s="669"/>
      <c r="LKZ44" s="669"/>
      <c r="LLA44" s="669"/>
      <c r="LLB44" s="669"/>
      <c r="LLC44" s="669"/>
      <c r="LLD44" s="669"/>
      <c r="LLE44" s="669"/>
      <c r="LLF44" s="669"/>
      <c r="LLG44" s="669"/>
      <c r="LLH44" s="669"/>
      <c r="LLI44" s="669"/>
      <c r="LLJ44" s="669"/>
      <c r="LLK44" s="669"/>
      <c r="LLL44" s="669"/>
      <c r="LLM44" s="669"/>
      <c r="LLN44" s="669"/>
      <c r="LLO44" s="669"/>
      <c r="LLP44" s="669"/>
      <c r="LLQ44" s="669"/>
      <c r="LLR44" s="669"/>
      <c r="LLS44" s="669"/>
      <c r="LLT44" s="669"/>
      <c r="LLU44" s="669"/>
      <c r="LLV44" s="669"/>
      <c r="LLW44" s="669"/>
      <c r="LLX44" s="669"/>
      <c r="LLY44" s="669"/>
      <c r="LLZ44" s="669"/>
      <c r="LMA44" s="669"/>
      <c r="LMB44" s="669"/>
      <c r="LMC44" s="669"/>
      <c r="LMD44" s="669"/>
      <c r="LME44" s="669"/>
      <c r="LMF44" s="669"/>
      <c r="LMG44" s="669"/>
      <c r="LMH44" s="669"/>
      <c r="LMI44" s="669"/>
      <c r="LMJ44" s="669"/>
      <c r="LMK44" s="669"/>
      <c r="LML44" s="669"/>
      <c r="LMM44" s="669"/>
      <c r="LMN44" s="669"/>
      <c r="LMO44" s="669"/>
      <c r="LMP44" s="669"/>
      <c r="LMQ44" s="669"/>
      <c r="LMR44" s="669"/>
      <c r="LMS44" s="669"/>
      <c r="LMT44" s="669"/>
      <c r="LMU44" s="669"/>
      <c r="LMV44" s="669"/>
      <c r="LMW44" s="669"/>
      <c r="LMX44" s="669"/>
      <c r="LMY44" s="669"/>
      <c r="LMZ44" s="669"/>
      <c r="LNA44" s="669"/>
      <c r="LNB44" s="669"/>
      <c r="LNC44" s="669"/>
      <c r="LND44" s="669"/>
      <c r="LNE44" s="669"/>
      <c r="LNF44" s="669"/>
      <c r="LNG44" s="669"/>
      <c r="LNH44" s="669"/>
      <c r="LNI44" s="669"/>
      <c r="LNJ44" s="669"/>
      <c r="LNK44" s="669"/>
      <c r="LNL44" s="669"/>
      <c r="LNM44" s="669"/>
      <c r="LNN44" s="669"/>
      <c r="LNO44" s="669"/>
      <c r="LNP44" s="669"/>
      <c r="LNQ44" s="669"/>
      <c r="LNR44" s="669"/>
      <c r="LNS44" s="669"/>
      <c r="LNT44" s="669"/>
      <c r="LNU44" s="669"/>
      <c r="LNV44" s="669"/>
      <c r="LNW44" s="669"/>
      <c r="LNX44" s="669"/>
      <c r="LNY44" s="669"/>
      <c r="LNZ44" s="669"/>
      <c r="LOA44" s="669"/>
      <c r="LOB44" s="669"/>
      <c r="LOC44" s="669"/>
      <c r="LOD44" s="669"/>
      <c r="LOE44" s="669"/>
      <c r="LOF44" s="669"/>
      <c r="LOG44" s="669"/>
      <c r="LOH44" s="669"/>
      <c r="LOI44" s="669"/>
      <c r="LOJ44" s="669"/>
      <c r="LOK44" s="669"/>
      <c r="LOL44" s="669"/>
      <c r="LOM44" s="669"/>
      <c r="LON44" s="669"/>
      <c r="LOO44" s="669"/>
      <c r="LOP44" s="669"/>
      <c r="LOQ44" s="669"/>
      <c r="LOR44" s="669"/>
      <c r="LOS44" s="669"/>
      <c r="LOT44" s="669"/>
      <c r="LOU44" s="669"/>
      <c r="LOV44" s="669"/>
      <c r="LOW44" s="669"/>
      <c r="LOX44" s="669"/>
      <c r="LOY44" s="669"/>
      <c r="LOZ44" s="669"/>
      <c r="LPA44" s="669"/>
      <c r="LPB44" s="669"/>
      <c r="LPC44" s="669"/>
      <c r="LPD44" s="669"/>
      <c r="LPE44" s="669"/>
      <c r="LPF44" s="669"/>
      <c r="LPG44" s="669"/>
      <c r="LPH44" s="669"/>
      <c r="LPI44" s="669"/>
      <c r="LPJ44" s="669"/>
      <c r="LPK44" s="669"/>
      <c r="LPL44" s="669"/>
      <c r="LPM44" s="669"/>
      <c r="LPN44" s="669"/>
      <c r="LPO44" s="669"/>
      <c r="LPP44" s="669"/>
      <c r="LPQ44" s="669"/>
      <c r="LPR44" s="669"/>
      <c r="LPS44" s="669"/>
      <c r="LPT44" s="669"/>
      <c r="LPU44" s="669"/>
      <c r="LPV44" s="669"/>
      <c r="LPW44" s="669"/>
      <c r="LPX44" s="669"/>
      <c r="LPY44" s="669"/>
      <c r="LPZ44" s="669"/>
      <c r="LQA44" s="669"/>
      <c r="LQB44" s="669"/>
      <c r="LQC44" s="669"/>
      <c r="LQD44" s="669"/>
      <c r="LQE44" s="669"/>
      <c r="LQF44" s="669"/>
      <c r="LQG44" s="669"/>
      <c r="LQH44" s="669"/>
      <c r="LQI44" s="669"/>
      <c r="LQJ44" s="669"/>
      <c r="LQK44" s="669"/>
      <c r="LQL44" s="669"/>
      <c r="LQM44" s="669"/>
      <c r="LQN44" s="669"/>
      <c r="LQO44" s="669"/>
      <c r="LQP44" s="669"/>
      <c r="LQQ44" s="669"/>
      <c r="LQR44" s="669"/>
      <c r="LQS44" s="669"/>
      <c r="LQT44" s="669"/>
      <c r="LQU44" s="669"/>
      <c r="LQV44" s="669"/>
      <c r="LQW44" s="669"/>
      <c r="LQX44" s="669"/>
      <c r="LQY44" s="669"/>
      <c r="LQZ44" s="669"/>
      <c r="LRA44" s="669"/>
      <c r="LRB44" s="669"/>
      <c r="LRC44" s="669"/>
      <c r="LRD44" s="669"/>
      <c r="LRE44" s="669"/>
      <c r="LRF44" s="669"/>
      <c r="LRG44" s="669"/>
      <c r="LRH44" s="669"/>
      <c r="LRI44" s="669"/>
      <c r="LRJ44" s="669"/>
      <c r="LRK44" s="669"/>
      <c r="LRL44" s="669"/>
      <c r="LRM44" s="669"/>
      <c r="LRN44" s="669"/>
      <c r="LRO44" s="669"/>
      <c r="LRP44" s="669"/>
      <c r="LRQ44" s="669"/>
      <c r="LRR44" s="669"/>
      <c r="LRS44" s="669"/>
      <c r="LRT44" s="669"/>
      <c r="LRU44" s="669"/>
      <c r="LRV44" s="669"/>
      <c r="LRW44" s="669"/>
      <c r="LRX44" s="669"/>
      <c r="LRY44" s="669"/>
      <c r="LRZ44" s="669"/>
      <c r="LSA44" s="669"/>
      <c r="LSB44" s="669"/>
      <c r="LSC44" s="669"/>
      <c r="LSD44" s="669"/>
      <c r="LSE44" s="669"/>
      <c r="LSF44" s="669"/>
      <c r="LSG44" s="669"/>
      <c r="LSH44" s="669"/>
      <c r="LSI44" s="669"/>
      <c r="LSJ44" s="669"/>
      <c r="LSK44" s="669"/>
      <c r="LSL44" s="669"/>
      <c r="LSM44" s="669"/>
      <c r="LSN44" s="669"/>
      <c r="LSO44" s="669"/>
      <c r="LSP44" s="669"/>
      <c r="LSQ44" s="669"/>
      <c r="LSR44" s="669"/>
      <c r="LSS44" s="669"/>
      <c r="LST44" s="669"/>
      <c r="LSU44" s="669"/>
      <c r="LSV44" s="669"/>
      <c r="LSW44" s="669"/>
      <c r="LSX44" s="669"/>
      <c r="LSY44" s="669"/>
      <c r="LSZ44" s="669"/>
      <c r="LTA44" s="669"/>
      <c r="LTB44" s="669"/>
      <c r="LTC44" s="669"/>
      <c r="LTD44" s="669"/>
      <c r="LTE44" s="669"/>
      <c r="LTF44" s="669"/>
      <c r="LTG44" s="669"/>
      <c r="LTH44" s="669"/>
      <c r="LTI44" s="669"/>
      <c r="LTJ44" s="669"/>
      <c r="LTK44" s="669"/>
      <c r="LTL44" s="669"/>
      <c r="LTM44" s="669"/>
      <c r="LTN44" s="669"/>
      <c r="LTO44" s="669"/>
      <c r="LTP44" s="669"/>
      <c r="LTQ44" s="669"/>
      <c r="LTR44" s="669"/>
      <c r="LTS44" s="669"/>
      <c r="LTT44" s="669"/>
      <c r="LTU44" s="669"/>
      <c r="LTV44" s="669"/>
      <c r="LTW44" s="669"/>
      <c r="LTX44" s="669"/>
      <c r="LTY44" s="669"/>
      <c r="LTZ44" s="669"/>
      <c r="LUA44" s="669"/>
      <c r="LUB44" s="669"/>
      <c r="LUC44" s="669"/>
      <c r="LUD44" s="669"/>
      <c r="LUE44" s="669"/>
      <c r="LUF44" s="669"/>
      <c r="LUG44" s="669"/>
      <c r="LUH44" s="669"/>
      <c r="LUI44" s="669"/>
      <c r="LUJ44" s="669"/>
      <c r="LUK44" s="669"/>
      <c r="LUL44" s="669"/>
      <c r="LUM44" s="669"/>
      <c r="LUN44" s="669"/>
      <c r="LUO44" s="669"/>
      <c r="LUP44" s="669"/>
      <c r="LUQ44" s="669"/>
      <c r="LUR44" s="669"/>
      <c r="LUS44" s="669"/>
      <c r="LUT44" s="669"/>
      <c r="LUU44" s="669"/>
      <c r="LUV44" s="669"/>
      <c r="LUW44" s="669"/>
      <c r="LUX44" s="669"/>
      <c r="LUY44" s="669"/>
      <c r="LUZ44" s="669"/>
      <c r="LVA44" s="669"/>
      <c r="LVB44" s="669"/>
      <c r="LVC44" s="669"/>
      <c r="LVD44" s="669"/>
      <c r="LVE44" s="669"/>
      <c r="LVF44" s="669"/>
      <c r="LVG44" s="669"/>
      <c r="LVH44" s="669"/>
      <c r="LVI44" s="669"/>
      <c r="LVJ44" s="669"/>
      <c r="LVK44" s="669"/>
      <c r="LVL44" s="669"/>
      <c r="LVM44" s="669"/>
      <c r="LVN44" s="669"/>
      <c r="LVO44" s="669"/>
      <c r="LVP44" s="669"/>
      <c r="LVQ44" s="669"/>
      <c r="LVR44" s="669"/>
      <c r="LVS44" s="669"/>
      <c r="LVT44" s="669"/>
      <c r="LVU44" s="669"/>
      <c r="LVV44" s="669"/>
      <c r="LVW44" s="669"/>
      <c r="LVX44" s="669"/>
      <c r="LVY44" s="669"/>
      <c r="LVZ44" s="669"/>
      <c r="LWA44" s="669"/>
      <c r="LWB44" s="669"/>
      <c r="LWC44" s="669"/>
      <c r="LWD44" s="669"/>
      <c r="LWE44" s="669"/>
      <c r="LWF44" s="669"/>
      <c r="LWG44" s="669"/>
      <c r="LWH44" s="669"/>
      <c r="LWI44" s="669"/>
      <c r="LWJ44" s="669"/>
      <c r="LWK44" s="669"/>
      <c r="LWL44" s="669"/>
      <c r="LWM44" s="669"/>
      <c r="LWN44" s="669"/>
      <c r="LWO44" s="669"/>
      <c r="LWP44" s="669"/>
      <c r="LWQ44" s="669"/>
      <c r="LWR44" s="669"/>
      <c r="LWS44" s="669"/>
      <c r="LWT44" s="669"/>
      <c r="LWU44" s="669"/>
      <c r="LWV44" s="669"/>
      <c r="LWW44" s="669"/>
      <c r="LWX44" s="669"/>
      <c r="LWY44" s="669"/>
      <c r="LWZ44" s="669"/>
      <c r="LXA44" s="669"/>
      <c r="LXB44" s="669"/>
      <c r="LXC44" s="669"/>
      <c r="LXD44" s="669"/>
      <c r="LXE44" s="669"/>
      <c r="LXF44" s="669"/>
      <c r="LXG44" s="669"/>
      <c r="LXH44" s="669"/>
      <c r="LXI44" s="669"/>
      <c r="LXJ44" s="669"/>
      <c r="LXK44" s="669"/>
      <c r="LXL44" s="669"/>
      <c r="LXM44" s="669"/>
      <c r="LXN44" s="669"/>
      <c r="LXO44" s="669"/>
      <c r="LXP44" s="669"/>
      <c r="LXQ44" s="669"/>
      <c r="LXR44" s="669"/>
      <c r="LXS44" s="669"/>
      <c r="LXT44" s="669"/>
      <c r="LXU44" s="669"/>
      <c r="LXV44" s="669"/>
      <c r="LXW44" s="669"/>
      <c r="LXX44" s="669"/>
      <c r="LXY44" s="669"/>
      <c r="LXZ44" s="669"/>
      <c r="LYA44" s="669"/>
      <c r="LYB44" s="669"/>
      <c r="LYC44" s="669"/>
      <c r="LYD44" s="669"/>
      <c r="LYE44" s="669"/>
      <c r="LYF44" s="669"/>
      <c r="LYG44" s="669"/>
      <c r="LYH44" s="669"/>
      <c r="LYI44" s="669"/>
      <c r="LYJ44" s="669"/>
      <c r="LYK44" s="669"/>
      <c r="LYL44" s="669"/>
      <c r="LYM44" s="669"/>
      <c r="LYN44" s="669"/>
      <c r="LYO44" s="669"/>
      <c r="LYP44" s="669"/>
      <c r="LYQ44" s="669"/>
      <c r="LYR44" s="669"/>
      <c r="LYS44" s="669"/>
      <c r="LYT44" s="669"/>
      <c r="LYU44" s="669"/>
      <c r="LYV44" s="669"/>
      <c r="LYW44" s="669"/>
      <c r="LYX44" s="669"/>
      <c r="LYY44" s="669"/>
      <c r="LYZ44" s="669"/>
      <c r="LZA44" s="669"/>
      <c r="LZB44" s="669"/>
      <c r="LZC44" s="669"/>
      <c r="LZD44" s="669"/>
      <c r="LZE44" s="669"/>
      <c r="LZF44" s="669"/>
      <c r="LZG44" s="669"/>
      <c r="LZH44" s="669"/>
      <c r="LZI44" s="669"/>
      <c r="LZJ44" s="669"/>
      <c r="LZK44" s="669"/>
      <c r="LZL44" s="669"/>
      <c r="LZM44" s="669"/>
      <c r="LZN44" s="669"/>
      <c r="LZO44" s="669"/>
      <c r="LZP44" s="669"/>
      <c r="LZQ44" s="669"/>
      <c r="LZR44" s="669"/>
      <c r="LZS44" s="669"/>
      <c r="LZT44" s="669"/>
      <c r="LZU44" s="669"/>
      <c r="LZV44" s="669"/>
      <c r="LZW44" s="669"/>
      <c r="LZX44" s="669"/>
      <c r="LZY44" s="669"/>
      <c r="LZZ44" s="669"/>
      <c r="MAA44" s="669"/>
      <c r="MAB44" s="669"/>
      <c r="MAC44" s="669"/>
      <c r="MAD44" s="669"/>
      <c r="MAE44" s="669"/>
      <c r="MAF44" s="669"/>
      <c r="MAG44" s="669"/>
      <c r="MAH44" s="669"/>
      <c r="MAI44" s="669"/>
      <c r="MAJ44" s="669"/>
      <c r="MAK44" s="669"/>
      <c r="MAL44" s="669"/>
      <c r="MAM44" s="669"/>
      <c r="MAN44" s="669"/>
      <c r="MAO44" s="669"/>
      <c r="MAP44" s="669"/>
      <c r="MAQ44" s="669"/>
      <c r="MAR44" s="669"/>
      <c r="MAS44" s="669"/>
      <c r="MAT44" s="669"/>
      <c r="MAU44" s="669"/>
      <c r="MAV44" s="669"/>
      <c r="MAW44" s="669"/>
      <c r="MAX44" s="669"/>
      <c r="MAY44" s="669"/>
      <c r="MAZ44" s="669"/>
      <c r="MBA44" s="669"/>
      <c r="MBB44" s="669"/>
      <c r="MBC44" s="669"/>
      <c r="MBD44" s="669"/>
      <c r="MBE44" s="669"/>
      <c r="MBF44" s="669"/>
      <c r="MBG44" s="669"/>
      <c r="MBH44" s="669"/>
      <c r="MBI44" s="669"/>
      <c r="MBJ44" s="669"/>
      <c r="MBK44" s="669"/>
      <c r="MBL44" s="669"/>
      <c r="MBM44" s="669"/>
      <c r="MBN44" s="669"/>
      <c r="MBO44" s="669"/>
      <c r="MBP44" s="669"/>
      <c r="MBQ44" s="669"/>
      <c r="MBR44" s="669"/>
      <c r="MBS44" s="669"/>
      <c r="MBT44" s="669"/>
      <c r="MBU44" s="669"/>
      <c r="MBV44" s="669"/>
      <c r="MBW44" s="669"/>
      <c r="MBX44" s="669"/>
      <c r="MBY44" s="669"/>
      <c r="MBZ44" s="669"/>
      <c r="MCA44" s="669"/>
      <c r="MCB44" s="669"/>
      <c r="MCC44" s="669"/>
      <c r="MCD44" s="669"/>
      <c r="MCE44" s="669"/>
      <c r="MCF44" s="669"/>
      <c r="MCG44" s="669"/>
      <c r="MCH44" s="669"/>
      <c r="MCI44" s="669"/>
      <c r="MCJ44" s="669"/>
      <c r="MCK44" s="669"/>
      <c r="MCL44" s="669"/>
      <c r="MCM44" s="669"/>
      <c r="MCN44" s="669"/>
      <c r="MCO44" s="669"/>
      <c r="MCP44" s="669"/>
      <c r="MCQ44" s="669"/>
      <c r="MCR44" s="669"/>
      <c r="MCS44" s="669"/>
      <c r="MCT44" s="669"/>
      <c r="MCU44" s="669"/>
      <c r="MCV44" s="669"/>
      <c r="MCW44" s="669"/>
      <c r="MCX44" s="669"/>
      <c r="MCY44" s="669"/>
      <c r="MCZ44" s="669"/>
      <c r="MDA44" s="669"/>
      <c r="MDB44" s="669"/>
      <c r="MDC44" s="669"/>
      <c r="MDD44" s="669"/>
      <c r="MDE44" s="669"/>
      <c r="MDF44" s="669"/>
      <c r="MDG44" s="669"/>
      <c r="MDH44" s="669"/>
      <c r="MDI44" s="669"/>
      <c r="MDJ44" s="669"/>
      <c r="MDK44" s="669"/>
      <c r="MDL44" s="669"/>
      <c r="MDM44" s="669"/>
      <c r="MDN44" s="669"/>
      <c r="MDO44" s="669"/>
      <c r="MDP44" s="669"/>
      <c r="MDQ44" s="669"/>
      <c r="MDR44" s="669"/>
      <c r="MDS44" s="669"/>
      <c r="MDT44" s="669"/>
      <c r="MDU44" s="669"/>
      <c r="MDV44" s="669"/>
      <c r="MDW44" s="669"/>
      <c r="MDX44" s="669"/>
      <c r="MDY44" s="669"/>
      <c r="MDZ44" s="669"/>
      <c r="MEA44" s="669"/>
      <c r="MEB44" s="669"/>
      <c r="MEC44" s="669"/>
      <c r="MED44" s="669"/>
      <c r="MEE44" s="669"/>
      <c r="MEF44" s="669"/>
      <c r="MEG44" s="669"/>
      <c r="MEH44" s="669"/>
      <c r="MEI44" s="669"/>
      <c r="MEJ44" s="669"/>
      <c r="MEK44" s="669"/>
      <c r="MEL44" s="669"/>
      <c r="MEM44" s="669"/>
      <c r="MEN44" s="669"/>
      <c r="MEO44" s="669"/>
      <c r="MEP44" s="669"/>
      <c r="MEQ44" s="669"/>
      <c r="MER44" s="669"/>
      <c r="MES44" s="669"/>
      <c r="MET44" s="669"/>
      <c r="MEU44" s="669"/>
      <c r="MEV44" s="669"/>
      <c r="MEW44" s="669"/>
      <c r="MEX44" s="669"/>
      <c r="MEY44" s="669"/>
      <c r="MEZ44" s="669"/>
      <c r="MFA44" s="669"/>
      <c r="MFB44" s="669"/>
      <c r="MFC44" s="669"/>
      <c r="MFD44" s="669"/>
      <c r="MFE44" s="669"/>
      <c r="MFF44" s="669"/>
      <c r="MFG44" s="669"/>
      <c r="MFH44" s="669"/>
      <c r="MFI44" s="669"/>
      <c r="MFJ44" s="669"/>
      <c r="MFK44" s="669"/>
      <c r="MFL44" s="669"/>
      <c r="MFM44" s="669"/>
      <c r="MFN44" s="669"/>
      <c r="MFO44" s="669"/>
      <c r="MFP44" s="669"/>
      <c r="MFQ44" s="669"/>
      <c r="MFR44" s="669"/>
      <c r="MFS44" s="669"/>
      <c r="MFT44" s="669"/>
      <c r="MFU44" s="669"/>
      <c r="MFV44" s="669"/>
      <c r="MFW44" s="669"/>
      <c r="MFX44" s="669"/>
      <c r="MFY44" s="669"/>
      <c r="MFZ44" s="669"/>
      <c r="MGA44" s="669"/>
      <c r="MGB44" s="669"/>
      <c r="MGC44" s="669"/>
      <c r="MGD44" s="669"/>
      <c r="MGE44" s="669"/>
      <c r="MGF44" s="669"/>
      <c r="MGG44" s="669"/>
      <c r="MGH44" s="669"/>
      <c r="MGI44" s="669"/>
      <c r="MGJ44" s="669"/>
      <c r="MGK44" s="669"/>
      <c r="MGL44" s="669"/>
      <c r="MGM44" s="669"/>
      <c r="MGN44" s="669"/>
      <c r="MGO44" s="669"/>
      <c r="MGP44" s="669"/>
      <c r="MGQ44" s="669"/>
      <c r="MGR44" s="669"/>
      <c r="MGS44" s="669"/>
      <c r="MGT44" s="669"/>
      <c r="MGU44" s="669"/>
      <c r="MGV44" s="669"/>
      <c r="MGW44" s="669"/>
      <c r="MGX44" s="669"/>
      <c r="MGY44" s="669"/>
      <c r="MGZ44" s="669"/>
      <c r="MHA44" s="669"/>
      <c r="MHB44" s="669"/>
      <c r="MHC44" s="669"/>
      <c r="MHD44" s="669"/>
      <c r="MHE44" s="669"/>
      <c r="MHF44" s="669"/>
      <c r="MHG44" s="669"/>
      <c r="MHH44" s="669"/>
      <c r="MHI44" s="669"/>
      <c r="MHJ44" s="669"/>
      <c r="MHK44" s="669"/>
      <c r="MHL44" s="669"/>
      <c r="MHM44" s="669"/>
      <c r="MHN44" s="669"/>
      <c r="MHO44" s="669"/>
      <c r="MHP44" s="669"/>
      <c r="MHQ44" s="669"/>
      <c r="MHR44" s="669"/>
      <c r="MHS44" s="669"/>
      <c r="MHT44" s="669"/>
      <c r="MHU44" s="669"/>
      <c r="MHV44" s="669"/>
      <c r="MHW44" s="669"/>
      <c r="MHX44" s="669"/>
      <c r="MHY44" s="669"/>
      <c r="MHZ44" s="669"/>
      <c r="MIA44" s="669"/>
      <c r="MIB44" s="669"/>
      <c r="MIC44" s="669"/>
      <c r="MID44" s="669"/>
      <c r="MIE44" s="669"/>
      <c r="MIF44" s="669"/>
      <c r="MIG44" s="669"/>
      <c r="MIH44" s="669"/>
      <c r="MII44" s="669"/>
      <c r="MIJ44" s="669"/>
      <c r="MIK44" s="669"/>
      <c r="MIL44" s="669"/>
      <c r="MIM44" s="669"/>
      <c r="MIN44" s="669"/>
      <c r="MIO44" s="669"/>
      <c r="MIP44" s="669"/>
      <c r="MIQ44" s="669"/>
      <c r="MIR44" s="669"/>
      <c r="MIS44" s="669"/>
      <c r="MIT44" s="669"/>
      <c r="MIU44" s="669"/>
      <c r="MIV44" s="669"/>
      <c r="MIW44" s="669"/>
      <c r="MIX44" s="669"/>
      <c r="MIY44" s="669"/>
      <c r="MIZ44" s="669"/>
      <c r="MJA44" s="669"/>
      <c r="MJB44" s="669"/>
      <c r="MJC44" s="669"/>
      <c r="MJD44" s="669"/>
      <c r="MJE44" s="669"/>
      <c r="MJF44" s="669"/>
      <c r="MJG44" s="669"/>
      <c r="MJH44" s="669"/>
      <c r="MJI44" s="669"/>
      <c r="MJJ44" s="669"/>
      <c r="MJK44" s="669"/>
      <c r="MJL44" s="669"/>
      <c r="MJM44" s="669"/>
      <c r="MJN44" s="669"/>
      <c r="MJO44" s="669"/>
      <c r="MJP44" s="669"/>
      <c r="MJQ44" s="669"/>
      <c r="MJR44" s="669"/>
      <c r="MJS44" s="669"/>
      <c r="MJT44" s="669"/>
      <c r="MJU44" s="669"/>
      <c r="MJV44" s="669"/>
      <c r="MJW44" s="669"/>
      <c r="MJX44" s="669"/>
      <c r="MJY44" s="669"/>
      <c r="MJZ44" s="669"/>
      <c r="MKA44" s="669"/>
      <c r="MKB44" s="669"/>
      <c r="MKC44" s="669"/>
      <c r="MKD44" s="669"/>
      <c r="MKE44" s="669"/>
      <c r="MKF44" s="669"/>
      <c r="MKG44" s="669"/>
      <c r="MKH44" s="669"/>
      <c r="MKI44" s="669"/>
      <c r="MKJ44" s="669"/>
      <c r="MKK44" s="669"/>
      <c r="MKL44" s="669"/>
      <c r="MKM44" s="669"/>
      <c r="MKN44" s="669"/>
      <c r="MKO44" s="669"/>
      <c r="MKP44" s="669"/>
      <c r="MKQ44" s="669"/>
      <c r="MKR44" s="669"/>
      <c r="MKS44" s="669"/>
      <c r="MKT44" s="669"/>
      <c r="MKU44" s="669"/>
      <c r="MKV44" s="669"/>
      <c r="MKW44" s="669"/>
      <c r="MKX44" s="669"/>
      <c r="MKY44" s="669"/>
      <c r="MKZ44" s="669"/>
      <c r="MLA44" s="669"/>
      <c r="MLB44" s="669"/>
      <c r="MLC44" s="669"/>
      <c r="MLD44" s="669"/>
      <c r="MLE44" s="669"/>
      <c r="MLF44" s="669"/>
      <c r="MLG44" s="669"/>
      <c r="MLH44" s="669"/>
      <c r="MLI44" s="669"/>
      <c r="MLJ44" s="669"/>
      <c r="MLK44" s="669"/>
      <c r="MLL44" s="669"/>
      <c r="MLM44" s="669"/>
      <c r="MLN44" s="669"/>
      <c r="MLO44" s="669"/>
      <c r="MLP44" s="669"/>
      <c r="MLQ44" s="669"/>
      <c r="MLR44" s="669"/>
      <c r="MLS44" s="669"/>
      <c r="MLT44" s="669"/>
      <c r="MLU44" s="669"/>
      <c r="MLV44" s="669"/>
      <c r="MLW44" s="669"/>
      <c r="MLX44" s="669"/>
      <c r="MLY44" s="669"/>
      <c r="MLZ44" s="669"/>
      <c r="MMA44" s="669"/>
      <c r="MMB44" s="669"/>
      <c r="MMC44" s="669"/>
      <c r="MMD44" s="669"/>
      <c r="MME44" s="669"/>
      <c r="MMF44" s="669"/>
      <c r="MMG44" s="669"/>
      <c r="MMH44" s="669"/>
      <c r="MMI44" s="669"/>
      <c r="MMJ44" s="669"/>
      <c r="MMK44" s="669"/>
      <c r="MML44" s="669"/>
      <c r="MMM44" s="669"/>
      <c r="MMN44" s="669"/>
      <c r="MMO44" s="669"/>
      <c r="MMP44" s="669"/>
      <c r="MMQ44" s="669"/>
      <c r="MMR44" s="669"/>
      <c r="MMS44" s="669"/>
      <c r="MMT44" s="669"/>
      <c r="MMU44" s="669"/>
      <c r="MMV44" s="669"/>
      <c r="MMW44" s="669"/>
      <c r="MMX44" s="669"/>
      <c r="MMY44" s="669"/>
      <c r="MMZ44" s="669"/>
      <c r="MNA44" s="669"/>
      <c r="MNB44" s="669"/>
      <c r="MNC44" s="669"/>
      <c r="MND44" s="669"/>
      <c r="MNE44" s="669"/>
      <c r="MNF44" s="669"/>
      <c r="MNG44" s="669"/>
      <c r="MNH44" s="669"/>
      <c r="MNI44" s="669"/>
      <c r="MNJ44" s="669"/>
      <c r="MNK44" s="669"/>
      <c r="MNL44" s="669"/>
      <c r="MNM44" s="669"/>
      <c r="MNN44" s="669"/>
      <c r="MNO44" s="669"/>
      <c r="MNP44" s="669"/>
      <c r="MNQ44" s="669"/>
      <c r="MNR44" s="669"/>
      <c r="MNS44" s="669"/>
      <c r="MNT44" s="669"/>
      <c r="MNU44" s="669"/>
      <c r="MNV44" s="669"/>
      <c r="MNW44" s="669"/>
      <c r="MNX44" s="669"/>
      <c r="MNY44" s="669"/>
      <c r="MNZ44" s="669"/>
      <c r="MOA44" s="669"/>
      <c r="MOB44" s="669"/>
      <c r="MOC44" s="669"/>
      <c r="MOD44" s="669"/>
      <c r="MOE44" s="669"/>
      <c r="MOF44" s="669"/>
      <c r="MOG44" s="669"/>
      <c r="MOH44" s="669"/>
      <c r="MOI44" s="669"/>
      <c r="MOJ44" s="669"/>
      <c r="MOK44" s="669"/>
      <c r="MOL44" s="669"/>
      <c r="MOM44" s="669"/>
      <c r="MON44" s="669"/>
      <c r="MOO44" s="669"/>
      <c r="MOP44" s="669"/>
      <c r="MOQ44" s="669"/>
      <c r="MOR44" s="669"/>
      <c r="MOS44" s="669"/>
      <c r="MOT44" s="669"/>
      <c r="MOU44" s="669"/>
      <c r="MOV44" s="669"/>
      <c r="MOW44" s="669"/>
      <c r="MOX44" s="669"/>
      <c r="MOY44" s="669"/>
      <c r="MOZ44" s="669"/>
      <c r="MPA44" s="669"/>
      <c r="MPB44" s="669"/>
      <c r="MPC44" s="669"/>
      <c r="MPD44" s="669"/>
      <c r="MPE44" s="669"/>
      <c r="MPF44" s="669"/>
      <c r="MPG44" s="669"/>
      <c r="MPH44" s="669"/>
      <c r="MPI44" s="669"/>
      <c r="MPJ44" s="669"/>
      <c r="MPK44" s="669"/>
      <c r="MPL44" s="669"/>
      <c r="MPM44" s="669"/>
      <c r="MPN44" s="669"/>
      <c r="MPO44" s="669"/>
      <c r="MPP44" s="669"/>
      <c r="MPQ44" s="669"/>
      <c r="MPR44" s="669"/>
      <c r="MPS44" s="669"/>
      <c r="MPT44" s="669"/>
      <c r="MPU44" s="669"/>
      <c r="MPV44" s="669"/>
      <c r="MPW44" s="669"/>
      <c r="MPX44" s="669"/>
      <c r="MPY44" s="669"/>
      <c r="MPZ44" s="669"/>
      <c r="MQA44" s="669"/>
      <c r="MQB44" s="669"/>
      <c r="MQC44" s="669"/>
      <c r="MQD44" s="669"/>
      <c r="MQE44" s="669"/>
      <c r="MQF44" s="669"/>
      <c r="MQG44" s="669"/>
      <c r="MQH44" s="669"/>
      <c r="MQI44" s="669"/>
      <c r="MQJ44" s="669"/>
      <c r="MQK44" s="669"/>
      <c r="MQL44" s="669"/>
      <c r="MQM44" s="669"/>
      <c r="MQN44" s="669"/>
      <c r="MQO44" s="669"/>
      <c r="MQP44" s="669"/>
      <c r="MQQ44" s="669"/>
      <c r="MQR44" s="669"/>
      <c r="MQS44" s="669"/>
      <c r="MQT44" s="669"/>
      <c r="MQU44" s="669"/>
      <c r="MQV44" s="669"/>
      <c r="MQW44" s="669"/>
      <c r="MQX44" s="669"/>
      <c r="MQY44" s="669"/>
      <c r="MQZ44" s="669"/>
      <c r="MRA44" s="669"/>
      <c r="MRB44" s="669"/>
      <c r="MRC44" s="669"/>
      <c r="MRD44" s="669"/>
      <c r="MRE44" s="669"/>
      <c r="MRF44" s="669"/>
      <c r="MRG44" s="669"/>
      <c r="MRH44" s="669"/>
      <c r="MRI44" s="669"/>
      <c r="MRJ44" s="669"/>
      <c r="MRK44" s="669"/>
      <c r="MRL44" s="669"/>
      <c r="MRM44" s="669"/>
      <c r="MRN44" s="669"/>
      <c r="MRO44" s="669"/>
      <c r="MRP44" s="669"/>
      <c r="MRQ44" s="669"/>
      <c r="MRR44" s="669"/>
      <c r="MRS44" s="669"/>
      <c r="MRT44" s="669"/>
      <c r="MRU44" s="669"/>
      <c r="MRV44" s="669"/>
      <c r="MRW44" s="669"/>
      <c r="MRX44" s="669"/>
      <c r="MRY44" s="669"/>
      <c r="MRZ44" s="669"/>
      <c r="MSA44" s="669"/>
      <c r="MSB44" s="669"/>
      <c r="MSC44" s="669"/>
      <c r="MSD44" s="669"/>
      <c r="MSE44" s="669"/>
      <c r="MSF44" s="669"/>
      <c r="MSG44" s="669"/>
      <c r="MSH44" s="669"/>
      <c r="MSI44" s="669"/>
      <c r="MSJ44" s="669"/>
      <c r="MSK44" s="669"/>
      <c r="MSL44" s="669"/>
      <c r="MSM44" s="669"/>
      <c r="MSN44" s="669"/>
      <c r="MSO44" s="669"/>
      <c r="MSP44" s="669"/>
      <c r="MSQ44" s="669"/>
      <c r="MSR44" s="669"/>
      <c r="MSS44" s="669"/>
      <c r="MST44" s="669"/>
      <c r="MSU44" s="669"/>
      <c r="MSV44" s="669"/>
      <c r="MSW44" s="669"/>
      <c r="MSX44" s="669"/>
      <c r="MSY44" s="669"/>
      <c r="MSZ44" s="669"/>
      <c r="MTA44" s="669"/>
      <c r="MTB44" s="669"/>
      <c r="MTC44" s="669"/>
      <c r="MTD44" s="669"/>
      <c r="MTE44" s="669"/>
      <c r="MTF44" s="669"/>
      <c r="MTG44" s="669"/>
      <c r="MTH44" s="669"/>
      <c r="MTI44" s="669"/>
      <c r="MTJ44" s="669"/>
      <c r="MTK44" s="669"/>
      <c r="MTL44" s="669"/>
      <c r="MTM44" s="669"/>
      <c r="MTN44" s="669"/>
      <c r="MTO44" s="669"/>
      <c r="MTP44" s="669"/>
      <c r="MTQ44" s="669"/>
      <c r="MTR44" s="669"/>
      <c r="MTS44" s="669"/>
      <c r="MTT44" s="669"/>
      <c r="MTU44" s="669"/>
      <c r="MTV44" s="669"/>
      <c r="MTW44" s="669"/>
      <c r="MTX44" s="669"/>
      <c r="MTY44" s="669"/>
      <c r="MTZ44" s="669"/>
      <c r="MUA44" s="669"/>
      <c r="MUB44" s="669"/>
      <c r="MUC44" s="669"/>
      <c r="MUD44" s="669"/>
      <c r="MUE44" s="669"/>
      <c r="MUF44" s="669"/>
      <c r="MUG44" s="669"/>
      <c r="MUH44" s="669"/>
      <c r="MUI44" s="669"/>
      <c r="MUJ44" s="669"/>
      <c r="MUK44" s="669"/>
      <c r="MUL44" s="669"/>
      <c r="MUM44" s="669"/>
      <c r="MUN44" s="669"/>
      <c r="MUO44" s="669"/>
      <c r="MUP44" s="669"/>
      <c r="MUQ44" s="669"/>
      <c r="MUR44" s="669"/>
      <c r="MUS44" s="669"/>
      <c r="MUT44" s="669"/>
      <c r="MUU44" s="669"/>
      <c r="MUV44" s="669"/>
      <c r="MUW44" s="669"/>
      <c r="MUX44" s="669"/>
      <c r="MUY44" s="669"/>
      <c r="MUZ44" s="669"/>
      <c r="MVA44" s="669"/>
      <c r="MVB44" s="669"/>
      <c r="MVC44" s="669"/>
      <c r="MVD44" s="669"/>
      <c r="MVE44" s="669"/>
      <c r="MVF44" s="669"/>
      <c r="MVG44" s="669"/>
      <c r="MVH44" s="669"/>
      <c r="MVI44" s="669"/>
      <c r="MVJ44" s="669"/>
      <c r="MVK44" s="669"/>
      <c r="MVL44" s="669"/>
      <c r="MVM44" s="669"/>
      <c r="MVN44" s="669"/>
      <c r="MVO44" s="669"/>
      <c r="MVP44" s="669"/>
      <c r="MVQ44" s="669"/>
      <c r="MVR44" s="669"/>
      <c r="MVS44" s="669"/>
      <c r="MVT44" s="669"/>
      <c r="MVU44" s="669"/>
      <c r="MVV44" s="669"/>
      <c r="MVW44" s="669"/>
      <c r="MVX44" s="669"/>
      <c r="MVY44" s="669"/>
      <c r="MVZ44" s="669"/>
      <c r="MWA44" s="669"/>
      <c r="MWB44" s="669"/>
      <c r="MWC44" s="669"/>
      <c r="MWD44" s="669"/>
      <c r="MWE44" s="669"/>
      <c r="MWF44" s="669"/>
      <c r="MWG44" s="669"/>
      <c r="MWH44" s="669"/>
      <c r="MWI44" s="669"/>
      <c r="MWJ44" s="669"/>
      <c r="MWK44" s="669"/>
      <c r="MWL44" s="669"/>
      <c r="MWM44" s="669"/>
      <c r="MWN44" s="669"/>
      <c r="MWO44" s="669"/>
      <c r="MWP44" s="669"/>
      <c r="MWQ44" s="669"/>
      <c r="MWR44" s="669"/>
      <c r="MWS44" s="669"/>
      <c r="MWT44" s="669"/>
      <c r="MWU44" s="669"/>
      <c r="MWV44" s="669"/>
      <c r="MWW44" s="669"/>
      <c r="MWX44" s="669"/>
      <c r="MWY44" s="669"/>
      <c r="MWZ44" s="669"/>
      <c r="MXA44" s="669"/>
      <c r="MXB44" s="669"/>
      <c r="MXC44" s="669"/>
      <c r="MXD44" s="669"/>
      <c r="MXE44" s="669"/>
      <c r="MXF44" s="669"/>
      <c r="MXG44" s="669"/>
      <c r="MXH44" s="669"/>
      <c r="MXI44" s="669"/>
      <c r="MXJ44" s="669"/>
      <c r="MXK44" s="669"/>
      <c r="MXL44" s="669"/>
      <c r="MXM44" s="669"/>
      <c r="MXN44" s="669"/>
      <c r="MXO44" s="669"/>
      <c r="MXP44" s="669"/>
      <c r="MXQ44" s="669"/>
      <c r="MXR44" s="669"/>
      <c r="MXS44" s="669"/>
      <c r="MXT44" s="669"/>
      <c r="MXU44" s="669"/>
      <c r="MXV44" s="669"/>
      <c r="MXW44" s="669"/>
      <c r="MXX44" s="669"/>
      <c r="MXY44" s="669"/>
      <c r="MXZ44" s="669"/>
      <c r="MYA44" s="669"/>
      <c r="MYB44" s="669"/>
      <c r="MYC44" s="669"/>
      <c r="MYD44" s="669"/>
      <c r="MYE44" s="669"/>
      <c r="MYF44" s="669"/>
      <c r="MYG44" s="669"/>
      <c r="MYH44" s="669"/>
      <c r="MYI44" s="669"/>
      <c r="MYJ44" s="669"/>
      <c r="MYK44" s="669"/>
      <c r="MYL44" s="669"/>
      <c r="MYM44" s="669"/>
      <c r="MYN44" s="669"/>
      <c r="MYO44" s="669"/>
      <c r="MYP44" s="669"/>
      <c r="MYQ44" s="669"/>
      <c r="MYR44" s="669"/>
      <c r="MYS44" s="669"/>
      <c r="MYT44" s="669"/>
      <c r="MYU44" s="669"/>
      <c r="MYV44" s="669"/>
      <c r="MYW44" s="669"/>
      <c r="MYX44" s="669"/>
      <c r="MYY44" s="669"/>
      <c r="MYZ44" s="669"/>
      <c r="MZA44" s="669"/>
      <c r="MZB44" s="669"/>
      <c r="MZC44" s="669"/>
      <c r="MZD44" s="669"/>
      <c r="MZE44" s="669"/>
      <c r="MZF44" s="669"/>
      <c r="MZG44" s="669"/>
      <c r="MZH44" s="669"/>
      <c r="MZI44" s="669"/>
      <c r="MZJ44" s="669"/>
      <c r="MZK44" s="669"/>
      <c r="MZL44" s="669"/>
      <c r="MZM44" s="669"/>
      <c r="MZN44" s="669"/>
      <c r="MZO44" s="669"/>
      <c r="MZP44" s="669"/>
      <c r="MZQ44" s="669"/>
      <c r="MZR44" s="669"/>
      <c r="MZS44" s="669"/>
      <c r="MZT44" s="669"/>
      <c r="MZU44" s="669"/>
      <c r="MZV44" s="669"/>
      <c r="MZW44" s="669"/>
      <c r="MZX44" s="669"/>
      <c r="MZY44" s="669"/>
      <c r="MZZ44" s="669"/>
      <c r="NAA44" s="669"/>
      <c r="NAB44" s="669"/>
      <c r="NAC44" s="669"/>
      <c r="NAD44" s="669"/>
      <c r="NAE44" s="669"/>
      <c r="NAF44" s="669"/>
      <c r="NAG44" s="669"/>
      <c r="NAH44" s="669"/>
      <c r="NAI44" s="669"/>
      <c r="NAJ44" s="669"/>
      <c r="NAK44" s="669"/>
      <c r="NAL44" s="669"/>
      <c r="NAM44" s="669"/>
      <c r="NAN44" s="669"/>
      <c r="NAO44" s="669"/>
      <c r="NAP44" s="669"/>
      <c r="NAQ44" s="669"/>
      <c r="NAR44" s="669"/>
      <c r="NAS44" s="669"/>
      <c r="NAT44" s="669"/>
      <c r="NAU44" s="669"/>
      <c r="NAV44" s="669"/>
      <c r="NAW44" s="669"/>
      <c r="NAX44" s="669"/>
      <c r="NAY44" s="669"/>
      <c r="NAZ44" s="669"/>
      <c r="NBA44" s="669"/>
      <c r="NBB44" s="669"/>
      <c r="NBC44" s="669"/>
      <c r="NBD44" s="669"/>
      <c r="NBE44" s="669"/>
      <c r="NBF44" s="669"/>
      <c r="NBG44" s="669"/>
      <c r="NBH44" s="669"/>
      <c r="NBI44" s="669"/>
      <c r="NBJ44" s="669"/>
      <c r="NBK44" s="669"/>
      <c r="NBL44" s="669"/>
      <c r="NBM44" s="669"/>
      <c r="NBN44" s="669"/>
      <c r="NBO44" s="669"/>
      <c r="NBP44" s="669"/>
      <c r="NBQ44" s="669"/>
      <c r="NBR44" s="669"/>
      <c r="NBS44" s="669"/>
      <c r="NBT44" s="669"/>
      <c r="NBU44" s="669"/>
      <c r="NBV44" s="669"/>
      <c r="NBW44" s="669"/>
      <c r="NBX44" s="669"/>
      <c r="NBY44" s="669"/>
      <c r="NBZ44" s="669"/>
      <c r="NCA44" s="669"/>
      <c r="NCB44" s="669"/>
      <c r="NCC44" s="669"/>
      <c r="NCD44" s="669"/>
      <c r="NCE44" s="669"/>
      <c r="NCF44" s="669"/>
      <c r="NCG44" s="669"/>
      <c r="NCH44" s="669"/>
      <c r="NCI44" s="669"/>
      <c r="NCJ44" s="669"/>
      <c r="NCK44" s="669"/>
      <c r="NCL44" s="669"/>
      <c r="NCM44" s="669"/>
      <c r="NCN44" s="669"/>
      <c r="NCO44" s="669"/>
      <c r="NCP44" s="669"/>
      <c r="NCQ44" s="669"/>
      <c r="NCR44" s="669"/>
      <c r="NCS44" s="669"/>
      <c r="NCT44" s="669"/>
      <c r="NCU44" s="669"/>
      <c r="NCV44" s="669"/>
      <c r="NCW44" s="669"/>
      <c r="NCX44" s="669"/>
      <c r="NCY44" s="669"/>
      <c r="NCZ44" s="669"/>
      <c r="NDA44" s="669"/>
      <c r="NDB44" s="669"/>
      <c r="NDC44" s="669"/>
      <c r="NDD44" s="669"/>
      <c r="NDE44" s="669"/>
      <c r="NDF44" s="669"/>
      <c r="NDG44" s="669"/>
      <c r="NDH44" s="669"/>
      <c r="NDI44" s="669"/>
      <c r="NDJ44" s="669"/>
      <c r="NDK44" s="669"/>
      <c r="NDL44" s="669"/>
      <c r="NDM44" s="669"/>
      <c r="NDN44" s="669"/>
      <c r="NDO44" s="669"/>
      <c r="NDP44" s="669"/>
      <c r="NDQ44" s="669"/>
      <c r="NDR44" s="669"/>
      <c r="NDS44" s="669"/>
      <c r="NDT44" s="669"/>
      <c r="NDU44" s="669"/>
      <c r="NDV44" s="669"/>
      <c r="NDW44" s="669"/>
      <c r="NDX44" s="669"/>
      <c r="NDY44" s="669"/>
      <c r="NDZ44" s="669"/>
      <c r="NEA44" s="669"/>
      <c r="NEB44" s="669"/>
      <c r="NEC44" s="669"/>
      <c r="NED44" s="669"/>
      <c r="NEE44" s="669"/>
      <c r="NEF44" s="669"/>
      <c r="NEG44" s="669"/>
      <c r="NEH44" s="669"/>
      <c r="NEI44" s="669"/>
      <c r="NEJ44" s="669"/>
      <c r="NEK44" s="669"/>
      <c r="NEL44" s="669"/>
      <c r="NEM44" s="669"/>
      <c r="NEN44" s="669"/>
      <c r="NEO44" s="669"/>
      <c r="NEP44" s="669"/>
      <c r="NEQ44" s="669"/>
      <c r="NER44" s="669"/>
      <c r="NES44" s="669"/>
      <c r="NET44" s="669"/>
      <c r="NEU44" s="669"/>
      <c r="NEV44" s="669"/>
      <c r="NEW44" s="669"/>
      <c r="NEX44" s="669"/>
      <c r="NEY44" s="669"/>
      <c r="NEZ44" s="669"/>
      <c r="NFA44" s="669"/>
      <c r="NFB44" s="669"/>
      <c r="NFC44" s="669"/>
      <c r="NFD44" s="669"/>
      <c r="NFE44" s="669"/>
      <c r="NFF44" s="669"/>
      <c r="NFG44" s="669"/>
      <c r="NFH44" s="669"/>
      <c r="NFI44" s="669"/>
      <c r="NFJ44" s="669"/>
      <c r="NFK44" s="669"/>
      <c r="NFL44" s="669"/>
      <c r="NFM44" s="669"/>
      <c r="NFN44" s="669"/>
      <c r="NFO44" s="669"/>
      <c r="NFP44" s="669"/>
      <c r="NFQ44" s="669"/>
      <c r="NFR44" s="669"/>
      <c r="NFS44" s="669"/>
      <c r="NFT44" s="669"/>
      <c r="NFU44" s="669"/>
      <c r="NFV44" s="669"/>
      <c r="NFW44" s="669"/>
      <c r="NFX44" s="669"/>
      <c r="NFY44" s="669"/>
      <c r="NFZ44" s="669"/>
      <c r="NGA44" s="669"/>
      <c r="NGB44" s="669"/>
      <c r="NGC44" s="669"/>
      <c r="NGD44" s="669"/>
      <c r="NGE44" s="669"/>
      <c r="NGF44" s="669"/>
      <c r="NGG44" s="669"/>
      <c r="NGH44" s="669"/>
      <c r="NGI44" s="669"/>
      <c r="NGJ44" s="669"/>
      <c r="NGK44" s="669"/>
      <c r="NGL44" s="669"/>
      <c r="NGM44" s="669"/>
      <c r="NGN44" s="669"/>
      <c r="NGO44" s="669"/>
      <c r="NGP44" s="669"/>
      <c r="NGQ44" s="669"/>
      <c r="NGR44" s="669"/>
      <c r="NGS44" s="669"/>
      <c r="NGT44" s="669"/>
      <c r="NGU44" s="669"/>
      <c r="NGV44" s="669"/>
      <c r="NGW44" s="669"/>
      <c r="NGX44" s="669"/>
      <c r="NGY44" s="669"/>
      <c r="NGZ44" s="669"/>
      <c r="NHA44" s="669"/>
      <c r="NHB44" s="669"/>
      <c r="NHC44" s="669"/>
      <c r="NHD44" s="669"/>
      <c r="NHE44" s="669"/>
      <c r="NHF44" s="669"/>
      <c r="NHG44" s="669"/>
      <c r="NHH44" s="669"/>
      <c r="NHI44" s="669"/>
      <c r="NHJ44" s="669"/>
      <c r="NHK44" s="669"/>
      <c r="NHL44" s="669"/>
      <c r="NHM44" s="669"/>
      <c r="NHN44" s="669"/>
      <c r="NHO44" s="669"/>
      <c r="NHP44" s="669"/>
      <c r="NHQ44" s="669"/>
      <c r="NHR44" s="669"/>
      <c r="NHS44" s="669"/>
      <c r="NHT44" s="669"/>
      <c r="NHU44" s="669"/>
      <c r="NHV44" s="669"/>
      <c r="NHW44" s="669"/>
      <c r="NHX44" s="669"/>
      <c r="NHY44" s="669"/>
      <c r="NHZ44" s="669"/>
      <c r="NIA44" s="669"/>
      <c r="NIB44" s="669"/>
      <c r="NIC44" s="669"/>
      <c r="NID44" s="669"/>
      <c r="NIE44" s="669"/>
      <c r="NIF44" s="669"/>
      <c r="NIG44" s="669"/>
      <c r="NIH44" s="669"/>
      <c r="NII44" s="669"/>
      <c r="NIJ44" s="669"/>
      <c r="NIK44" s="669"/>
      <c r="NIL44" s="669"/>
      <c r="NIM44" s="669"/>
      <c r="NIN44" s="669"/>
      <c r="NIO44" s="669"/>
      <c r="NIP44" s="669"/>
      <c r="NIQ44" s="669"/>
      <c r="NIR44" s="669"/>
      <c r="NIS44" s="669"/>
      <c r="NIT44" s="669"/>
      <c r="NIU44" s="669"/>
      <c r="NIV44" s="669"/>
      <c r="NIW44" s="669"/>
      <c r="NIX44" s="669"/>
      <c r="NIY44" s="669"/>
      <c r="NIZ44" s="669"/>
      <c r="NJA44" s="669"/>
      <c r="NJB44" s="669"/>
      <c r="NJC44" s="669"/>
      <c r="NJD44" s="669"/>
      <c r="NJE44" s="669"/>
      <c r="NJF44" s="669"/>
      <c r="NJG44" s="669"/>
      <c r="NJH44" s="669"/>
      <c r="NJI44" s="669"/>
      <c r="NJJ44" s="669"/>
      <c r="NJK44" s="669"/>
      <c r="NJL44" s="669"/>
      <c r="NJM44" s="669"/>
      <c r="NJN44" s="669"/>
      <c r="NJO44" s="669"/>
      <c r="NJP44" s="669"/>
      <c r="NJQ44" s="669"/>
      <c r="NJR44" s="669"/>
      <c r="NJS44" s="669"/>
      <c r="NJT44" s="669"/>
      <c r="NJU44" s="669"/>
      <c r="NJV44" s="669"/>
      <c r="NJW44" s="669"/>
      <c r="NJX44" s="669"/>
      <c r="NJY44" s="669"/>
      <c r="NJZ44" s="669"/>
      <c r="NKA44" s="669"/>
      <c r="NKB44" s="669"/>
      <c r="NKC44" s="669"/>
      <c r="NKD44" s="669"/>
      <c r="NKE44" s="669"/>
      <c r="NKF44" s="669"/>
      <c r="NKG44" s="669"/>
      <c r="NKH44" s="669"/>
      <c r="NKI44" s="669"/>
      <c r="NKJ44" s="669"/>
      <c r="NKK44" s="669"/>
      <c r="NKL44" s="669"/>
      <c r="NKM44" s="669"/>
      <c r="NKN44" s="669"/>
      <c r="NKO44" s="669"/>
      <c r="NKP44" s="669"/>
      <c r="NKQ44" s="669"/>
      <c r="NKR44" s="669"/>
      <c r="NKS44" s="669"/>
      <c r="NKT44" s="669"/>
      <c r="NKU44" s="669"/>
      <c r="NKV44" s="669"/>
      <c r="NKW44" s="669"/>
      <c r="NKX44" s="669"/>
      <c r="NKY44" s="669"/>
      <c r="NKZ44" s="669"/>
      <c r="NLA44" s="669"/>
      <c r="NLB44" s="669"/>
      <c r="NLC44" s="669"/>
      <c r="NLD44" s="669"/>
      <c r="NLE44" s="669"/>
      <c r="NLF44" s="669"/>
      <c r="NLG44" s="669"/>
      <c r="NLH44" s="669"/>
      <c r="NLI44" s="669"/>
      <c r="NLJ44" s="669"/>
      <c r="NLK44" s="669"/>
      <c r="NLL44" s="669"/>
      <c r="NLM44" s="669"/>
      <c r="NLN44" s="669"/>
      <c r="NLO44" s="669"/>
      <c r="NLP44" s="669"/>
      <c r="NLQ44" s="669"/>
      <c r="NLR44" s="669"/>
      <c r="NLS44" s="669"/>
      <c r="NLT44" s="669"/>
      <c r="NLU44" s="669"/>
      <c r="NLV44" s="669"/>
      <c r="NLW44" s="669"/>
      <c r="NLX44" s="669"/>
      <c r="NLY44" s="669"/>
      <c r="NLZ44" s="669"/>
      <c r="NMA44" s="669"/>
      <c r="NMB44" s="669"/>
      <c r="NMC44" s="669"/>
      <c r="NMD44" s="669"/>
      <c r="NME44" s="669"/>
      <c r="NMF44" s="669"/>
      <c r="NMG44" s="669"/>
      <c r="NMH44" s="669"/>
      <c r="NMI44" s="669"/>
      <c r="NMJ44" s="669"/>
      <c r="NMK44" s="669"/>
      <c r="NML44" s="669"/>
      <c r="NMM44" s="669"/>
      <c r="NMN44" s="669"/>
      <c r="NMO44" s="669"/>
      <c r="NMP44" s="669"/>
      <c r="NMQ44" s="669"/>
      <c r="NMR44" s="669"/>
      <c r="NMS44" s="669"/>
      <c r="NMT44" s="669"/>
      <c r="NMU44" s="669"/>
      <c r="NMV44" s="669"/>
      <c r="NMW44" s="669"/>
      <c r="NMX44" s="669"/>
      <c r="NMY44" s="669"/>
      <c r="NMZ44" s="669"/>
      <c r="NNA44" s="669"/>
      <c r="NNB44" s="669"/>
      <c r="NNC44" s="669"/>
      <c r="NND44" s="669"/>
      <c r="NNE44" s="669"/>
      <c r="NNF44" s="669"/>
      <c r="NNG44" s="669"/>
      <c r="NNH44" s="669"/>
      <c r="NNI44" s="669"/>
      <c r="NNJ44" s="669"/>
      <c r="NNK44" s="669"/>
      <c r="NNL44" s="669"/>
      <c r="NNM44" s="669"/>
      <c r="NNN44" s="669"/>
      <c r="NNO44" s="669"/>
      <c r="NNP44" s="669"/>
      <c r="NNQ44" s="669"/>
      <c r="NNR44" s="669"/>
      <c r="NNS44" s="669"/>
      <c r="NNT44" s="669"/>
      <c r="NNU44" s="669"/>
      <c r="NNV44" s="669"/>
      <c r="NNW44" s="669"/>
      <c r="NNX44" s="669"/>
      <c r="NNY44" s="669"/>
      <c r="NNZ44" s="669"/>
      <c r="NOA44" s="669"/>
      <c r="NOB44" s="669"/>
      <c r="NOC44" s="669"/>
      <c r="NOD44" s="669"/>
      <c r="NOE44" s="669"/>
      <c r="NOF44" s="669"/>
      <c r="NOG44" s="669"/>
      <c r="NOH44" s="669"/>
      <c r="NOI44" s="669"/>
      <c r="NOJ44" s="669"/>
      <c r="NOK44" s="669"/>
      <c r="NOL44" s="669"/>
      <c r="NOM44" s="669"/>
      <c r="NON44" s="669"/>
      <c r="NOO44" s="669"/>
      <c r="NOP44" s="669"/>
      <c r="NOQ44" s="669"/>
      <c r="NOR44" s="669"/>
      <c r="NOS44" s="669"/>
      <c r="NOT44" s="669"/>
      <c r="NOU44" s="669"/>
      <c r="NOV44" s="669"/>
      <c r="NOW44" s="669"/>
      <c r="NOX44" s="669"/>
      <c r="NOY44" s="669"/>
      <c r="NOZ44" s="669"/>
      <c r="NPA44" s="669"/>
      <c r="NPB44" s="669"/>
      <c r="NPC44" s="669"/>
      <c r="NPD44" s="669"/>
      <c r="NPE44" s="669"/>
      <c r="NPF44" s="669"/>
      <c r="NPG44" s="669"/>
      <c r="NPH44" s="669"/>
      <c r="NPI44" s="669"/>
      <c r="NPJ44" s="669"/>
      <c r="NPK44" s="669"/>
      <c r="NPL44" s="669"/>
      <c r="NPM44" s="669"/>
      <c r="NPN44" s="669"/>
      <c r="NPO44" s="669"/>
      <c r="NPP44" s="669"/>
      <c r="NPQ44" s="669"/>
      <c r="NPR44" s="669"/>
      <c r="NPS44" s="669"/>
      <c r="NPT44" s="669"/>
      <c r="NPU44" s="669"/>
      <c r="NPV44" s="669"/>
      <c r="NPW44" s="669"/>
      <c r="NPX44" s="669"/>
      <c r="NPY44" s="669"/>
      <c r="NPZ44" s="669"/>
      <c r="NQA44" s="669"/>
      <c r="NQB44" s="669"/>
      <c r="NQC44" s="669"/>
      <c r="NQD44" s="669"/>
      <c r="NQE44" s="669"/>
      <c r="NQF44" s="669"/>
      <c r="NQG44" s="669"/>
      <c r="NQH44" s="669"/>
      <c r="NQI44" s="669"/>
      <c r="NQJ44" s="669"/>
      <c r="NQK44" s="669"/>
      <c r="NQL44" s="669"/>
      <c r="NQM44" s="669"/>
      <c r="NQN44" s="669"/>
      <c r="NQO44" s="669"/>
      <c r="NQP44" s="669"/>
      <c r="NQQ44" s="669"/>
      <c r="NQR44" s="669"/>
      <c r="NQS44" s="669"/>
      <c r="NQT44" s="669"/>
      <c r="NQU44" s="669"/>
      <c r="NQV44" s="669"/>
      <c r="NQW44" s="669"/>
      <c r="NQX44" s="669"/>
      <c r="NQY44" s="669"/>
      <c r="NQZ44" s="669"/>
      <c r="NRA44" s="669"/>
      <c r="NRB44" s="669"/>
      <c r="NRC44" s="669"/>
      <c r="NRD44" s="669"/>
      <c r="NRE44" s="669"/>
      <c r="NRF44" s="669"/>
      <c r="NRG44" s="669"/>
      <c r="NRH44" s="669"/>
      <c r="NRI44" s="669"/>
      <c r="NRJ44" s="669"/>
      <c r="NRK44" s="669"/>
      <c r="NRL44" s="669"/>
      <c r="NRM44" s="669"/>
      <c r="NRN44" s="669"/>
      <c r="NRO44" s="669"/>
      <c r="NRP44" s="669"/>
      <c r="NRQ44" s="669"/>
      <c r="NRR44" s="669"/>
      <c r="NRS44" s="669"/>
      <c r="NRT44" s="669"/>
      <c r="NRU44" s="669"/>
      <c r="NRV44" s="669"/>
      <c r="NRW44" s="669"/>
      <c r="NRX44" s="669"/>
      <c r="NRY44" s="669"/>
      <c r="NRZ44" s="669"/>
      <c r="NSA44" s="669"/>
      <c r="NSB44" s="669"/>
      <c r="NSC44" s="669"/>
      <c r="NSD44" s="669"/>
      <c r="NSE44" s="669"/>
      <c r="NSF44" s="669"/>
      <c r="NSG44" s="669"/>
      <c r="NSH44" s="669"/>
      <c r="NSI44" s="669"/>
      <c r="NSJ44" s="669"/>
      <c r="NSK44" s="669"/>
      <c r="NSL44" s="669"/>
      <c r="NSM44" s="669"/>
      <c r="NSN44" s="669"/>
      <c r="NSO44" s="669"/>
      <c r="NSP44" s="669"/>
      <c r="NSQ44" s="669"/>
      <c r="NSR44" s="669"/>
      <c r="NSS44" s="669"/>
      <c r="NST44" s="669"/>
      <c r="NSU44" s="669"/>
      <c r="NSV44" s="669"/>
      <c r="NSW44" s="669"/>
      <c r="NSX44" s="669"/>
      <c r="NSY44" s="669"/>
      <c r="NSZ44" s="669"/>
      <c r="NTA44" s="669"/>
      <c r="NTB44" s="669"/>
      <c r="NTC44" s="669"/>
      <c r="NTD44" s="669"/>
      <c r="NTE44" s="669"/>
      <c r="NTF44" s="669"/>
      <c r="NTG44" s="669"/>
      <c r="NTH44" s="669"/>
      <c r="NTI44" s="669"/>
      <c r="NTJ44" s="669"/>
      <c r="NTK44" s="669"/>
      <c r="NTL44" s="669"/>
      <c r="NTM44" s="669"/>
      <c r="NTN44" s="669"/>
      <c r="NTO44" s="669"/>
      <c r="NTP44" s="669"/>
      <c r="NTQ44" s="669"/>
      <c r="NTR44" s="669"/>
      <c r="NTS44" s="669"/>
      <c r="NTT44" s="669"/>
      <c r="NTU44" s="669"/>
      <c r="NTV44" s="669"/>
      <c r="NTW44" s="669"/>
      <c r="NTX44" s="669"/>
      <c r="NTY44" s="669"/>
      <c r="NTZ44" s="669"/>
      <c r="NUA44" s="669"/>
      <c r="NUB44" s="669"/>
      <c r="NUC44" s="669"/>
      <c r="NUD44" s="669"/>
      <c r="NUE44" s="669"/>
      <c r="NUF44" s="669"/>
      <c r="NUG44" s="669"/>
      <c r="NUH44" s="669"/>
      <c r="NUI44" s="669"/>
      <c r="NUJ44" s="669"/>
      <c r="NUK44" s="669"/>
      <c r="NUL44" s="669"/>
      <c r="NUM44" s="669"/>
      <c r="NUN44" s="669"/>
      <c r="NUO44" s="669"/>
      <c r="NUP44" s="669"/>
      <c r="NUQ44" s="669"/>
      <c r="NUR44" s="669"/>
      <c r="NUS44" s="669"/>
      <c r="NUT44" s="669"/>
      <c r="NUU44" s="669"/>
      <c r="NUV44" s="669"/>
      <c r="NUW44" s="669"/>
      <c r="NUX44" s="669"/>
      <c r="NUY44" s="669"/>
      <c r="NUZ44" s="669"/>
      <c r="NVA44" s="669"/>
      <c r="NVB44" s="669"/>
      <c r="NVC44" s="669"/>
      <c r="NVD44" s="669"/>
      <c r="NVE44" s="669"/>
      <c r="NVF44" s="669"/>
      <c r="NVG44" s="669"/>
      <c r="NVH44" s="669"/>
      <c r="NVI44" s="669"/>
      <c r="NVJ44" s="669"/>
      <c r="NVK44" s="669"/>
      <c r="NVL44" s="669"/>
      <c r="NVM44" s="669"/>
      <c r="NVN44" s="669"/>
      <c r="NVO44" s="669"/>
      <c r="NVP44" s="669"/>
      <c r="NVQ44" s="669"/>
      <c r="NVR44" s="669"/>
      <c r="NVS44" s="669"/>
      <c r="NVT44" s="669"/>
      <c r="NVU44" s="669"/>
      <c r="NVV44" s="669"/>
      <c r="NVW44" s="669"/>
      <c r="NVX44" s="669"/>
      <c r="NVY44" s="669"/>
      <c r="NVZ44" s="669"/>
      <c r="NWA44" s="669"/>
      <c r="NWB44" s="669"/>
      <c r="NWC44" s="669"/>
      <c r="NWD44" s="669"/>
      <c r="NWE44" s="669"/>
      <c r="NWF44" s="669"/>
      <c r="NWG44" s="669"/>
      <c r="NWH44" s="669"/>
      <c r="NWI44" s="669"/>
      <c r="NWJ44" s="669"/>
      <c r="NWK44" s="669"/>
      <c r="NWL44" s="669"/>
      <c r="NWM44" s="669"/>
      <c r="NWN44" s="669"/>
      <c r="NWO44" s="669"/>
      <c r="NWP44" s="669"/>
      <c r="NWQ44" s="669"/>
      <c r="NWR44" s="669"/>
      <c r="NWS44" s="669"/>
      <c r="NWT44" s="669"/>
      <c r="NWU44" s="669"/>
      <c r="NWV44" s="669"/>
      <c r="NWW44" s="669"/>
      <c r="NWX44" s="669"/>
      <c r="NWY44" s="669"/>
      <c r="NWZ44" s="669"/>
      <c r="NXA44" s="669"/>
      <c r="NXB44" s="669"/>
      <c r="NXC44" s="669"/>
      <c r="NXD44" s="669"/>
      <c r="NXE44" s="669"/>
      <c r="NXF44" s="669"/>
      <c r="NXG44" s="669"/>
      <c r="NXH44" s="669"/>
      <c r="NXI44" s="669"/>
      <c r="NXJ44" s="669"/>
      <c r="NXK44" s="669"/>
      <c r="NXL44" s="669"/>
      <c r="NXM44" s="669"/>
      <c r="NXN44" s="669"/>
      <c r="NXO44" s="669"/>
      <c r="NXP44" s="669"/>
      <c r="NXQ44" s="669"/>
      <c r="NXR44" s="669"/>
      <c r="NXS44" s="669"/>
      <c r="NXT44" s="669"/>
      <c r="NXU44" s="669"/>
      <c r="NXV44" s="669"/>
      <c r="NXW44" s="669"/>
      <c r="NXX44" s="669"/>
      <c r="NXY44" s="669"/>
      <c r="NXZ44" s="669"/>
      <c r="NYA44" s="669"/>
      <c r="NYB44" s="669"/>
      <c r="NYC44" s="669"/>
      <c r="NYD44" s="669"/>
      <c r="NYE44" s="669"/>
      <c r="NYF44" s="669"/>
      <c r="NYG44" s="669"/>
      <c r="NYH44" s="669"/>
      <c r="NYI44" s="669"/>
      <c r="NYJ44" s="669"/>
      <c r="NYK44" s="669"/>
      <c r="NYL44" s="669"/>
      <c r="NYM44" s="669"/>
      <c r="NYN44" s="669"/>
      <c r="NYO44" s="669"/>
      <c r="NYP44" s="669"/>
      <c r="NYQ44" s="669"/>
      <c r="NYR44" s="669"/>
      <c r="NYS44" s="669"/>
      <c r="NYT44" s="669"/>
      <c r="NYU44" s="669"/>
      <c r="NYV44" s="669"/>
      <c r="NYW44" s="669"/>
      <c r="NYX44" s="669"/>
      <c r="NYY44" s="669"/>
      <c r="NYZ44" s="669"/>
      <c r="NZA44" s="669"/>
      <c r="NZB44" s="669"/>
      <c r="NZC44" s="669"/>
      <c r="NZD44" s="669"/>
      <c r="NZE44" s="669"/>
      <c r="NZF44" s="669"/>
      <c r="NZG44" s="669"/>
      <c r="NZH44" s="669"/>
      <c r="NZI44" s="669"/>
      <c r="NZJ44" s="669"/>
      <c r="NZK44" s="669"/>
      <c r="NZL44" s="669"/>
      <c r="NZM44" s="669"/>
      <c r="NZN44" s="669"/>
      <c r="NZO44" s="669"/>
      <c r="NZP44" s="669"/>
      <c r="NZQ44" s="669"/>
      <c r="NZR44" s="669"/>
      <c r="NZS44" s="669"/>
      <c r="NZT44" s="669"/>
      <c r="NZU44" s="669"/>
      <c r="NZV44" s="669"/>
      <c r="NZW44" s="669"/>
      <c r="NZX44" s="669"/>
      <c r="NZY44" s="669"/>
      <c r="NZZ44" s="669"/>
      <c r="OAA44" s="669"/>
      <c r="OAB44" s="669"/>
      <c r="OAC44" s="669"/>
      <c r="OAD44" s="669"/>
      <c r="OAE44" s="669"/>
      <c r="OAF44" s="669"/>
      <c r="OAG44" s="669"/>
      <c r="OAH44" s="669"/>
      <c r="OAI44" s="669"/>
      <c r="OAJ44" s="669"/>
      <c r="OAK44" s="669"/>
      <c r="OAL44" s="669"/>
      <c r="OAM44" s="669"/>
      <c r="OAN44" s="669"/>
      <c r="OAO44" s="669"/>
      <c r="OAP44" s="669"/>
      <c r="OAQ44" s="669"/>
      <c r="OAR44" s="669"/>
      <c r="OAS44" s="669"/>
      <c r="OAT44" s="669"/>
      <c r="OAU44" s="669"/>
      <c r="OAV44" s="669"/>
      <c r="OAW44" s="669"/>
      <c r="OAX44" s="669"/>
      <c r="OAY44" s="669"/>
      <c r="OAZ44" s="669"/>
      <c r="OBA44" s="669"/>
      <c r="OBB44" s="669"/>
      <c r="OBC44" s="669"/>
      <c r="OBD44" s="669"/>
      <c r="OBE44" s="669"/>
      <c r="OBF44" s="669"/>
      <c r="OBG44" s="669"/>
      <c r="OBH44" s="669"/>
      <c r="OBI44" s="669"/>
      <c r="OBJ44" s="669"/>
      <c r="OBK44" s="669"/>
      <c r="OBL44" s="669"/>
      <c r="OBM44" s="669"/>
      <c r="OBN44" s="669"/>
      <c r="OBO44" s="669"/>
      <c r="OBP44" s="669"/>
      <c r="OBQ44" s="669"/>
      <c r="OBR44" s="669"/>
      <c r="OBS44" s="669"/>
      <c r="OBT44" s="669"/>
      <c r="OBU44" s="669"/>
      <c r="OBV44" s="669"/>
      <c r="OBW44" s="669"/>
      <c r="OBX44" s="669"/>
      <c r="OBY44" s="669"/>
      <c r="OBZ44" s="669"/>
      <c r="OCA44" s="669"/>
      <c r="OCB44" s="669"/>
      <c r="OCC44" s="669"/>
      <c r="OCD44" s="669"/>
      <c r="OCE44" s="669"/>
      <c r="OCF44" s="669"/>
      <c r="OCG44" s="669"/>
      <c r="OCH44" s="669"/>
      <c r="OCI44" s="669"/>
      <c r="OCJ44" s="669"/>
      <c r="OCK44" s="669"/>
      <c r="OCL44" s="669"/>
      <c r="OCM44" s="669"/>
      <c r="OCN44" s="669"/>
      <c r="OCO44" s="669"/>
      <c r="OCP44" s="669"/>
      <c r="OCQ44" s="669"/>
      <c r="OCR44" s="669"/>
      <c r="OCS44" s="669"/>
      <c r="OCT44" s="669"/>
      <c r="OCU44" s="669"/>
      <c r="OCV44" s="669"/>
      <c r="OCW44" s="669"/>
      <c r="OCX44" s="669"/>
      <c r="OCY44" s="669"/>
      <c r="OCZ44" s="669"/>
      <c r="ODA44" s="669"/>
      <c r="ODB44" s="669"/>
      <c r="ODC44" s="669"/>
      <c r="ODD44" s="669"/>
      <c r="ODE44" s="669"/>
      <c r="ODF44" s="669"/>
      <c r="ODG44" s="669"/>
      <c r="ODH44" s="669"/>
      <c r="ODI44" s="669"/>
      <c r="ODJ44" s="669"/>
      <c r="ODK44" s="669"/>
      <c r="ODL44" s="669"/>
      <c r="ODM44" s="669"/>
      <c r="ODN44" s="669"/>
      <c r="ODO44" s="669"/>
      <c r="ODP44" s="669"/>
      <c r="ODQ44" s="669"/>
      <c r="ODR44" s="669"/>
      <c r="ODS44" s="669"/>
      <c r="ODT44" s="669"/>
      <c r="ODU44" s="669"/>
      <c r="ODV44" s="669"/>
      <c r="ODW44" s="669"/>
      <c r="ODX44" s="669"/>
      <c r="ODY44" s="669"/>
      <c r="ODZ44" s="669"/>
      <c r="OEA44" s="669"/>
      <c r="OEB44" s="669"/>
      <c r="OEC44" s="669"/>
      <c r="OED44" s="669"/>
      <c r="OEE44" s="669"/>
      <c r="OEF44" s="669"/>
      <c r="OEG44" s="669"/>
      <c r="OEH44" s="669"/>
      <c r="OEI44" s="669"/>
      <c r="OEJ44" s="669"/>
      <c r="OEK44" s="669"/>
      <c r="OEL44" s="669"/>
      <c r="OEM44" s="669"/>
      <c r="OEN44" s="669"/>
      <c r="OEO44" s="669"/>
      <c r="OEP44" s="669"/>
      <c r="OEQ44" s="669"/>
      <c r="OER44" s="669"/>
      <c r="OES44" s="669"/>
      <c r="OET44" s="669"/>
      <c r="OEU44" s="669"/>
      <c r="OEV44" s="669"/>
      <c r="OEW44" s="669"/>
      <c r="OEX44" s="669"/>
      <c r="OEY44" s="669"/>
      <c r="OEZ44" s="669"/>
      <c r="OFA44" s="669"/>
      <c r="OFB44" s="669"/>
      <c r="OFC44" s="669"/>
      <c r="OFD44" s="669"/>
      <c r="OFE44" s="669"/>
      <c r="OFF44" s="669"/>
      <c r="OFG44" s="669"/>
      <c r="OFH44" s="669"/>
      <c r="OFI44" s="669"/>
      <c r="OFJ44" s="669"/>
      <c r="OFK44" s="669"/>
      <c r="OFL44" s="669"/>
      <c r="OFM44" s="669"/>
      <c r="OFN44" s="669"/>
      <c r="OFO44" s="669"/>
      <c r="OFP44" s="669"/>
      <c r="OFQ44" s="669"/>
      <c r="OFR44" s="669"/>
      <c r="OFS44" s="669"/>
      <c r="OFT44" s="669"/>
      <c r="OFU44" s="669"/>
      <c r="OFV44" s="669"/>
      <c r="OFW44" s="669"/>
      <c r="OFX44" s="669"/>
      <c r="OFY44" s="669"/>
      <c r="OFZ44" s="669"/>
      <c r="OGA44" s="669"/>
      <c r="OGB44" s="669"/>
      <c r="OGC44" s="669"/>
      <c r="OGD44" s="669"/>
      <c r="OGE44" s="669"/>
      <c r="OGF44" s="669"/>
      <c r="OGG44" s="669"/>
      <c r="OGH44" s="669"/>
      <c r="OGI44" s="669"/>
      <c r="OGJ44" s="669"/>
      <c r="OGK44" s="669"/>
      <c r="OGL44" s="669"/>
      <c r="OGM44" s="669"/>
      <c r="OGN44" s="669"/>
      <c r="OGO44" s="669"/>
      <c r="OGP44" s="669"/>
      <c r="OGQ44" s="669"/>
      <c r="OGR44" s="669"/>
      <c r="OGS44" s="669"/>
      <c r="OGT44" s="669"/>
      <c r="OGU44" s="669"/>
      <c r="OGV44" s="669"/>
      <c r="OGW44" s="669"/>
      <c r="OGX44" s="669"/>
      <c r="OGY44" s="669"/>
      <c r="OGZ44" s="669"/>
      <c r="OHA44" s="669"/>
      <c r="OHB44" s="669"/>
      <c r="OHC44" s="669"/>
      <c r="OHD44" s="669"/>
      <c r="OHE44" s="669"/>
      <c r="OHF44" s="669"/>
      <c r="OHG44" s="669"/>
      <c r="OHH44" s="669"/>
      <c r="OHI44" s="669"/>
      <c r="OHJ44" s="669"/>
      <c r="OHK44" s="669"/>
      <c r="OHL44" s="669"/>
      <c r="OHM44" s="669"/>
      <c r="OHN44" s="669"/>
      <c r="OHO44" s="669"/>
      <c r="OHP44" s="669"/>
      <c r="OHQ44" s="669"/>
      <c r="OHR44" s="669"/>
      <c r="OHS44" s="669"/>
      <c r="OHT44" s="669"/>
      <c r="OHU44" s="669"/>
      <c r="OHV44" s="669"/>
      <c r="OHW44" s="669"/>
      <c r="OHX44" s="669"/>
      <c r="OHY44" s="669"/>
      <c r="OHZ44" s="669"/>
      <c r="OIA44" s="669"/>
      <c r="OIB44" s="669"/>
      <c r="OIC44" s="669"/>
      <c r="OID44" s="669"/>
      <c r="OIE44" s="669"/>
      <c r="OIF44" s="669"/>
      <c r="OIG44" s="669"/>
      <c r="OIH44" s="669"/>
      <c r="OII44" s="669"/>
      <c r="OIJ44" s="669"/>
      <c r="OIK44" s="669"/>
      <c r="OIL44" s="669"/>
      <c r="OIM44" s="669"/>
      <c r="OIN44" s="669"/>
      <c r="OIO44" s="669"/>
      <c r="OIP44" s="669"/>
      <c r="OIQ44" s="669"/>
      <c r="OIR44" s="669"/>
      <c r="OIS44" s="669"/>
      <c r="OIT44" s="669"/>
      <c r="OIU44" s="669"/>
      <c r="OIV44" s="669"/>
      <c r="OIW44" s="669"/>
      <c r="OIX44" s="669"/>
      <c r="OIY44" s="669"/>
      <c r="OIZ44" s="669"/>
      <c r="OJA44" s="669"/>
      <c r="OJB44" s="669"/>
      <c r="OJC44" s="669"/>
      <c r="OJD44" s="669"/>
      <c r="OJE44" s="669"/>
      <c r="OJF44" s="669"/>
      <c r="OJG44" s="669"/>
      <c r="OJH44" s="669"/>
      <c r="OJI44" s="669"/>
      <c r="OJJ44" s="669"/>
      <c r="OJK44" s="669"/>
      <c r="OJL44" s="669"/>
      <c r="OJM44" s="669"/>
      <c r="OJN44" s="669"/>
      <c r="OJO44" s="669"/>
      <c r="OJP44" s="669"/>
      <c r="OJQ44" s="669"/>
      <c r="OJR44" s="669"/>
      <c r="OJS44" s="669"/>
      <c r="OJT44" s="669"/>
      <c r="OJU44" s="669"/>
      <c r="OJV44" s="669"/>
      <c r="OJW44" s="669"/>
      <c r="OJX44" s="669"/>
      <c r="OJY44" s="669"/>
      <c r="OJZ44" s="669"/>
      <c r="OKA44" s="669"/>
      <c r="OKB44" s="669"/>
      <c r="OKC44" s="669"/>
      <c r="OKD44" s="669"/>
      <c r="OKE44" s="669"/>
      <c r="OKF44" s="669"/>
      <c r="OKG44" s="669"/>
      <c r="OKH44" s="669"/>
      <c r="OKI44" s="669"/>
      <c r="OKJ44" s="669"/>
      <c r="OKK44" s="669"/>
      <c r="OKL44" s="669"/>
      <c r="OKM44" s="669"/>
      <c r="OKN44" s="669"/>
      <c r="OKO44" s="669"/>
      <c r="OKP44" s="669"/>
      <c r="OKQ44" s="669"/>
      <c r="OKR44" s="669"/>
      <c r="OKS44" s="669"/>
      <c r="OKT44" s="669"/>
      <c r="OKU44" s="669"/>
      <c r="OKV44" s="669"/>
      <c r="OKW44" s="669"/>
      <c r="OKX44" s="669"/>
      <c r="OKY44" s="669"/>
      <c r="OKZ44" s="669"/>
      <c r="OLA44" s="669"/>
      <c r="OLB44" s="669"/>
      <c r="OLC44" s="669"/>
      <c r="OLD44" s="669"/>
      <c r="OLE44" s="669"/>
      <c r="OLF44" s="669"/>
      <c r="OLG44" s="669"/>
      <c r="OLH44" s="669"/>
      <c r="OLI44" s="669"/>
      <c r="OLJ44" s="669"/>
      <c r="OLK44" s="669"/>
      <c r="OLL44" s="669"/>
      <c r="OLM44" s="669"/>
      <c r="OLN44" s="669"/>
      <c r="OLO44" s="669"/>
      <c r="OLP44" s="669"/>
      <c r="OLQ44" s="669"/>
      <c r="OLR44" s="669"/>
      <c r="OLS44" s="669"/>
      <c r="OLT44" s="669"/>
      <c r="OLU44" s="669"/>
      <c r="OLV44" s="669"/>
      <c r="OLW44" s="669"/>
      <c r="OLX44" s="669"/>
      <c r="OLY44" s="669"/>
      <c r="OLZ44" s="669"/>
      <c r="OMA44" s="669"/>
      <c r="OMB44" s="669"/>
      <c r="OMC44" s="669"/>
      <c r="OMD44" s="669"/>
      <c r="OME44" s="669"/>
      <c r="OMF44" s="669"/>
      <c r="OMG44" s="669"/>
      <c r="OMH44" s="669"/>
      <c r="OMI44" s="669"/>
      <c r="OMJ44" s="669"/>
      <c r="OMK44" s="669"/>
      <c r="OML44" s="669"/>
      <c r="OMM44" s="669"/>
      <c r="OMN44" s="669"/>
      <c r="OMO44" s="669"/>
      <c r="OMP44" s="669"/>
      <c r="OMQ44" s="669"/>
      <c r="OMR44" s="669"/>
      <c r="OMS44" s="669"/>
      <c r="OMT44" s="669"/>
      <c r="OMU44" s="669"/>
      <c r="OMV44" s="669"/>
      <c r="OMW44" s="669"/>
      <c r="OMX44" s="669"/>
      <c r="OMY44" s="669"/>
      <c r="OMZ44" s="669"/>
      <c r="ONA44" s="669"/>
      <c r="ONB44" s="669"/>
      <c r="ONC44" s="669"/>
      <c r="OND44" s="669"/>
      <c r="ONE44" s="669"/>
      <c r="ONF44" s="669"/>
      <c r="ONG44" s="669"/>
      <c r="ONH44" s="669"/>
      <c r="ONI44" s="669"/>
      <c r="ONJ44" s="669"/>
      <c r="ONK44" s="669"/>
      <c r="ONL44" s="669"/>
      <c r="ONM44" s="669"/>
      <c r="ONN44" s="669"/>
      <c r="ONO44" s="669"/>
      <c r="ONP44" s="669"/>
      <c r="ONQ44" s="669"/>
      <c r="ONR44" s="669"/>
      <c r="ONS44" s="669"/>
      <c r="ONT44" s="669"/>
      <c r="ONU44" s="669"/>
      <c r="ONV44" s="669"/>
      <c r="ONW44" s="669"/>
      <c r="ONX44" s="669"/>
      <c r="ONY44" s="669"/>
      <c r="ONZ44" s="669"/>
      <c r="OOA44" s="669"/>
      <c r="OOB44" s="669"/>
      <c r="OOC44" s="669"/>
      <c r="OOD44" s="669"/>
      <c r="OOE44" s="669"/>
      <c r="OOF44" s="669"/>
      <c r="OOG44" s="669"/>
      <c r="OOH44" s="669"/>
      <c r="OOI44" s="669"/>
      <c r="OOJ44" s="669"/>
      <c r="OOK44" s="669"/>
      <c r="OOL44" s="669"/>
      <c r="OOM44" s="669"/>
      <c r="OON44" s="669"/>
      <c r="OOO44" s="669"/>
      <c r="OOP44" s="669"/>
      <c r="OOQ44" s="669"/>
      <c r="OOR44" s="669"/>
      <c r="OOS44" s="669"/>
      <c r="OOT44" s="669"/>
      <c r="OOU44" s="669"/>
      <c r="OOV44" s="669"/>
      <c r="OOW44" s="669"/>
      <c r="OOX44" s="669"/>
      <c r="OOY44" s="669"/>
      <c r="OOZ44" s="669"/>
      <c r="OPA44" s="669"/>
      <c r="OPB44" s="669"/>
      <c r="OPC44" s="669"/>
      <c r="OPD44" s="669"/>
      <c r="OPE44" s="669"/>
      <c r="OPF44" s="669"/>
      <c r="OPG44" s="669"/>
      <c r="OPH44" s="669"/>
      <c r="OPI44" s="669"/>
      <c r="OPJ44" s="669"/>
      <c r="OPK44" s="669"/>
      <c r="OPL44" s="669"/>
      <c r="OPM44" s="669"/>
      <c r="OPN44" s="669"/>
      <c r="OPO44" s="669"/>
      <c r="OPP44" s="669"/>
      <c r="OPQ44" s="669"/>
      <c r="OPR44" s="669"/>
      <c r="OPS44" s="669"/>
      <c r="OPT44" s="669"/>
      <c r="OPU44" s="669"/>
      <c r="OPV44" s="669"/>
      <c r="OPW44" s="669"/>
      <c r="OPX44" s="669"/>
      <c r="OPY44" s="669"/>
      <c r="OPZ44" s="669"/>
      <c r="OQA44" s="669"/>
      <c r="OQB44" s="669"/>
      <c r="OQC44" s="669"/>
      <c r="OQD44" s="669"/>
      <c r="OQE44" s="669"/>
      <c r="OQF44" s="669"/>
      <c r="OQG44" s="669"/>
      <c r="OQH44" s="669"/>
      <c r="OQI44" s="669"/>
      <c r="OQJ44" s="669"/>
      <c r="OQK44" s="669"/>
      <c r="OQL44" s="669"/>
      <c r="OQM44" s="669"/>
      <c r="OQN44" s="669"/>
      <c r="OQO44" s="669"/>
      <c r="OQP44" s="669"/>
      <c r="OQQ44" s="669"/>
      <c r="OQR44" s="669"/>
      <c r="OQS44" s="669"/>
      <c r="OQT44" s="669"/>
      <c r="OQU44" s="669"/>
      <c r="OQV44" s="669"/>
      <c r="OQW44" s="669"/>
      <c r="OQX44" s="669"/>
      <c r="OQY44" s="669"/>
      <c r="OQZ44" s="669"/>
      <c r="ORA44" s="669"/>
      <c r="ORB44" s="669"/>
      <c r="ORC44" s="669"/>
      <c r="ORD44" s="669"/>
      <c r="ORE44" s="669"/>
      <c r="ORF44" s="669"/>
      <c r="ORG44" s="669"/>
      <c r="ORH44" s="669"/>
      <c r="ORI44" s="669"/>
      <c r="ORJ44" s="669"/>
      <c r="ORK44" s="669"/>
      <c r="ORL44" s="669"/>
      <c r="ORM44" s="669"/>
      <c r="ORN44" s="669"/>
      <c r="ORO44" s="669"/>
      <c r="ORP44" s="669"/>
      <c r="ORQ44" s="669"/>
      <c r="ORR44" s="669"/>
      <c r="ORS44" s="669"/>
      <c r="ORT44" s="669"/>
      <c r="ORU44" s="669"/>
      <c r="ORV44" s="669"/>
      <c r="ORW44" s="669"/>
      <c r="ORX44" s="669"/>
      <c r="ORY44" s="669"/>
      <c r="ORZ44" s="669"/>
      <c r="OSA44" s="669"/>
      <c r="OSB44" s="669"/>
      <c r="OSC44" s="669"/>
      <c r="OSD44" s="669"/>
      <c r="OSE44" s="669"/>
      <c r="OSF44" s="669"/>
      <c r="OSG44" s="669"/>
      <c r="OSH44" s="669"/>
      <c r="OSI44" s="669"/>
      <c r="OSJ44" s="669"/>
      <c r="OSK44" s="669"/>
      <c r="OSL44" s="669"/>
      <c r="OSM44" s="669"/>
      <c r="OSN44" s="669"/>
      <c r="OSO44" s="669"/>
      <c r="OSP44" s="669"/>
      <c r="OSQ44" s="669"/>
      <c r="OSR44" s="669"/>
      <c r="OSS44" s="669"/>
      <c r="OST44" s="669"/>
      <c r="OSU44" s="669"/>
      <c r="OSV44" s="669"/>
      <c r="OSW44" s="669"/>
      <c r="OSX44" s="669"/>
      <c r="OSY44" s="669"/>
      <c r="OSZ44" s="669"/>
      <c r="OTA44" s="669"/>
      <c r="OTB44" s="669"/>
      <c r="OTC44" s="669"/>
      <c r="OTD44" s="669"/>
      <c r="OTE44" s="669"/>
      <c r="OTF44" s="669"/>
      <c r="OTG44" s="669"/>
      <c r="OTH44" s="669"/>
      <c r="OTI44" s="669"/>
      <c r="OTJ44" s="669"/>
      <c r="OTK44" s="669"/>
      <c r="OTL44" s="669"/>
      <c r="OTM44" s="669"/>
      <c r="OTN44" s="669"/>
      <c r="OTO44" s="669"/>
      <c r="OTP44" s="669"/>
      <c r="OTQ44" s="669"/>
      <c r="OTR44" s="669"/>
      <c r="OTS44" s="669"/>
      <c r="OTT44" s="669"/>
      <c r="OTU44" s="669"/>
      <c r="OTV44" s="669"/>
      <c r="OTW44" s="669"/>
      <c r="OTX44" s="669"/>
      <c r="OTY44" s="669"/>
      <c r="OTZ44" s="669"/>
      <c r="OUA44" s="669"/>
      <c r="OUB44" s="669"/>
      <c r="OUC44" s="669"/>
      <c r="OUD44" s="669"/>
      <c r="OUE44" s="669"/>
      <c r="OUF44" s="669"/>
      <c r="OUG44" s="669"/>
      <c r="OUH44" s="669"/>
      <c r="OUI44" s="669"/>
      <c r="OUJ44" s="669"/>
      <c r="OUK44" s="669"/>
      <c r="OUL44" s="669"/>
      <c r="OUM44" s="669"/>
      <c r="OUN44" s="669"/>
      <c r="OUO44" s="669"/>
      <c r="OUP44" s="669"/>
      <c r="OUQ44" s="669"/>
      <c r="OUR44" s="669"/>
      <c r="OUS44" s="669"/>
      <c r="OUT44" s="669"/>
      <c r="OUU44" s="669"/>
      <c r="OUV44" s="669"/>
      <c r="OUW44" s="669"/>
      <c r="OUX44" s="669"/>
      <c r="OUY44" s="669"/>
      <c r="OUZ44" s="669"/>
      <c r="OVA44" s="669"/>
      <c r="OVB44" s="669"/>
      <c r="OVC44" s="669"/>
      <c r="OVD44" s="669"/>
      <c r="OVE44" s="669"/>
      <c r="OVF44" s="669"/>
      <c r="OVG44" s="669"/>
      <c r="OVH44" s="669"/>
      <c r="OVI44" s="669"/>
      <c r="OVJ44" s="669"/>
      <c r="OVK44" s="669"/>
      <c r="OVL44" s="669"/>
      <c r="OVM44" s="669"/>
      <c r="OVN44" s="669"/>
      <c r="OVO44" s="669"/>
      <c r="OVP44" s="669"/>
      <c r="OVQ44" s="669"/>
      <c r="OVR44" s="669"/>
      <c r="OVS44" s="669"/>
      <c r="OVT44" s="669"/>
      <c r="OVU44" s="669"/>
      <c r="OVV44" s="669"/>
      <c r="OVW44" s="669"/>
      <c r="OVX44" s="669"/>
      <c r="OVY44" s="669"/>
      <c r="OVZ44" s="669"/>
      <c r="OWA44" s="669"/>
      <c r="OWB44" s="669"/>
      <c r="OWC44" s="669"/>
      <c r="OWD44" s="669"/>
      <c r="OWE44" s="669"/>
      <c r="OWF44" s="669"/>
      <c r="OWG44" s="669"/>
      <c r="OWH44" s="669"/>
      <c r="OWI44" s="669"/>
      <c r="OWJ44" s="669"/>
      <c r="OWK44" s="669"/>
      <c r="OWL44" s="669"/>
      <c r="OWM44" s="669"/>
      <c r="OWN44" s="669"/>
      <c r="OWO44" s="669"/>
      <c r="OWP44" s="669"/>
      <c r="OWQ44" s="669"/>
      <c r="OWR44" s="669"/>
      <c r="OWS44" s="669"/>
      <c r="OWT44" s="669"/>
      <c r="OWU44" s="669"/>
      <c r="OWV44" s="669"/>
      <c r="OWW44" s="669"/>
      <c r="OWX44" s="669"/>
      <c r="OWY44" s="669"/>
      <c r="OWZ44" s="669"/>
      <c r="OXA44" s="669"/>
      <c r="OXB44" s="669"/>
      <c r="OXC44" s="669"/>
      <c r="OXD44" s="669"/>
      <c r="OXE44" s="669"/>
      <c r="OXF44" s="669"/>
      <c r="OXG44" s="669"/>
      <c r="OXH44" s="669"/>
      <c r="OXI44" s="669"/>
      <c r="OXJ44" s="669"/>
      <c r="OXK44" s="669"/>
      <c r="OXL44" s="669"/>
      <c r="OXM44" s="669"/>
      <c r="OXN44" s="669"/>
      <c r="OXO44" s="669"/>
      <c r="OXP44" s="669"/>
      <c r="OXQ44" s="669"/>
      <c r="OXR44" s="669"/>
      <c r="OXS44" s="669"/>
      <c r="OXT44" s="669"/>
      <c r="OXU44" s="669"/>
      <c r="OXV44" s="669"/>
      <c r="OXW44" s="669"/>
      <c r="OXX44" s="669"/>
      <c r="OXY44" s="669"/>
      <c r="OXZ44" s="669"/>
      <c r="OYA44" s="669"/>
      <c r="OYB44" s="669"/>
      <c r="OYC44" s="669"/>
      <c r="OYD44" s="669"/>
      <c r="OYE44" s="669"/>
      <c r="OYF44" s="669"/>
      <c r="OYG44" s="669"/>
      <c r="OYH44" s="669"/>
      <c r="OYI44" s="669"/>
      <c r="OYJ44" s="669"/>
      <c r="OYK44" s="669"/>
      <c r="OYL44" s="669"/>
      <c r="OYM44" s="669"/>
      <c r="OYN44" s="669"/>
      <c r="OYO44" s="669"/>
      <c r="OYP44" s="669"/>
      <c r="OYQ44" s="669"/>
      <c r="OYR44" s="669"/>
      <c r="OYS44" s="669"/>
      <c r="OYT44" s="669"/>
      <c r="OYU44" s="669"/>
      <c r="OYV44" s="669"/>
      <c r="OYW44" s="669"/>
      <c r="OYX44" s="669"/>
      <c r="OYY44" s="669"/>
      <c r="OYZ44" s="669"/>
      <c r="OZA44" s="669"/>
      <c r="OZB44" s="669"/>
      <c r="OZC44" s="669"/>
      <c r="OZD44" s="669"/>
      <c r="OZE44" s="669"/>
      <c r="OZF44" s="669"/>
      <c r="OZG44" s="669"/>
      <c r="OZH44" s="669"/>
      <c r="OZI44" s="669"/>
      <c r="OZJ44" s="669"/>
      <c r="OZK44" s="669"/>
      <c r="OZL44" s="669"/>
      <c r="OZM44" s="669"/>
      <c r="OZN44" s="669"/>
      <c r="OZO44" s="669"/>
      <c r="OZP44" s="669"/>
      <c r="OZQ44" s="669"/>
      <c r="OZR44" s="669"/>
      <c r="OZS44" s="669"/>
      <c r="OZT44" s="669"/>
      <c r="OZU44" s="669"/>
      <c r="OZV44" s="669"/>
      <c r="OZW44" s="669"/>
      <c r="OZX44" s="669"/>
      <c r="OZY44" s="669"/>
      <c r="OZZ44" s="669"/>
      <c r="PAA44" s="669"/>
      <c r="PAB44" s="669"/>
      <c r="PAC44" s="669"/>
      <c r="PAD44" s="669"/>
      <c r="PAE44" s="669"/>
      <c r="PAF44" s="669"/>
      <c r="PAG44" s="669"/>
      <c r="PAH44" s="669"/>
      <c r="PAI44" s="669"/>
      <c r="PAJ44" s="669"/>
      <c r="PAK44" s="669"/>
      <c r="PAL44" s="669"/>
      <c r="PAM44" s="669"/>
      <c r="PAN44" s="669"/>
      <c r="PAO44" s="669"/>
      <c r="PAP44" s="669"/>
      <c r="PAQ44" s="669"/>
      <c r="PAR44" s="669"/>
      <c r="PAS44" s="669"/>
      <c r="PAT44" s="669"/>
      <c r="PAU44" s="669"/>
      <c r="PAV44" s="669"/>
      <c r="PAW44" s="669"/>
      <c r="PAX44" s="669"/>
      <c r="PAY44" s="669"/>
      <c r="PAZ44" s="669"/>
      <c r="PBA44" s="669"/>
      <c r="PBB44" s="669"/>
      <c r="PBC44" s="669"/>
      <c r="PBD44" s="669"/>
      <c r="PBE44" s="669"/>
      <c r="PBF44" s="669"/>
      <c r="PBG44" s="669"/>
      <c r="PBH44" s="669"/>
      <c r="PBI44" s="669"/>
      <c r="PBJ44" s="669"/>
      <c r="PBK44" s="669"/>
      <c r="PBL44" s="669"/>
      <c r="PBM44" s="669"/>
      <c r="PBN44" s="669"/>
      <c r="PBO44" s="669"/>
      <c r="PBP44" s="669"/>
      <c r="PBQ44" s="669"/>
      <c r="PBR44" s="669"/>
      <c r="PBS44" s="669"/>
      <c r="PBT44" s="669"/>
      <c r="PBU44" s="669"/>
      <c r="PBV44" s="669"/>
      <c r="PBW44" s="669"/>
      <c r="PBX44" s="669"/>
      <c r="PBY44" s="669"/>
      <c r="PBZ44" s="669"/>
      <c r="PCA44" s="669"/>
      <c r="PCB44" s="669"/>
      <c r="PCC44" s="669"/>
      <c r="PCD44" s="669"/>
      <c r="PCE44" s="669"/>
      <c r="PCF44" s="669"/>
      <c r="PCG44" s="669"/>
      <c r="PCH44" s="669"/>
      <c r="PCI44" s="669"/>
      <c r="PCJ44" s="669"/>
      <c r="PCK44" s="669"/>
      <c r="PCL44" s="669"/>
      <c r="PCM44" s="669"/>
      <c r="PCN44" s="669"/>
      <c r="PCO44" s="669"/>
      <c r="PCP44" s="669"/>
      <c r="PCQ44" s="669"/>
      <c r="PCR44" s="669"/>
      <c r="PCS44" s="669"/>
      <c r="PCT44" s="669"/>
      <c r="PCU44" s="669"/>
      <c r="PCV44" s="669"/>
      <c r="PCW44" s="669"/>
      <c r="PCX44" s="669"/>
      <c r="PCY44" s="669"/>
      <c r="PCZ44" s="669"/>
      <c r="PDA44" s="669"/>
      <c r="PDB44" s="669"/>
      <c r="PDC44" s="669"/>
      <c r="PDD44" s="669"/>
      <c r="PDE44" s="669"/>
      <c r="PDF44" s="669"/>
      <c r="PDG44" s="669"/>
      <c r="PDH44" s="669"/>
      <c r="PDI44" s="669"/>
      <c r="PDJ44" s="669"/>
      <c r="PDK44" s="669"/>
      <c r="PDL44" s="669"/>
      <c r="PDM44" s="669"/>
      <c r="PDN44" s="669"/>
      <c r="PDO44" s="669"/>
      <c r="PDP44" s="669"/>
      <c r="PDQ44" s="669"/>
      <c r="PDR44" s="669"/>
      <c r="PDS44" s="669"/>
      <c r="PDT44" s="669"/>
      <c r="PDU44" s="669"/>
      <c r="PDV44" s="669"/>
      <c r="PDW44" s="669"/>
      <c r="PDX44" s="669"/>
      <c r="PDY44" s="669"/>
      <c r="PDZ44" s="669"/>
      <c r="PEA44" s="669"/>
      <c r="PEB44" s="669"/>
      <c r="PEC44" s="669"/>
      <c r="PED44" s="669"/>
      <c r="PEE44" s="669"/>
      <c r="PEF44" s="669"/>
      <c r="PEG44" s="669"/>
      <c r="PEH44" s="669"/>
      <c r="PEI44" s="669"/>
      <c r="PEJ44" s="669"/>
      <c r="PEK44" s="669"/>
      <c r="PEL44" s="669"/>
      <c r="PEM44" s="669"/>
      <c r="PEN44" s="669"/>
      <c r="PEO44" s="669"/>
      <c r="PEP44" s="669"/>
      <c r="PEQ44" s="669"/>
      <c r="PER44" s="669"/>
      <c r="PES44" s="669"/>
      <c r="PET44" s="669"/>
      <c r="PEU44" s="669"/>
      <c r="PEV44" s="669"/>
      <c r="PEW44" s="669"/>
      <c r="PEX44" s="669"/>
      <c r="PEY44" s="669"/>
      <c r="PEZ44" s="669"/>
      <c r="PFA44" s="669"/>
      <c r="PFB44" s="669"/>
      <c r="PFC44" s="669"/>
      <c r="PFD44" s="669"/>
      <c r="PFE44" s="669"/>
      <c r="PFF44" s="669"/>
      <c r="PFG44" s="669"/>
      <c r="PFH44" s="669"/>
      <c r="PFI44" s="669"/>
      <c r="PFJ44" s="669"/>
      <c r="PFK44" s="669"/>
      <c r="PFL44" s="669"/>
      <c r="PFM44" s="669"/>
      <c r="PFN44" s="669"/>
      <c r="PFO44" s="669"/>
      <c r="PFP44" s="669"/>
      <c r="PFQ44" s="669"/>
      <c r="PFR44" s="669"/>
      <c r="PFS44" s="669"/>
      <c r="PFT44" s="669"/>
      <c r="PFU44" s="669"/>
      <c r="PFV44" s="669"/>
      <c r="PFW44" s="669"/>
      <c r="PFX44" s="669"/>
      <c r="PFY44" s="669"/>
      <c r="PFZ44" s="669"/>
      <c r="PGA44" s="669"/>
      <c r="PGB44" s="669"/>
      <c r="PGC44" s="669"/>
      <c r="PGD44" s="669"/>
      <c r="PGE44" s="669"/>
      <c r="PGF44" s="669"/>
      <c r="PGG44" s="669"/>
      <c r="PGH44" s="669"/>
      <c r="PGI44" s="669"/>
      <c r="PGJ44" s="669"/>
      <c r="PGK44" s="669"/>
      <c r="PGL44" s="669"/>
      <c r="PGM44" s="669"/>
      <c r="PGN44" s="669"/>
      <c r="PGO44" s="669"/>
      <c r="PGP44" s="669"/>
      <c r="PGQ44" s="669"/>
      <c r="PGR44" s="669"/>
      <c r="PGS44" s="669"/>
      <c r="PGT44" s="669"/>
      <c r="PGU44" s="669"/>
      <c r="PGV44" s="669"/>
      <c r="PGW44" s="669"/>
      <c r="PGX44" s="669"/>
      <c r="PGY44" s="669"/>
      <c r="PGZ44" s="669"/>
      <c r="PHA44" s="669"/>
      <c r="PHB44" s="669"/>
      <c r="PHC44" s="669"/>
      <c r="PHD44" s="669"/>
      <c r="PHE44" s="669"/>
      <c r="PHF44" s="669"/>
      <c r="PHG44" s="669"/>
      <c r="PHH44" s="669"/>
      <c r="PHI44" s="669"/>
      <c r="PHJ44" s="669"/>
      <c r="PHK44" s="669"/>
      <c r="PHL44" s="669"/>
      <c r="PHM44" s="669"/>
      <c r="PHN44" s="669"/>
      <c r="PHO44" s="669"/>
      <c r="PHP44" s="669"/>
      <c r="PHQ44" s="669"/>
      <c r="PHR44" s="669"/>
      <c r="PHS44" s="669"/>
      <c r="PHT44" s="669"/>
      <c r="PHU44" s="669"/>
      <c r="PHV44" s="669"/>
      <c r="PHW44" s="669"/>
      <c r="PHX44" s="669"/>
      <c r="PHY44" s="669"/>
      <c r="PHZ44" s="669"/>
      <c r="PIA44" s="669"/>
      <c r="PIB44" s="669"/>
      <c r="PIC44" s="669"/>
      <c r="PID44" s="669"/>
      <c r="PIE44" s="669"/>
      <c r="PIF44" s="669"/>
      <c r="PIG44" s="669"/>
      <c r="PIH44" s="669"/>
      <c r="PII44" s="669"/>
      <c r="PIJ44" s="669"/>
      <c r="PIK44" s="669"/>
      <c r="PIL44" s="669"/>
      <c r="PIM44" s="669"/>
      <c r="PIN44" s="669"/>
      <c r="PIO44" s="669"/>
      <c r="PIP44" s="669"/>
      <c r="PIQ44" s="669"/>
      <c r="PIR44" s="669"/>
      <c r="PIS44" s="669"/>
      <c r="PIT44" s="669"/>
      <c r="PIU44" s="669"/>
      <c r="PIV44" s="669"/>
      <c r="PIW44" s="669"/>
      <c r="PIX44" s="669"/>
      <c r="PIY44" s="669"/>
      <c r="PIZ44" s="669"/>
      <c r="PJA44" s="669"/>
      <c r="PJB44" s="669"/>
      <c r="PJC44" s="669"/>
      <c r="PJD44" s="669"/>
      <c r="PJE44" s="669"/>
      <c r="PJF44" s="669"/>
      <c r="PJG44" s="669"/>
      <c r="PJH44" s="669"/>
      <c r="PJI44" s="669"/>
      <c r="PJJ44" s="669"/>
      <c r="PJK44" s="669"/>
      <c r="PJL44" s="669"/>
      <c r="PJM44" s="669"/>
      <c r="PJN44" s="669"/>
      <c r="PJO44" s="669"/>
      <c r="PJP44" s="669"/>
      <c r="PJQ44" s="669"/>
      <c r="PJR44" s="669"/>
      <c r="PJS44" s="669"/>
      <c r="PJT44" s="669"/>
      <c r="PJU44" s="669"/>
      <c r="PJV44" s="669"/>
      <c r="PJW44" s="669"/>
      <c r="PJX44" s="669"/>
      <c r="PJY44" s="669"/>
      <c r="PJZ44" s="669"/>
      <c r="PKA44" s="669"/>
      <c r="PKB44" s="669"/>
      <c r="PKC44" s="669"/>
      <c r="PKD44" s="669"/>
      <c r="PKE44" s="669"/>
      <c r="PKF44" s="669"/>
      <c r="PKG44" s="669"/>
      <c r="PKH44" s="669"/>
      <c r="PKI44" s="669"/>
      <c r="PKJ44" s="669"/>
      <c r="PKK44" s="669"/>
      <c r="PKL44" s="669"/>
      <c r="PKM44" s="669"/>
      <c r="PKN44" s="669"/>
      <c r="PKO44" s="669"/>
      <c r="PKP44" s="669"/>
      <c r="PKQ44" s="669"/>
      <c r="PKR44" s="669"/>
      <c r="PKS44" s="669"/>
      <c r="PKT44" s="669"/>
      <c r="PKU44" s="669"/>
      <c r="PKV44" s="669"/>
      <c r="PKW44" s="669"/>
      <c r="PKX44" s="669"/>
      <c r="PKY44" s="669"/>
      <c r="PKZ44" s="669"/>
      <c r="PLA44" s="669"/>
      <c r="PLB44" s="669"/>
      <c r="PLC44" s="669"/>
      <c r="PLD44" s="669"/>
      <c r="PLE44" s="669"/>
      <c r="PLF44" s="669"/>
      <c r="PLG44" s="669"/>
      <c r="PLH44" s="669"/>
      <c r="PLI44" s="669"/>
      <c r="PLJ44" s="669"/>
      <c r="PLK44" s="669"/>
      <c r="PLL44" s="669"/>
      <c r="PLM44" s="669"/>
      <c r="PLN44" s="669"/>
      <c r="PLO44" s="669"/>
      <c r="PLP44" s="669"/>
      <c r="PLQ44" s="669"/>
      <c r="PLR44" s="669"/>
      <c r="PLS44" s="669"/>
      <c r="PLT44" s="669"/>
      <c r="PLU44" s="669"/>
      <c r="PLV44" s="669"/>
      <c r="PLW44" s="669"/>
      <c r="PLX44" s="669"/>
      <c r="PLY44" s="669"/>
      <c r="PLZ44" s="669"/>
      <c r="PMA44" s="669"/>
      <c r="PMB44" s="669"/>
      <c r="PMC44" s="669"/>
      <c r="PMD44" s="669"/>
      <c r="PME44" s="669"/>
      <c r="PMF44" s="669"/>
      <c r="PMG44" s="669"/>
      <c r="PMH44" s="669"/>
      <c r="PMI44" s="669"/>
      <c r="PMJ44" s="669"/>
      <c r="PMK44" s="669"/>
      <c r="PML44" s="669"/>
      <c r="PMM44" s="669"/>
      <c r="PMN44" s="669"/>
      <c r="PMO44" s="669"/>
      <c r="PMP44" s="669"/>
      <c r="PMQ44" s="669"/>
      <c r="PMR44" s="669"/>
      <c r="PMS44" s="669"/>
      <c r="PMT44" s="669"/>
      <c r="PMU44" s="669"/>
      <c r="PMV44" s="669"/>
      <c r="PMW44" s="669"/>
      <c r="PMX44" s="669"/>
      <c r="PMY44" s="669"/>
      <c r="PMZ44" s="669"/>
      <c r="PNA44" s="669"/>
      <c r="PNB44" s="669"/>
      <c r="PNC44" s="669"/>
      <c r="PND44" s="669"/>
      <c r="PNE44" s="669"/>
      <c r="PNF44" s="669"/>
      <c r="PNG44" s="669"/>
      <c r="PNH44" s="669"/>
      <c r="PNI44" s="669"/>
      <c r="PNJ44" s="669"/>
      <c r="PNK44" s="669"/>
      <c r="PNL44" s="669"/>
      <c r="PNM44" s="669"/>
      <c r="PNN44" s="669"/>
      <c r="PNO44" s="669"/>
      <c r="PNP44" s="669"/>
      <c r="PNQ44" s="669"/>
      <c r="PNR44" s="669"/>
      <c r="PNS44" s="669"/>
      <c r="PNT44" s="669"/>
      <c r="PNU44" s="669"/>
      <c r="PNV44" s="669"/>
      <c r="PNW44" s="669"/>
      <c r="PNX44" s="669"/>
      <c r="PNY44" s="669"/>
      <c r="PNZ44" s="669"/>
      <c r="POA44" s="669"/>
      <c r="POB44" s="669"/>
      <c r="POC44" s="669"/>
      <c r="POD44" s="669"/>
      <c r="POE44" s="669"/>
      <c r="POF44" s="669"/>
      <c r="POG44" s="669"/>
      <c r="POH44" s="669"/>
      <c r="POI44" s="669"/>
      <c r="POJ44" s="669"/>
      <c r="POK44" s="669"/>
      <c r="POL44" s="669"/>
      <c r="POM44" s="669"/>
      <c r="PON44" s="669"/>
      <c r="POO44" s="669"/>
      <c r="POP44" s="669"/>
      <c r="POQ44" s="669"/>
      <c r="POR44" s="669"/>
      <c r="POS44" s="669"/>
      <c r="POT44" s="669"/>
      <c r="POU44" s="669"/>
      <c r="POV44" s="669"/>
      <c r="POW44" s="669"/>
      <c r="POX44" s="669"/>
      <c r="POY44" s="669"/>
      <c r="POZ44" s="669"/>
      <c r="PPA44" s="669"/>
      <c r="PPB44" s="669"/>
      <c r="PPC44" s="669"/>
      <c r="PPD44" s="669"/>
      <c r="PPE44" s="669"/>
      <c r="PPF44" s="669"/>
      <c r="PPG44" s="669"/>
      <c r="PPH44" s="669"/>
      <c r="PPI44" s="669"/>
      <c r="PPJ44" s="669"/>
      <c r="PPK44" s="669"/>
      <c r="PPL44" s="669"/>
      <c r="PPM44" s="669"/>
      <c r="PPN44" s="669"/>
      <c r="PPO44" s="669"/>
      <c r="PPP44" s="669"/>
      <c r="PPQ44" s="669"/>
      <c r="PPR44" s="669"/>
      <c r="PPS44" s="669"/>
      <c r="PPT44" s="669"/>
      <c r="PPU44" s="669"/>
      <c r="PPV44" s="669"/>
      <c r="PPW44" s="669"/>
      <c r="PPX44" s="669"/>
      <c r="PPY44" s="669"/>
      <c r="PPZ44" s="669"/>
      <c r="PQA44" s="669"/>
      <c r="PQB44" s="669"/>
      <c r="PQC44" s="669"/>
      <c r="PQD44" s="669"/>
      <c r="PQE44" s="669"/>
      <c r="PQF44" s="669"/>
      <c r="PQG44" s="669"/>
      <c r="PQH44" s="669"/>
      <c r="PQI44" s="669"/>
      <c r="PQJ44" s="669"/>
      <c r="PQK44" s="669"/>
      <c r="PQL44" s="669"/>
      <c r="PQM44" s="669"/>
      <c r="PQN44" s="669"/>
      <c r="PQO44" s="669"/>
      <c r="PQP44" s="669"/>
      <c r="PQQ44" s="669"/>
      <c r="PQR44" s="669"/>
      <c r="PQS44" s="669"/>
      <c r="PQT44" s="669"/>
      <c r="PQU44" s="669"/>
      <c r="PQV44" s="669"/>
      <c r="PQW44" s="669"/>
      <c r="PQX44" s="669"/>
      <c r="PQY44" s="669"/>
      <c r="PQZ44" s="669"/>
      <c r="PRA44" s="669"/>
      <c r="PRB44" s="669"/>
      <c r="PRC44" s="669"/>
      <c r="PRD44" s="669"/>
      <c r="PRE44" s="669"/>
      <c r="PRF44" s="669"/>
      <c r="PRG44" s="669"/>
      <c r="PRH44" s="669"/>
      <c r="PRI44" s="669"/>
      <c r="PRJ44" s="669"/>
      <c r="PRK44" s="669"/>
      <c r="PRL44" s="669"/>
      <c r="PRM44" s="669"/>
      <c r="PRN44" s="669"/>
      <c r="PRO44" s="669"/>
      <c r="PRP44" s="669"/>
      <c r="PRQ44" s="669"/>
      <c r="PRR44" s="669"/>
      <c r="PRS44" s="669"/>
      <c r="PRT44" s="669"/>
      <c r="PRU44" s="669"/>
      <c r="PRV44" s="669"/>
      <c r="PRW44" s="669"/>
      <c r="PRX44" s="669"/>
      <c r="PRY44" s="669"/>
      <c r="PRZ44" s="669"/>
      <c r="PSA44" s="669"/>
      <c r="PSB44" s="669"/>
      <c r="PSC44" s="669"/>
      <c r="PSD44" s="669"/>
      <c r="PSE44" s="669"/>
      <c r="PSF44" s="669"/>
      <c r="PSG44" s="669"/>
      <c r="PSH44" s="669"/>
      <c r="PSI44" s="669"/>
      <c r="PSJ44" s="669"/>
      <c r="PSK44" s="669"/>
      <c r="PSL44" s="669"/>
      <c r="PSM44" s="669"/>
      <c r="PSN44" s="669"/>
      <c r="PSO44" s="669"/>
      <c r="PSP44" s="669"/>
      <c r="PSQ44" s="669"/>
      <c r="PSR44" s="669"/>
      <c r="PSS44" s="669"/>
      <c r="PST44" s="669"/>
      <c r="PSU44" s="669"/>
      <c r="PSV44" s="669"/>
      <c r="PSW44" s="669"/>
      <c r="PSX44" s="669"/>
      <c r="PSY44" s="669"/>
      <c r="PSZ44" s="669"/>
      <c r="PTA44" s="669"/>
      <c r="PTB44" s="669"/>
      <c r="PTC44" s="669"/>
      <c r="PTD44" s="669"/>
      <c r="PTE44" s="669"/>
      <c r="PTF44" s="669"/>
      <c r="PTG44" s="669"/>
      <c r="PTH44" s="669"/>
      <c r="PTI44" s="669"/>
      <c r="PTJ44" s="669"/>
      <c r="PTK44" s="669"/>
      <c r="PTL44" s="669"/>
      <c r="PTM44" s="669"/>
      <c r="PTN44" s="669"/>
      <c r="PTO44" s="669"/>
      <c r="PTP44" s="669"/>
      <c r="PTQ44" s="669"/>
      <c r="PTR44" s="669"/>
      <c r="PTS44" s="669"/>
      <c r="PTT44" s="669"/>
      <c r="PTU44" s="669"/>
      <c r="PTV44" s="669"/>
      <c r="PTW44" s="669"/>
      <c r="PTX44" s="669"/>
      <c r="PTY44" s="669"/>
      <c r="PTZ44" s="669"/>
      <c r="PUA44" s="669"/>
      <c r="PUB44" s="669"/>
      <c r="PUC44" s="669"/>
      <c r="PUD44" s="669"/>
      <c r="PUE44" s="669"/>
      <c r="PUF44" s="669"/>
      <c r="PUG44" s="669"/>
      <c r="PUH44" s="669"/>
      <c r="PUI44" s="669"/>
      <c r="PUJ44" s="669"/>
      <c r="PUK44" s="669"/>
      <c r="PUL44" s="669"/>
      <c r="PUM44" s="669"/>
      <c r="PUN44" s="669"/>
      <c r="PUO44" s="669"/>
      <c r="PUP44" s="669"/>
      <c r="PUQ44" s="669"/>
      <c r="PUR44" s="669"/>
      <c r="PUS44" s="669"/>
      <c r="PUT44" s="669"/>
      <c r="PUU44" s="669"/>
      <c r="PUV44" s="669"/>
      <c r="PUW44" s="669"/>
      <c r="PUX44" s="669"/>
      <c r="PUY44" s="669"/>
      <c r="PUZ44" s="669"/>
      <c r="PVA44" s="669"/>
      <c r="PVB44" s="669"/>
      <c r="PVC44" s="669"/>
      <c r="PVD44" s="669"/>
      <c r="PVE44" s="669"/>
      <c r="PVF44" s="669"/>
      <c r="PVG44" s="669"/>
      <c r="PVH44" s="669"/>
      <c r="PVI44" s="669"/>
      <c r="PVJ44" s="669"/>
      <c r="PVK44" s="669"/>
      <c r="PVL44" s="669"/>
      <c r="PVM44" s="669"/>
      <c r="PVN44" s="669"/>
      <c r="PVO44" s="669"/>
      <c r="PVP44" s="669"/>
      <c r="PVQ44" s="669"/>
      <c r="PVR44" s="669"/>
      <c r="PVS44" s="669"/>
      <c r="PVT44" s="669"/>
      <c r="PVU44" s="669"/>
      <c r="PVV44" s="669"/>
      <c r="PVW44" s="669"/>
      <c r="PVX44" s="669"/>
      <c r="PVY44" s="669"/>
      <c r="PVZ44" s="669"/>
      <c r="PWA44" s="669"/>
      <c r="PWB44" s="669"/>
      <c r="PWC44" s="669"/>
      <c r="PWD44" s="669"/>
      <c r="PWE44" s="669"/>
      <c r="PWF44" s="669"/>
      <c r="PWG44" s="669"/>
      <c r="PWH44" s="669"/>
      <c r="PWI44" s="669"/>
      <c r="PWJ44" s="669"/>
      <c r="PWK44" s="669"/>
      <c r="PWL44" s="669"/>
      <c r="PWM44" s="669"/>
      <c r="PWN44" s="669"/>
      <c r="PWO44" s="669"/>
      <c r="PWP44" s="669"/>
      <c r="PWQ44" s="669"/>
      <c r="PWR44" s="669"/>
      <c r="PWS44" s="669"/>
      <c r="PWT44" s="669"/>
      <c r="PWU44" s="669"/>
      <c r="PWV44" s="669"/>
      <c r="PWW44" s="669"/>
      <c r="PWX44" s="669"/>
      <c r="PWY44" s="669"/>
      <c r="PWZ44" s="669"/>
      <c r="PXA44" s="669"/>
      <c r="PXB44" s="669"/>
      <c r="PXC44" s="669"/>
      <c r="PXD44" s="669"/>
      <c r="PXE44" s="669"/>
      <c r="PXF44" s="669"/>
      <c r="PXG44" s="669"/>
      <c r="PXH44" s="669"/>
      <c r="PXI44" s="669"/>
      <c r="PXJ44" s="669"/>
      <c r="PXK44" s="669"/>
      <c r="PXL44" s="669"/>
      <c r="PXM44" s="669"/>
      <c r="PXN44" s="669"/>
      <c r="PXO44" s="669"/>
      <c r="PXP44" s="669"/>
      <c r="PXQ44" s="669"/>
      <c r="PXR44" s="669"/>
      <c r="PXS44" s="669"/>
      <c r="PXT44" s="669"/>
      <c r="PXU44" s="669"/>
      <c r="PXV44" s="669"/>
      <c r="PXW44" s="669"/>
      <c r="PXX44" s="669"/>
      <c r="PXY44" s="669"/>
      <c r="PXZ44" s="669"/>
      <c r="PYA44" s="669"/>
      <c r="PYB44" s="669"/>
      <c r="PYC44" s="669"/>
      <c r="PYD44" s="669"/>
      <c r="PYE44" s="669"/>
      <c r="PYF44" s="669"/>
      <c r="PYG44" s="669"/>
      <c r="PYH44" s="669"/>
      <c r="PYI44" s="669"/>
      <c r="PYJ44" s="669"/>
      <c r="PYK44" s="669"/>
      <c r="PYL44" s="669"/>
      <c r="PYM44" s="669"/>
      <c r="PYN44" s="669"/>
      <c r="PYO44" s="669"/>
      <c r="PYP44" s="669"/>
      <c r="PYQ44" s="669"/>
      <c r="PYR44" s="669"/>
      <c r="PYS44" s="669"/>
      <c r="PYT44" s="669"/>
      <c r="PYU44" s="669"/>
      <c r="PYV44" s="669"/>
      <c r="PYW44" s="669"/>
      <c r="PYX44" s="669"/>
      <c r="PYY44" s="669"/>
      <c r="PYZ44" s="669"/>
      <c r="PZA44" s="669"/>
      <c r="PZB44" s="669"/>
      <c r="PZC44" s="669"/>
      <c r="PZD44" s="669"/>
      <c r="PZE44" s="669"/>
      <c r="PZF44" s="669"/>
      <c r="PZG44" s="669"/>
      <c r="PZH44" s="669"/>
      <c r="PZI44" s="669"/>
      <c r="PZJ44" s="669"/>
      <c r="PZK44" s="669"/>
      <c r="PZL44" s="669"/>
      <c r="PZM44" s="669"/>
      <c r="PZN44" s="669"/>
      <c r="PZO44" s="669"/>
      <c r="PZP44" s="669"/>
      <c r="PZQ44" s="669"/>
      <c r="PZR44" s="669"/>
      <c r="PZS44" s="669"/>
      <c r="PZT44" s="669"/>
      <c r="PZU44" s="669"/>
      <c r="PZV44" s="669"/>
      <c r="PZW44" s="669"/>
      <c r="PZX44" s="669"/>
      <c r="PZY44" s="669"/>
      <c r="PZZ44" s="669"/>
      <c r="QAA44" s="669"/>
      <c r="QAB44" s="669"/>
      <c r="QAC44" s="669"/>
      <c r="QAD44" s="669"/>
      <c r="QAE44" s="669"/>
      <c r="QAF44" s="669"/>
      <c r="QAG44" s="669"/>
      <c r="QAH44" s="669"/>
      <c r="QAI44" s="669"/>
      <c r="QAJ44" s="669"/>
      <c r="QAK44" s="669"/>
      <c r="QAL44" s="669"/>
      <c r="QAM44" s="669"/>
      <c r="QAN44" s="669"/>
      <c r="QAO44" s="669"/>
      <c r="QAP44" s="669"/>
      <c r="QAQ44" s="669"/>
      <c r="QAR44" s="669"/>
      <c r="QAS44" s="669"/>
      <c r="QAT44" s="669"/>
      <c r="QAU44" s="669"/>
      <c r="QAV44" s="669"/>
      <c r="QAW44" s="669"/>
      <c r="QAX44" s="669"/>
      <c r="QAY44" s="669"/>
      <c r="QAZ44" s="669"/>
      <c r="QBA44" s="669"/>
      <c r="QBB44" s="669"/>
      <c r="QBC44" s="669"/>
      <c r="QBD44" s="669"/>
      <c r="QBE44" s="669"/>
      <c r="QBF44" s="669"/>
      <c r="QBG44" s="669"/>
      <c r="QBH44" s="669"/>
      <c r="QBI44" s="669"/>
      <c r="QBJ44" s="669"/>
      <c r="QBK44" s="669"/>
      <c r="QBL44" s="669"/>
      <c r="QBM44" s="669"/>
      <c r="QBN44" s="669"/>
      <c r="QBO44" s="669"/>
      <c r="QBP44" s="669"/>
      <c r="QBQ44" s="669"/>
      <c r="QBR44" s="669"/>
      <c r="QBS44" s="669"/>
      <c r="QBT44" s="669"/>
      <c r="QBU44" s="669"/>
      <c r="QBV44" s="669"/>
      <c r="QBW44" s="669"/>
      <c r="QBX44" s="669"/>
      <c r="QBY44" s="669"/>
      <c r="QBZ44" s="669"/>
      <c r="QCA44" s="669"/>
      <c r="QCB44" s="669"/>
      <c r="QCC44" s="669"/>
      <c r="QCD44" s="669"/>
      <c r="QCE44" s="669"/>
      <c r="QCF44" s="669"/>
      <c r="QCG44" s="669"/>
      <c r="QCH44" s="669"/>
      <c r="QCI44" s="669"/>
      <c r="QCJ44" s="669"/>
      <c r="QCK44" s="669"/>
      <c r="QCL44" s="669"/>
      <c r="QCM44" s="669"/>
      <c r="QCN44" s="669"/>
      <c r="QCO44" s="669"/>
      <c r="QCP44" s="669"/>
      <c r="QCQ44" s="669"/>
      <c r="QCR44" s="669"/>
      <c r="QCS44" s="669"/>
      <c r="QCT44" s="669"/>
      <c r="QCU44" s="669"/>
      <c r="QCV44" s="669"/>
      <c r="QCW44" s="669"/>
      <c r="QCX44" s="669"/>
      <c r="QCY44" s="669"/>
      <c r="QCZ44" s="669"/>
      <c r="QDA44" s="669"/>
      <c r="QDB44" s="669"/>
      <c r="QDC44" s="669"/>
      <c r="QDD44" s="669"/>
      <c r="QDE44" s="669"/>
      <c r="QDF44" s="669"/>
      <c r="QDG44" s="669"/>
      <c r="QDH44" s="669"/>
      <c r="QDI44" s="669"/>
      <c r="QDJ44" s="669"/>
      <c r="QDK44" s="669"/>
      <c r="QDL44" s="669"/>
      <c r="QDM44" s="669"/>
      <c r="QDN44" s="669"/>
      <c r="QDO44" s="669"/>
      <c r="QDP44" s="669"/>
      <c r="QDQ44" s="669"/>
      <c r="QDR44" s="669"/>
      <c r="QDS44" s="669"/>
      <c r="QDT44" s="669"/>
      <c r="QDU44" s="669"/>
      <c r="QDV44" s="669"/>
      <c r="QDW44" s="669"/>
      <c r="QDX44" s="669"/>
      <c r="QDY44" s="669"/>
      <c r="QDZ44" s="669"/>
      <c r="QEA44" s="669"/>
      <c r="QEB44" s="669"/>
      <c r="QEC44" s="669"/>
      <c r="QED44" s="669"/>
      <c r="QEE44" s="669"/>
      <c r="QEF44" s="669"/>
      <c r="QEG44" s="669"/>
      <c r="QEH44" s="669"/>
      <c r="QEI44" s="669"/>
      <c r="QEJ44" s="669"/>
      <c r="QEK44" s="669"/>
      <c r="QEL44" s="669"/>
      <c r="QEM44" s="669"/>
      <c r="QEN44" s="669"/>
      <c r="QEO44" s="669"/>
      <c r="QEP44" s="669"/>
      <c r="QEQ44" s="669"/>
      <c r="QER44" s="669"/>
      <c r="QES44" s="669"/>
      <c r="QET44" s="669"/>
      <c r="QEU44" s="669"/>
      <c r="QEV44" s="669"/>
      <c r="QEW44" s="669"/>
      <c r="QEX44" s="669"/>
      <c r="QEY44" s="669"/>
      <c r="QEZ44" s="669"/>
      <c r="QFA44" s="669"/>
      <c r="QFB44" s="669"/>
      <c r="QFC44" s="669"/>
      <c r="QFD44" s="669"/>
      <c r="QFE44" s="669"/>
      <c r="QFF44" s="669"/>
      <c r="QFG44" s="669"/>
      <c r="QFH44" s="669"/>
      <c r="QFI44" s="669"/>
      <c r="QFJ44" s="669"/>
      <c r="QFK44" s="669"/>
      <c r="QFL44" s="669"/>
      <c r="QFM44" s="669"/>
      <c r="QFN44" s="669"/>
      <c r="QFO44" s="669"/>
      <c r="QFP44" s="669"/>
      <c r="QFQ44" s="669"/>
      <c r="QFR44" s="669"/>
      <c r="QFS44" s="669"/>
      <c r="QFT44" s="669"/>
      <c r="QFU44" s="669"/>
      <c r="QFV44" s="669"/>
      <c r="QFW44" s="669"/>
      <c r="QFX44" s="669"/>
      <c r="QFY44" s="669"/>
      <c r="QFZ44" s="669"/>
      <c r="QGA44" s="669"/>
      <c r="QGB44" s="669"/>
      <c r="QGC44" s="669"/>
      <c r="QGD44" s="669"/>
      <c r="QGE44" s="669"/>
      <c r="QGF44" s="669"/>
      <c r="QGG44" s="669"/>
      <c r="QGH44" s="669"/>
      <c r="QGI44" s="669"/>
      <c r="QGJ44" s="669"/>
      <c r="QGK44" s="669"/>
      <c r="QGL44" s="669"/>
      <c r="QGM44" s="669"/>
      <c r="QGN44" s="669"/>
      <c r="QGO44" s="669"/>
      <c r="QGP44" s="669"/>
      <c r="QGQ44" s="669"/>
      <c r="QGR44" s="669"/>
      <c r="QGS44" s="669"/>
      <c r="QGT44" s="669"/>
      <c r="QGU44" s="669"/>
      <c r="QGV44" s="669"/>
      <c r="QGW44" s="669"/>
      <c r="QGX44" s="669"/>
      <c r="QGY44" s="669"/>
      <c r="QGZ44" s="669"/>
      <c r="QHA44" s="669"/>
      <c r="QHB44" s="669"/>
      <c r="QHC44" s="669"/>
      <c r="QHD44" s="669"/>
      <c r="QHE44" s="669"/>
      <c r="QHF44" s="669"/>
      <c r="QHG44" s="669"/>
      <c r="QHH44" s="669"/>
      <c r="QHI44" s="669"/>
      <c r="QHJ44" s="669"/>
      <c r="QHK44" s="669"/>
      <c r="QHL44" s="669"/>
      <c r="QHM44" s="669"/>
      <c r="QHN44" s="669"/>
      <c r="QHO44" s="669"/>
      <c r="QHP44" s="669"/>
      <c r="QHQ44" s="669"/>
      <c r="QHR44" s="669"/>
      <c r="QHS44" s="669"/>
      <c r="QHT44" s="669"/>
      <c r="QHU44" s="669"/>
      <c r="QHV44" s="669"/>
      <c r="QHW44" s="669"/>
      <c r="QHX44" s="669"/>
      <c r="QHY44" s="669"/>
      <c r="QHZ44" s="669"/>
      <c r="QIA44" s="669"/>
      <c r="QIB44" s="669"/>
      <c r="QIC44" s="669"/>
      <c r="QID44" s="669"/>
      <c r="QIE44" s="669"/>
      <c r="QIF44" s="669"/>
      <c r="QIG44" s="669"/>
      <c r="QIH44" s="669"/>
      <c r="QII44" s="669"/>
      <c r="QIJ44" s="669"/>
      <c r="QIK44" s="669"/>
      <c r="QIL44" s="669"/>
      <c r="QIM44" s="669"/>
      <c r="QIN44" s="669"/>
      <c r="QIO44" s="669"/>
      <c r="QIP44" s="669"/>
      <c r="QIQ44" s="669"/>
      <c r="QIR44" s="669"/>
      <c r="QIS44" s="669"/>
      <c r="QIT44" s="669"/>
      <c r="QIU44" s="669"/>
      <c r="QIV44" s="669"/>
      <c r="QIW44" s="669"/>
      <c r="QIX44" s="669"/>
      <c r="QIY44" s="669"/>
      <c r="QIZ44" s="669"/>
      <c r="QJA44" s="669"/>
      <c r="QJB44" s="669"/>
      <c r="QJC44" s="669"/>
      <c r="QJD44" s="669"/>
      <c r="QJE44" s="669"/>
      <c r="QJF44" s="669"/>
      <c r="QJG44" s="669"/>
      <c r="QJH44" s="669"/>
      <c r="QJI44" s="669"/>
      <c r="QJJ44" s="669"/>
      <c r="QJK44" s="669"/>
      <c r="QJL44" s="669"/>
      <c r="QJM44" s="669"/>
      <c r="QJN44" s="669"/>
      <c r="QJO44" s="669"/>
      <c r="QJP44" s="669"/>
      <c r="QJQ44" s="669"/>
      <c r="QJR44" s="669"/>
      <c r="QJS44" s="669"/>
      <c r="QJT44" s="669"/>
      <c r="QJU44" s="669"/>
      <c r="QJV44" s="669"/>
      <c r="QJW44" s="669"/>
      <c r="QJX44" s="669"/>
      <c r="QJY44" s="669"/>
      <c r="QJZ44" s="669"/>
      <c r="QKA44" s="669"/>
      <c r="QKB44" s="669"/>
      <c r="QKC44" s="669"/>
      <c r="QKD44" s="669"/>
      <c r="QKE44" s="669"/>
      <c r="QKF44" s="669"/>
      <c r="QKG44" s="669"/>
      <c r="QKH44" s="669"/>
      <c r="QKI44" s="669"/>
      <c r="QKJ44" s="669"/>
      <c r="QKK44" s="669"/>
      <c r="QKL44" s="669"/>
      <c r="QKM44" s="669"/>
      <c r="QKN44" s="669"/>
      <c r="QKO44" s="669"/>
      <c r="QKP44" s="669"/>
      <c r="QKQ44" s="669"/>
      <c r="QKR44" s="669"/>
      <c r="QKS44" s="669"/>
      <c r="QKT44" s="669"/>
      <c r="QKU44" s="669"/>
      <c r="QKV44" s="669"/>
      <c r="QKW44" s="669"/>
      <c r="QKX44" s="669"/>
      <c r="QKY44" s="669"/>
      <c r="QKZ44" s="669"/>
      <c r="QLA44" s="669"/>
      <c r="QLB44" s="669"/>
      <c r="QLC44" s="669"/>
      <c r="QLD44" s="669"/>
      <c r="QLE44" s="669"/>
      <c r="QLF44" s="669"/>
      <c r="QLG44" s="669"/>
      <c r="QLH44" s="669"/>
      <c r="QLI44" s="669"/>
      <c r="QLJ44" s="669"/>
      <c r="QLK44" s="669"/>
      <c r="QLL44" s="669"/>
      <c r="QLM44" s="669"/>
      <c r="QLN44" s="669"/>
      <c r="QLO44" s="669"/>
      <c r="QLP44" s="669"/>
      <c r="QLQ44" s="669"/>
      <c r="QLR44" s="669"/>
      <c r="QLS44" s="669"/>
      <c r="QLT44" s="669"/>
      <c r="QLU44" s="669"/>
      <c r="QLV44" s="669"/>
      <c r="QLW44" s="669"/>
      <c r="QLX44" s="669"/>
      <c r="QLY44" s="669"/>
      <c r="QLZ44" s="669"/>
      <c r="QMA44" s="669"/>
      <c r="QMB44" s="669"/>
      <c r="QMC44" s="669"/>
      <c r="QMD44" s="669"/>
      <c r="QME44" s="669"/>
      <c r="QMF44" s="669"/>
      <c r="QMG44" s="669"/>
      <c r="QMH44" s="669"/>
      <c r="QMI44" s="669"/>
      <c r="QMJ44" s="669"/>
      <c r="QMK44" s="669"/>
      <c r="QML44" s="669"/>
      <c r="QMM44" s="669"/>
      <c r="QMN44" s="669"/>
      <c r="QMO44" s="669"/>
      <c r="QMP44" s="669"/>
      <c r="QMQ44" s="669"/>
      <c r="QMR44" s="669"/>
      <c r="QMS44" s="669"/>
      <c r="QMT44" s="669"/>
      <c r="QMU44" s="669"/>
      <c r="QMV44" s="669"/>
      <c r="QMW44" s="669"/>
      <c r="QMX44" s="669"/>
      <c r="QMY44" s="669"/>
      <c r="QMZ44" s="669"/>
      <c r="QNA44" s="669"/>
      <c r="QNB44" s="669"/>
      <c r="QNC44" s="669"/>
      <c r="QND44" s="669"/>
      <c r="QNE44" s="669"/>
      <c r="QNF44" s="669"/>
      <c r="QNG44" s="669"/>
      <c r="QNH44" s="669"/>
      <c r="QNI44" s="669"/>
      <c r="QNJ44" s="669"/>
      <c r="QNK44" s="669"/>
      <c r="QNL44" s="669"/>
      <c r="QNM44" s="669"/>
      <c r="QNN44" s="669"/>
      <c r="QNO44" s="669"/>
      <c r="QNP44" s="669"/>
      <c r="QNQ44" s="669"/>
      <c r="QNR44" s="669"/>
      <c r="QNS44" s="669"/>
      <c r="QNT44" s="669"/>
      <c r="QNU44" s="669"/>
      <c r="QNV44" s="669"/>
      <c r="QNW44" s="669"/>
      <c r="QNX44" s="669"/>
      <c r="QNY44" s="669"/>
      <c r="QNZ44" s="669"/>
      <c r="QOA44" s="669"/>
      <c r="QOB44" s="669"/>
      <c r="QOC44" s="669"/>
      <c r="QOD44" s="669"/>
      <c r="QOE44" s="669"/>
      <c r="QOF44" s="669"/>
      <c r="QOG44" s="669"/>
      <c r="QOH44" s="669"/>
      <c r="QOI44" s="669"/>
      <c r="QOJ44" s="669"/>
      <c r="QOK44" s="669"/>
      <c r="QOL44" s="669"/>
      <c r="QOM44" s="669"/>
      <c r="QON44" s="669"/>
      <c r="QOO44" s="669"/>
      <c r="QOP44" s="669"/>
      <c r="QOQ44" s="669"/>
      <c r="QOR44" s="669"/>
      <c r="QOS44" s="669"/>
      <c r="QOT44" s="669"/>
      <c r="QOU44" s="669"/>
      <c r="QOV44" s="669"/>
      <c r="QOW44" s="669"/>
      <c r="QOX44" s="669"/>
      <c r="QOY44" s="669"/>
      <c r="QOZ44" s="669"/>
      <c r="QPA44" s="669"/>
      <c r="QPB44" s="669"/>
      <c r="QPC44" s="669"/>
      <c r="QPD44" s="669"/>
      <c r="QPE44" s="669"/>
      <c r="QPF44" s="669"/>
      <c r="QPG44" s="669"/>
      <c r="QPH44" s="669"/>
      <c r="QPI44" s="669"/>
      <c r="QPJ44" s="669"/>
      <c r="QPK44" s="669"/>
      <c r="QPL44" s="669"/>
      <c r="QPM44" s="669"/>
      <c r="QPN44" s="669"/>
      <c r="QPO44" s="669"/>
      <c r="QPP44" s="669"/>
      <c r="QPQ44" s="669"/>
      <c r="QPR44" s="669"/>
      <c r="QPS44" s="669"/>
      <c r="QPT44" s="669"/>
      <c r="QPU44" s="669"/>
      <c r="QPV44" s="669"/>
      <c r="QPW44" s="669"/>
      <c r="QPX44" s="669"/>
      <c r="QPY44" s="669"/>
      <c r="QPZ44" s="669"/>
      <c r="QQA44" s="669"/>
      <c r="QQB44" s="669"/>
      <c r="QQC44" s="669"/>
      <c r="QQD44" s="669"/>
      <c r="QQE44" s="669"/>
      <c r="QQF44" s="669"/>
      <c r="QQG44" s="669"/>
      <c r="QQH44" s="669"/>
      <c r="QQI44" s="669"/>
      <c r="QQJ44" s="669"/>
      <c r="QQK44" s="669"/>
      <c r="QQL44" s="669"/>
      <c r="QQM44" s="669"/>
      <c r="QQN44" s="669"/>
      <c r="QQO44" s="669"/>
      <c r="QQP44" s="669"/>
      <c r="QQQ44" s="669"/>
      <c r="QQR44" s="669"/>
      <c r="QQS44" s="669"/>
      <c r="QQT44" s="669"/>
      <c r="QQU44" s="669"/>
      <c r="QQV44" s="669"/>
      <c r="QQW44" s="669"/>
      <c r="QQX44" s="669"/>
      <c r="QQY44" s="669"/>
      <c r="QQZ44" s="669"/>
      <c r="QRA44" s="669"/>
      <c r="QRB44" s="669"/>
      <c r="QRC44" s="669"/>
      <c r="QRD44" s="669"/>
      <c r="QRE44" s="669"/>
      <c r="QRF44" s="669"/>
      <c r="QRG44" s="669"/>
      <c r="QRH44" s="669"/>
      <c r="QRI44" s="669"/>
      <c r="QRJ44" s="669"/>
      <c r="QRK44" s="669"/>
      <c r="QRL44" s="669"/>
      <c r="QRM44" s="669"/>
      <c r="QRN44" s="669"/>
      <c r="QRO44" s="669"/>
      <c r="QRP44" s="669"/>
      <c r="QRQ44" s="669"/>
      <c r="QRR44" s="669"/>
      <c r="QRS44" s="669"/>
      <c r="QRT44" s="669"/>
      <c r="QRU44" s="669"/>
      <c r="QRV44" s="669"/>
      <c r="QRW44" s="669"/>
      <c r="QRX44" s="669"/>
      <c r="QRY44" s="669"/>
      <c r="QRZ44" s="669"/>
      <c r="QSA44" s="669"/>
      <c r="QSB44" s="669"/>
      <c r="QSC44" s="669"/>
      <c r="QSD44" s="669"/>
      <c r="QSE44" s="669"/>
      <c r="QSF44" s="669"/>
      <c r="QSG44" s="669"/>
      <c r="QSH44" s="669"/>
      <c r="QSI44" s="669"/>
      <c r="QSJ44" s="669"/>
      <c r="QSK44" s="669"/>
      <c r="QSL44" s="669"/>
      <c r="QSM44" s="669"/>
      <c r="QSN44" s="669"/>
      <c r="QSO44" s="669"/>
      <c r="QSP44" s="669"/>
      <c r="QSQ44" s="669"/>
      <c r="QSR44" s="669"/>
      <c r="QSS44" s="669"/>
      <c r="QST44" s="669"/>
      <c r="QSU44" s="669"/>
      <c r="QSV44" s="669"/>
      <c r="QSW44" s="669"/>
      <c r="QSX44" s="669"/>
      <c r="QSY44" s="669"/>
      <c r="QSZ44" s="669"/>
      <c r="QTA44" s="669"/>
      <c r="QTB44" s="669"/>
      <c r="QTC44" s="669"/>
      <c r="QTD44" s="669"/>
      <c r="QTE44" s="669"/>
      <c r="QTF44" s="669"/>
      <c r="QTG44" s="669"/>
      <c r="QTH44" s="669"/>
      <c r="QTI44" s="669"/>
      <c r="QTJ44" s="669"/>
      <c r="QTK44" s="669"/>
      <c r="QTL44" s="669"/>
      <c r="QTM44" s="669"/>
      <c r="QTN44" s="669"/>
      <c r="QTO44" s="669"/>
      <c r="QTP44" s="669"/>
      <c r="QTQ44" s="669"/>
      <c r="QTR44" s="669"/>
      <c r="QTS44" s="669"/>
      <c r="QTT44" s="669"/>
      <c r="QTU44" s="669"/>
      <c r="QTV44" s="669"/>
      <c r="QTW44" s="669"/>
      <c r="QTX44" s="669"/>
      <c r="QTY44" s="669"/>
      <c r="QTZ44" s="669"/>
      <c r="QUA44" s="669"/>
      <c r="QUB44" s="669"/>
      <c r="QUC44" s="669"/>
      <c r="QUD44" s="669"/>
      <c r="QUE44" s="669"/>
      <c r="QUF44" s="669"/>
      <c r="QUG44" s="669"/>
      <c r="QUH44" s="669"/>
      <c r="QUI44" s="669"/>
      <c r="QUJ44" s="669"/>
      <c r="QUK44" s="669"/>
      <c r="QUL44" s="669"/>
      <c r="QUM44" s="669"/>
      <c r="QUN44" s="669"/>
      <c r="QUO44" s="669"/>
      <c r="QUP44" s="669"/>
      <c r="QUQ44" s="669"/>
      <c r="QUR44" s="669"/>
      <c r="QUS44" s="669"/>
      <c r="QUT44" s="669"/>
      <c r="QUU44" s="669"/>
      <c r="QUV44" s="669"/>
      <c r="QUW44" s="669"/>
      <c r="QUX44" s="669"/>
      <c r="QUY44" s="669"/>
      <c r="QUZ44" s="669"/>
      <c r="QVA44" s="669"/>
      <c r="QVB44" s="669"/>
      <c r="QVC44" s="669"/>
      <c r="QVD44" s="669"/>
      <c r="QVE44" s="669"/>
      <c r="QVF44" s="669"/>
      <c r="QVG44" s="669"/>
      <c r="QVH44" s="669"/>
      <c r="QVI44" s="669"/>
      <c r="QVJ44" s="669"/>
      <c r="QVK44" s="669"/>
      <c r="QVL44" s="669"/>
      <c r="QVM44" s="669"/>
      <c r="QVN44" s="669"/>
      <c r="QVO44" s="669"/>
      <c r="QVP44" s="669"/>
      <c r="QVQ44" s="669"/>
      <c r="QVR44" s="669"/>
      <c r="QVS44" s="669"/>
      <c r="QVT44" s="669"/>
      <c r="QVU44" s="669"/>
      <c r="QVV44" s="669"/>
      <c r="QVW44" s="669"/>
      <c r="QVX44" s="669"/>
      <c r="QVY44" s="669"/>
      <c r="QVZ44" s="669"/>
      <c r="QWA44" s="669"/>
      <c r="QWB44" s="669"/>
      <c r="QWC44" s="669"/>
      <c r="QWD44" s="669"/>
      <c r="QWE44" s="669"/>
      <c r="QWF44" s="669"/>
      <c r="QWG44" s="669"/>
      <c r="QWH44" s="669"/>
      <c r="QWI44" s="669"/>
      <c r="QWJ44" s="669"/>
      <c r="QWK44" s="669"/>
      <c r="QWL44" s="669"/>
      <c r="QWM44" s="669"/>
      <c r="QWN44" s="669"/>
      <c r="QWO44" s="669"/>
      <c r="QWP44" s="669"/>
      <c r="QWQ44" s="669"/>
      <c r="QWR44" s="669"/>
      <c r="QWS44" s="669"/>
      <c r="QWT44" s="669"/>
      <c r="QWU44" s="669"/>
      <c r="QWV44" s="669"/>
      <c r="QWW44" s="669"/>
      <c r="QWX44" s="669"/>
      <c r="QWY44" s="669"/>
      <c r="QWZ44" s="669"/>
      <c r="QXA44" s="669"/>
      <c r="QXB44" s="669"/>
      <c r="QXC44" s="669"/>
      <c r="QXD44" s="669"/>
      <c r="QXE44" s="669"/>
      <c r="QXF44" s="669"/>
      <c r="QXG44" s="669"/>
      <c r="QXH44" s="669"/>
      <c r="QXI44" s="669"/>
      <c r="QXJ44" s="669"/>
      <c r="QXK44" s="669"/>
      <c r="QXL44" s="669"/>
      <c r="QXM44" s="669"/>
      <c r="QXN44" s="669"/>
      <c r="QXO44" s="669"/>
      <c r="QXP44" s="669"/>
      <c r="QXQ44" s="669"/>
      <c r="QXR44" s="669"/>
      <c r="QXS44" s="669"/>
      <c r="QXT44" s="669"/>
      <c r="QXU44" s="669"/>
      <c r="QXV44" s="669"/>
      <c r="QXW44" s="669"/>
      <c r="QXX44" s="669"/>
      <c r="QXY44" s="669"/>
      <c r="QXZ44" s="669"/>
      <c r="QYA44" s="669"/>
      <c r="QYB44" s="669"/>
      <c r="QYC44" s="669"/>
      <c r="QYD44" s="669"/>
      <c r="QYE44" s="669"/>
      <c r="QYF44" s="669"/>
      <c r="QYG44" s="669"/>
      <c r="QYH44" s="669"/>
      <c r="QYI44" s="669"/>
      <c r="QYJ44" s="669"/>
      <c r="QYK44" s="669"/>
      <c r="QYL44" s="669"/>
      <c r="QYM44" s="669"/>
      <c r="QYN44" s="669"/>
      <c r="QYO44" s="669"/>
      <c r="QYP44" s="669"/>
      <c r="QYQ44" s="669"/>
      <c r="QYR44" s="669"/>
      <c r="QYS44" s="669"/>
      <c r="QYT44" s="669"/>
      <c r="QYU44" s="669"/>
      <c r="QYV44" s="669"/>
      <c r="QYW44" s="669"/>
      <c r="QYX44" s="669"/>
      <c r="QYY44" s="669"/>
      <c r="QYZ44" s="669"/>
      <c r="QZA44" s="669"/>
      <c r="QZB44" s="669"/>
      <c r="QZC44" s="669"/>
      <c r="QZD44" s="669"/>
      <c r="QZE44" s="669"/>
      <c r="QZF44" s="669"/>
      <c r="QZG44" s="669"/>
      <c r="QZH44" s="669"/>
      <c r="QZI44" s="669"/>
      <c r="QZJ44" s="669"/>
      <c r="QZK44" s="669"/>
      <c r="QZL44" s="669"/>
      <c r="QZM44" s="669"/>
      <c r="QZN44" s="669"/>
      <c r="QZO44" s="669"/>
      <c r="QZP44" s="669"/>
      <c r="QZQ44" s="669"/>
      <c r="QZR44" s="669"/>
      <c r="QZS44" s="669"/>
      <c r="QZT44" s="669"/>
      <c r="QZU44" s="669"/>
      <c r="QZV44" s="669"/>
      <c r="QZW44" s="669"/>
      <c r="QZX44" s="669"/>
      <c r="QZY44" s="669"/>
      <c r="QZZ44" s="669"/>
      <c r="RAA44" s="669"/>
      <c r="RAB44" s="669"/>
      <c r="RAC44" s="669"/>
      <c r="RAD44" s="669"/>
      <c r="RAE44" s="669"/>
      <c r="RAF44" s="669"/>
      <c r="RAG44" s="669"/>
      <c r="RAH44" s="669"/>
      <c r="RAI44" s="669"/>
      <c r="RAJ44" s="669"/>
      <c r="RAK44" s="669"/>
      <c r="RAL44" s="669"/>
      <c r="RAM44" s="669"/>
      <c r="RAN44" s="669"/>
      <c r="RAO44" s="669"/>
      <c r="RAP44" s="669"/>
      <c r="RAQ44" s="669"/>
      <c r="RAR44" s="669"/>
      <c r="RAS44" s="669"/>
      <c r="RAT44" s="669"/>
      <c r="RAU44" s="669"/>
      <c r="RAV44" s="669"/>
      <c r="RAW44" s="669"/>
      <c r="RAX44" s="669"/>
      <c r="RAY44" s="669"/>
      <c r="RAZ44" s="669"/>
      <c r="RBA44" s="669"/>
      <c r="RBB44" s="669"/>
      <c r="RBC44" s="669"/>
      <c r="RBD44" s="669"/>
      <c r="RBE44" s="669"/>
      <c r="RBF44" s="669"/>
      <c r="RBG44" s="669"/>
      <c r="RBH44" s="669"/>
      <c r="RBI44" s="669"/>
      <c r="RBJ44" s="669"/>
      <c r="RBK44" s="669"/>
      <c r="RBL44" s="669"/>
      <c r="RBM44" s="669"/>
      <c r="RBN44" s="669"/>
      <c r="RBO44" s="669"/>
      <c r="RBP44" s="669"/>
      <c r="RBQ44" s="669"/>
      <c r="RBR44" s="669"/>
      <c r="RBS44" s="669"/>
      <c r="RBT44" s="669"/>
      <c r="RBU44" s="669"/>
      <c r="RBV44" s="669"/>
      <c r="RBW44" s="669"/>
      <c r="RBX44" s="669"/>
      <c r="RBY44" s="669"/>
      <c r="RBZ44" s="669"/>
      <c r="RCA44" s="669"/>
      <c r="RCB44" s="669"/>
      <c r="RCC44" s="669"/>
      <c r="RCD44" s="669"/>
      <c r="RCE44" s="669"/>
      <c r="RCF44" s="669"/>
      <c r="RCG44" s="669"/>
      <c r="RCH44" s="669"/>
      <c r="RCI44" s="669"/>
      <c r="RCJ44" s="669"/>
      <c r="RCK44" s="669"/>
      <c r="RCL44" s="669"/>
      <c r="RCM44" s="669"/>
      <c r="RCN44" s="669"/>
      <c r="RCO44" s="669"/>
      <c r="RCP44" s="669"/>
      <c r="RCQ44" s="669"/>
      <c r="RCR44" s="669"/>
      <c r="RCS44" s="669"/>
      <c r="RCT44" s="669"/>
      <c r="RCU44" s="669"/>
      <c r="RCV44" s="669"/>
      <c r="RCW44" s="669"/>
      <c r="RCX44" s="669"/>
      <c r="RCY44" s="669"/>
      <c r="RCZ44" s="669"/>
      <c r="RDA44" s="669"/>
      <c r="RDB44" s="669"/>
      <c r="RDC44" s="669"/>
      <c r="RDD44" s="669"/>
      <c r="RDE44" s="669"/>
      <c r="RDF44" s="669"/>
      <c r="RDG44" s="669"/>
      <c r="RDH44" s="669"/>
      <c r="RDI44" s="669"/>
      <c r="RDJ44" s="669"/>
      <c r="RDK44" s="669"/>
      <c r="RDL44" s="669"/>
      <c r="RDM44" s="669"/>
      <c r="RDN44" s="669"/>
      <c r="RDO44" s="669"/>
      <c r="RDP44" s="669"/>
      <c r="RDQ44" s="669"/>
      <c r="RDR44" s="669"/>
      <c r="RDS44" s="669"/>
      <c r="RDT44" s="669"/>
      <c r="RDU44" s="669"/>
      <c r="RDV44" s="669"/>
      <c r="RDW44" s="669"/>
      <c r="RDX44" s="669"/>
      <c r="RDY44" s="669"/>
      <c r="RDZ44" s="669"/>
      <c r="REA44" s="669"/>
      <c r="REB44" s="669"/>
      <c r="REC44" s="669"/>
      <c r="RED44" s="669"/>
      <c r="REE44" s="669"/>
      <c r="REF44" s="669"/>
      <c r="REG44" s="669"/>
      <c r="REH44" s="669"/>
      <c r="REI44" s="669"/>
      <c r="REJ44" s="669"/>
      <c r="REK44" s="669"/>
      <c r="REL44" s="669"/>
      <c r="REM44" s="669"/>
      <c r="REN44" s="669"/>
      <c r="REO44" s="669"/>
      <c r="REP44" s="669"/>
      <c r="REQ44" s="669"/>
      <c r="RER44" s="669"/>
      <c r="RES44" s="669"/>
      <c r="RET44" s="669"/>
      <c r="REU44" s="669"/>
      <c r="REV44" s="669"/>
      <c r="REW44" s="669"/>
      <c r="REX44" s="669"/>
      <c r="REY44" s="669"/>
      <c r="REZ44" s="669"/>
      <c r="RFA44" s="669"/>
      <c r="RFB44" s="669"/>
      <c r="RFC44" s="669"/>
      <c r="RFD44" s="669"/>
      <c r="RFE44" s="669"/>
      <c r="RFF44" s="669"/>
      <c r="RFG44" s="669"/>
      <c r="RFH44" s="669"/>
      <c r="RFI44" s="669"/>
      <c r="RFJ44" s="669"/>
      <c r="RFK44" s="669"/>
      <c r="RFL44" s="669"/>
      <c r="RFM44" s="669"/>
      <c r="RFN44" s="669"/>
      <c r="RFO44" s="669"/>
      <c r="RFP44" s="669"/>
      <c r="RFQ44" s="669"/>
      <c r="RFR44" s="669"/>
      <c r="RFS44" s="669"/>
      <c r="RFT44" s="669"/>
      <c r="RFU44" s="669"/>
      <c r="RFV44" s="669"/>
      <c r="RFW44" s="669"/>
      <c r="RFX44" s="669"/>
      <c r="RFY44" s="669"/>
      <c r="RFZ44" s="669"/>
      <c r="RGA44" s="669"/>
      <c r="RGB44" s="669"/>
      <c r="RGC44" s="669"/>
      <c r="RGD44" s="669"/>
      <c r="RGE44" s="669"/>
      <c r="RGF44" s="669"/>
      <c r="RGG44" s="669"/>
      <c r="RGH44" s="669"/>
      <c r="RGI44" s="669"/>
      <c r="RGJ44" s="669"/>
      <c r="RGK44" s="669"/>
      <c r="RGL44" s="669"/>
      <c r="RGM44" s="669"/>
      <c r="RGN44" s="669"/>
      <c r="RGO44" s="669"/>
      <c r="RGP44" s="669"/>
      <c r="RGQ44" s="669"/>
      <c r="RGR44" s="669"/>
      <c r="RGS44" s="669"/>
      <c r="RGT44" s="669"/>
      <c r="RGU44" s="669"/>
      <c r="RGV44" s="669"/>
      <c r="RGW44" s="669"/>
      <c r="RGX44" s="669"/>
      <c r="RGY44" s="669"/>
      <c r="RGZ44" s="669"/>
      <c r="RHA44" s="669"/>
      <c r="RHB44" s="669"/>
      <c r="RHC44" s="669"/>
      <c r="RHD44" s="669"/>
      <c r="RHE44" s="669"/>
      <c r="RHF44" s="669"/>
      <c r="RHG44" s="669"/>
      <c r="RHH44" s="669"/>
      <c r="RHI44" s="669"/>
      <c r="RHJ44" s="669"/>
      <c r="RHK44" s="669"/>
      <c r="RHL44" s="669"/>
      <c r="RHM44" s="669"/>
      <c r="RHN44" s="669"/>
      <c r="RHO44" s="669"/>
      <c r="RHP44" s="669"/>
      <c r="RHQ44" s="669"/>
      <c r="RHR44" s="669"/>
      <c r="RHS44" s="669"/>
      <c r="RHT44" s="669"/>
      <c r="RHU44" s="669"/>
      <c r="RHV44" s="669"/>
      <c r="RHW44" s="669"/>
      <c r="RHX44" s="669"/>
      <c r="RHY44" s="669"/>
      <c r="RHZ44" s="669"/>
      <c r="RIA44" s="669"/>
      <c r="RIB44" s="669"/>
      <c r="RIC44" s="669"/>
      <c r="RID44" s="669"/>
      <c r="RIE44" s="669"/>
      <c r="RIF44" s="669"/>
      <c r="RIG44" s="669"/>
      <c r="RIH44" s="669"/>
      <c r="RII44" s="669"/>
      <c r="RIJ44" s="669"/>
      <c r="RIK44" s="669"/>
      <c r="RIL44" s="669"/>
      <c r="RIM44" s="669"/>
      <c r="RIN44" s="669"/>
      <c r="RIO44" s="669"/>
      <c r="RIP44" s="669"/>
      <c r="RIQ44" s="669"/>
      <c r="RIR44" s="669"/>
      <c r="RIS44" s="669"/>
      <c r="RIT44" s="669"/>
      <c r="RIU44" s="669"/>
      <c r="RIV44" s="669"/>
      <c r="RIW44" s="669"/>
      <c r="RIX44" s="669"/>
      <c r="RIY44" s="669"/>
      <c r="RIZ44" s="669"/>
      <c r="RJA44" s="669"/>
      <c r="RJB44" s="669"/>
      <c r="RJC44" s="669"/>
      <c r="RJD44" s="669"/>
      <c r="RJE44" s="669"/>
      <c r="RJF44" s="669"/>
      <c r="RJG44" s="669"/>
      <c r="RJH44" s="669"/>
      <c r="RJI44" s="669"/>
      <c r="RJJ44" s="669"/>
      <c r="RJK44" s="669"/>
      <c r="RJL44" s="669"/>
      <c r="RJM44" s="669"/>
      <c r="RJN44" s="669"/>
      <c r="RJO44" s="669"/>
      <c r="RJP44" s="669"/>
      <c r="RJQ44" s="669"/>
      <c r="RJR44" s="669"/>
      <c r="RJS44" s="669"/>
      <c r="RJT44" s="669"/>
      <c r="RJU44" s="669"/>
      <c r="RJV44" s="669"/>
      <c r="RJW44" s="669"/>
      <c r="RJX44" s="669"/>
      <c r="RJY44" s="669"/>
      <c r="RJZ44" s="669"/>
      <c r="RKA44" s="669"/>
      <c r="RKB44" s="669"/>
      <c r="RKC44" s="669"/>
      <c r="RKD44" s="669"/>
      <c r="RKE44" s="669"/>
      <c r="RKF44" s="669"/>
      <c r="RKG44" s="669"/>
      <c r="RKH44" s="669"/>
      <c r="RKI44" s="669"/>
      <c r="RKJ44" s="669"/>
      <c r="RKK44" s="669"/>
      <c r="RKL44" s="669"/>
      <c r="RKM44" s="669"/>
      <c r="RKN44" s="669"/>
      <c r="RKO44" s="669"/>
      <c r="RKP44" s="669"/>
      <c r="RKQ44" s="669"/>
      <c r="RKR44" s="669"/>
      <c r="RKS44" s="669"/>
      <c r="RKT44" s="669"/>
      <c r="RKU44" s="669"/>
      <c r="RKV44" s="669"/>
      <c r="RKW44" s="669"/>
      <c r="RKX44" s="669"/>
      <c r="RKY44" s="669"/>
      <c r="RKZ44" s="669"/>
      <c r="RLA44" s="669"/>
      <c r="RLB44" s="669"/>
      <c r="RLC44" s="669"/>
      <c r="RLD44" s="669"/>
      <c r="RLE44" s="669"/>
      <c r="RLF44" s="669"/>
      <c r="RLG44" s="669"/>
      <c r="RLH44" s="669"/>
      <c r="RLI44" s="669"/>
      <c r="RLJ44" s="669"/>
      <c r="RLK44" s="669"/>
      <c r="RLL44" s="669"/>
      <c r="RLM44" s="669"/>
      <c r="RLN44" s="669"/>
      <c r="RLO44" s="669"/>
      <c r="RLP44" s="669"/>
      <c r="RLQ44" s="669"/>
      <c r="RLR44" s="669"/>
      <c r="RLS44" s="669"/>
      <c r="RLT44" s="669"/>
      <c r="RLU44" s="669"/>
      <c r="RLV44" s="669"/>
      <c r="RLW44" s="669"/>
      <c r="RLX44" s="669"/>
      <c r="RLY44" s="669"/>
      <c r="RLZ44" s="669"/>
      <c r="RMA44" s="669"/>
      <c r="RMB44" s="669"/>
      <c r="RMC44" s="669"/>
      <c r="RMD44" s="669"/>
      <c r="RME44" s="669"/>
      <c r="RMF44" s="669"/>
      <c r="RMG44" s="669"/>
      <c r="RMH44" s="669"/>
      <c r="RMI44" s="669"/>
      <c r="RMJ44" s="669"/>
      <c r="RMK44" s="669"/>
      <c r="RML44" s="669"/>
      <c r="RMM44" s="669"/>
      <c r="RMN44" s="669"/>
      <c r="RMO44" s="669"/>
      <c r="RMP44" s="669"/>
      <c r="RMQ44" s="669"/>
      <c r="RMR44" s="669"/>
      <c r="RMS44" s="669"/>
      <c r="RMT44" s="669"/>
      <c r="RMU44" s="669"/>
      <c r="RMV44" s="669"/>
      <c r="RMW44" s="669"/>
      <c r="RMX44" s="669"/>
      <c r="RMY44" s="669"/>
      <c r="RMZ44" s="669"/>
      <c r="RNA44" s="669"/>
      <c r="RNB44" s="669"/>
      <c r="RNC44" s="669"/>
      <c r="RND44" s="669"/>
      <c r="RNE44" s="669"/>
      <c r="RNF44" s="669"/>
      <c r="RNG44" s="669"/>
      <c r="RNH44" s="669"/>
      <c r="RNI44" s="669"/>
      <c r="RNJ44" s="669"/>
      <c r="RNK44" s="669"/>
      <c r="RNL44" s="669"/>
      <c r="RNM44" s="669"/>
      <c r="RNN44" s="669"/>
      <c r="RNO44" s="669"/>
      <c r="RNP44" s="669"/>
      <c r="RNQ44" s="669"/>
      <c r="RNR44" s="669"/>
      <c r="RNS44" s="669"/>
      <c r="RNT44" s="669"/>
      <c r="RNU44" s="669"/>
      <c r="RNV44" s="669"/>
      <c r="RNW44" s="669"/>
      <c r="RNX44" s="669"/>
      <c r="RNY44" s="669"/>
      <c r="RNZ44" s="669"/>
      <c r="ROA44" s="669"/>
      <c r="ROB44" s="669"/>
      <c r="ROC44" s="669"/>
      <c r="ROD44" s="669"/>
      <c r="ROE44" s="669"/>
      <c r="ROF44" s="669"/>
      <c r="ROG44" s="669"/>
      <c r="ROH44" s="669"/>
      <c r="ROI44" s="669"/>
      <c r="ROJ44" s="669"/>
      <c r="ROK44" s="669"/>
      <c r="ROL44" s="669"/>
      <c r="ROM44" s="669"/>
      <c r="RON44" s="669"/>
      <c r="ROO44" s="669"/>
      <c r="ROP44" s="669"/>
      <c r="ROQ44" s="669"/>
      <c r="ROR44" s="669"/>
      <c r="ROS44" s="669"/>
      <c r="ROT44" s="669"/>
      <c r="ROU44" s="669"/>
      <c r="ROV44" s="669"/>
      <c r="ROW44" s="669"/>
      <c r="ROX44" s="669"/>
      <c r="ROY44" s="669"/>
      <c r="ROZ44" s="669"/>
      <c r="RPA44" s="669"/>
      <c r="RPB44" s="669"/>
      <c r="RPC44" s="669"/>
      <c r="RPD44" s="669"/>
      <c r="RPE44" s="669"/>
      <c r="RPF44" s="669"/>
      <c r="RPG44" s="669"/>
      <c r="RPH44" s="669"/>
      <c r="RPI44" s="669"/>
      <c r="RPJ44" s="669"/>
      <c r="RPK44" s="669"/>
      <c r="RPL44" s="669"/>
      <c r="RPM44" s="669"/>
      <c r="RPN44" s="669"/>
      <c r="RPO44" s="669"/>
      <c r="RPP44" s="669"/>
      <c r="RPQ44" s="669"/>
      <c r="RPR44" s="669"/>
      <c r="RPS44" s="669"/>
      <c r="RPT44" s="669"/>
      <c r="RPU44" s="669"/>
      <c r="RPV44" s="669"/>
      <c r="RPW44" s="669"/>
      <c r="RPX44" s="669"/>
      <c r="RPY44" s="669"/>
      <c r="RPZ44" s="669"/>
      <c r="RQA44" s="669"/>
      <c r="RQB44" s="669"/>
      <c r="RQC44" s="669"/>
      <c r="RQD44" s="669"/>
      <c r="RQE44" s="669"/>
      <c r="RQF44" s="669"/>
      <c r="RQG44" s="669"/>
      <c r="RQH44" s="669"/>
      <c r="RQI44" s="669"/>
      <c r="RQJ44" s="669"/>
      <c r="RQK44" s="669"/>
      <c r="RQL44" s="669"/>
      <c r="RQM44" s="669"/>
      <c r="RQN44" s="669"/>
      <c r="RQO44" s="669"/>
      <c r="RQP44" s="669"/>
      <c r="RQQ44" s="669"/>
      <c r="RQR44" s="669"/>
      <c r="RQS44" s="669"/>
      <c r="RQT44" s="669"/>
      <c r="RQU44" s="669"/>
      <c r="RQV44" s="669"/>
      <c r="RQW44" s="669"/>
      <c r="RQX44" s="669"/>
      <c r="RQY44" s="669"/>
      <c r="RQZ44" s="669"/>
      <c r="RRA44" s="669"/>
      <c r="RRB44" s="669"/>
      <c r="RRC44" s="669"/>
      <c r="RRD44" s="669"/>
      <c r="RRE44" s="669"/>
      <c r="RRF44" s="669"/>
      <c r="RRG44" s="669"/>
      <c r="RRH44" s="669"/>
      <c r="RRI44" s="669"/>
      <c r="RRJ44" s="669"/>
      <c r="RRK44" s="669"/>
      <c r="RRL44" s="669"/>
      <c r="RRM44" s="669"/>
      <c r="RRN44" s="669"/>
      <c r="RRO44" s="669"/>
      <c r="RRP44" s="669"/>
      <c r="RRQ44" s="669"/>
      <c r="RRR44" s="669"/>
      <c r="RRS44" s="669"/>
      <c r="RRT44" s="669"/>
      <c r="RRU44" s="669"/>
      <c r="RRV44" s="669"/>
      <c r="RRW44" s="669"/>
      <c r="RRX44" s="669"/>
      <c r="RRY44" s="669"/>
      <c r="RRZ44" s="669"/>
      <c r="RSA44" s="669"/>
      <c r="RSB44" s="669"/>
      <c r="RSC44" s="669"/>
      <c r="RSD44" s="669"/>
      <c r="RSE44" s="669"/>
      <c r="RSF44" s="669"/>
      <c r="RSG44" s="669"/>
      <c r="RSH44" s="669"/>
      <c r="RSI44" s="669"/>
      <c r="RSJ44" s="669"/>
      <c r="RSK44" s="669"/>
      <c r="RSL44" s="669"/>
      <c r="RSM44" s="669"/>
      <c r="RSN44" s="669"/>
      <c r="RSO44" s="669"/>
      <c r="RSP44" s="669"/>
      <c r="RSQ44" s="669"/>
      <c r="RSR44" s="669"/>
      <c r="RSS44" s="669"/>
      <c r="RST44" s="669"/>
      <c r="RSU44" s="669"/>
      <c r="RSV44" s="669"/>
      <c r="RSW44" s="669"/>
      <c r="RSX44" s="669"/>
      <c r="RSY44" s="669"/>
      <c r="RSZ44" s="669"/>
      <c r="RTA44" s="669"/>
      <c r="RTB44" s="669"/>
      <c r="RTC44" s="669"/>
      <c r="RTD44" s="669"/>
      <c r="RTE44" s="669"/>
      <c r="RTF44" s="669"/>
      <c r="RTG44" s="669"/>
      <c r="RTH44" s="669"/>
      <c r="RTI44" s="669"/>
      <c r="RTJ44" s="669"/>
      <c r="RTK44" s="669"/>
      <c r="RTL44" s="669"/>
      <c r="RTM44" s="669"/>
      <c r="RTN44" s="669"/>
      <c r="RTO44" s="669"/>
      <c r="RTP44" s="669"/>
      <c r="RTQ44" s="669"/>
      <c r="RTR44" s="669"/>
      <c r="RTS44" s="669"/>
      <c r="RTT44" s="669"/>
      <c r="RTU44" s="669"/>
      <c r="RTV44" s="669"/>
      <c r="RTW44" s="669"/>
      <c r="RTX44" s="669"/>
      <c r="RTY44" s="669"/>
      <c r="RTZ44" s="669"/>
      <c r="RUA44" s="669"/>
      <c r="RUB44" s="669"/>
      <c r="RUC44" s="669"/>
      <c r="RUD44" s="669"/>
      <c r="RUE44" s="669"/>
      <c r="RUF44" s="669"/>
      <c r="RUG44" s="669"/>
      <c r="RUH44" s="669"/>
      <c r="RUI44" s="669"/>
      <c r="RUJ44" s="669"/>
      <c r="RUK44" s="669"/>
      <c r="RUL44" s="669"/>
      <c r="RUM44" s="669"/>
      <c r="RUN44" s="669"/>
      <c r="RUO44" s="669"/>
      <c r="RUP44" s="669"/>
      <c r="RUQ44" s="669"/>
      <c r="RUR44" s="669"/>
      <c r="RUS44" s="669"/>
      <c r="RUT44" s="669"/>
      <c r="RUU44" s="669"/>
      <c r="RUV44" s="669"/>
      <c r="RUW44" s="669"/>
      <c r="RUX44" s="669"/>
      <c r="RUY44" s="669"/>
      <c r="RUZ44" s="669"/>
      <c r="RVA44" s="669"/>
      <c r="RVB44" s="669"/>
      <c r="RVC44" s="669"/>
      <c r="RVD44" s="669"/>
      <c r="RVE44" s="669"/>
      <c r="RVF44" s="669"/>
      <c r="RVG44" s="669"/>
      <c r="RVH44" s="669"/>
      <c r="RVI44" s="669"/>
      <c r="RVJ44" s="669"/>
      <c r="RVK44" s="669"/>
      <c r="RVL44" s="669"/>
      <c r="RVM44" s="669"/>
      <c r="RVN44" s="669"/>
      <c r="RVO44" s="669"/>
      <c r="RVP44" s="669"/>
      <c r="RVQ44" s="669"/>
      <c r="RVR44" s="669"/>
      <c r="RVS44" s="669"/>
      <c r="RVT44" s="669"/>
      <c r="RVU44" s="669"/>
      <c r="RVV44" s="669"/>
      <c r="RVW44" s="669"/>
      <c r="RVX44" s="669"/>
      <c r="RVY44" s="669"/>
      <c r="RVZ44" s="669"/>
      <c r="RWA44" s="669"/>
      <c r="RWB44" s="669"/>
      <c r="RWC44" s="669"/>
      <c r="RWD44" s="669"/>
      <c r="RWE44" s="669"/>
      <c r="RWF44" s="669"/>
      <c r="RWG44" s="669"/>
      <c r="RWH44" s="669"/>
      <c r="RWI44" s="669"/>
      <c r="RWJ44" s="669"/>
      <c r="RWK44" s="669"/>
      <c r="RWL44" s="669"/>
      <c r="RWM44" s="669"/>
      <c r="RWN44" s="669"/>
      <c r="RWO44" s="669"/>
      <c r="RWP44" s="669"/>
      <c r="RWQ44" s="669"/>
      <c r="RWR44" s="669"/>
      <c r="RWS44" s="669"/>
      <c r="RWT44" s="669"/>
      <c r="RWU44" s="669"/>
      <c r="RWV44" s="669"/>
      <c r="RWW44" s="669"/>
      <c r="RWX44" s="669"/>
      <c r="RWY44" s="669"/>
      <c r="RWZ44" s="669"/>
      <c r="RXA44" s="669"/>
      <c r="RXB44" s="669"/>
      <c r="RXC44" s="669"/>
      <c r="RXD44" s="669"/>
      <c r="RXE44" s="669"/>
      <c r="RXF44" s="669"/>
      <c r="RXG44" s="669"/>
      <c r="RXH44" s="669"/>
      <c r="RXI44" s="669"/>
      <c r="RXJ44" s="669"/>
      <c r="RXK44" s="669"/>
      <c r="RXL44" s="669"/>
      <c r="RXM44" s="669"/>
      <c r="RXN44" s="669"/>
      <c r="RXO44" s="669"/>
      <c r="RXP44" s="669"/>
      <c r="RXQ44" s="669"/>
      <c r="RXR44" s="669"/>
      <c r="RXS44" s="669"/>
      <c r="RXT44" s="669"/>
      <c r="RXU44" s="669"/>
      <c r="RXV44" s="669"/>
      <c r="RXW44" s="669"/>
      <c r="RXX44" s="669"/>
      <c r="RXY44" s="669"/>
      <c r="RXZ44" s="669"/>
      <c r="RYA44" s="669"/>
      <c r="RYB44" s="669"/>
      <c r="RYC44" s="669"/>
      <c r="RYD44" s="669"/>
      <c r="RYE44" s="669"/>
      <c r="RYF44" s="669"/>
      <c r="RYG44" s="669"/>
      <c r="RYH44" s="669"/>
      <c r="RYI44" s="669"/>
      <c r="RYJ44" s="669"/>
      <c r="RYK44" s="669"/>
      <c r="RYL44" s="669"/>
      <c r="RYM44" s="669"/>
      <c r="RYN44" s="669"/>
      <c r="RYO44" s="669"/>
      <c r="RYP44" s="669"/>
      <c r="RYQ44" s="669"/>
      <c r="RYR44" s="669"/>
      <c r="RYS44" s="669"/>
      <c r="RYT44" s="669"/>
      <c r="RYU44" s="669"/>
      <c r="RYV44" s="669"/>
      <c r="RYW44" s="669"/>
      <c r="RYX44" s="669"/>
      <c r="RYY44" s="669"/>
      <c r="RYZ44" s="669"/>
      <c r="RZA44" s="669"/>
      <c r="RZB44" s="669"/>
      <c r="RZC44" s="669"/>
      <c r="RZD44" s="669"/>
      <c r="RZE44" s="669"/>
      <c r="RZF44" s="669"/>
      <c r="RZG44" s="669"/>
      <c r="RZH44" s="669"/>
      <c r="RZI44" s="669"/>
      <c r="RZJ44" s="669"/>
      <c r="RZK44" s="669"/>
      <c r="RZL44" s="669"/>
      <c r="RZM44" s="669"/>
      <c r="RZN44" s="669"/>
      <c r="RZO44" s="669"/>
      <c r="RZP44" s="669"/>
      <c r="RZQ44" s="669"/>
      <c r="RZR44" s="669"/>
      <c r="RZS44" s="669"/>
      <c r="RZT44" s="669"/>
      <c r="RZU44" s="669"/>
      <c r="RZV44" s="669"/>
      <c r="RZW44" s="669"/>
      <c r="RZX44" s="669"/>
      <c r="RZY44" s="669"/>
      <c r="RZZ44" s="669"/>
      <c r="SAA44" s="669"/>
      <c r="SAB44" s="669"/>
      <c r="SAC44" s="669"/>
      <c r="SAD44" s="669"/>
      <c r="SAE44" s="669"/>
      <c r="SAF44" s="669"/>
      <c r="SAG44" s="669"/>
      <c r="SAH44" s="669"/>
      <c r="SAI44" s="669"/>
      <c r="SAJ44" s="669"/>
      <c r="SAK44" s="669"/>
      <c r="SAL44" s="669"/>
      <c r="SAM44" s="669"/>
      <c r="SAN44" s="669"/>
      <c r="SAO44" s="669"/>
      <c r="SAP44" s="669"/>
      <c r="SAQ44" s="669"/>
      <c r="SAR44" s="669"/>
      <c r="SAS44" s="669"/>
      <c r="SAT44" s="669"/>
      <c r="SAU44" s="669"/>
      <c r="SAV44" s="669"/>
      <c r="SAW44" s="669"/>
      <c r="SAX44" s="669"/>
      <c r="SAY44" s="669"/>
      <c r="SAZ44" s="669"/>
      <c r="SBA44" s="669"/>
      <c r="SBB44" s="669"/>
      <c r="SBC44" s="669"/>
      <c r="SBD44" s="669"/>
      <c r="SBE44" s="669"/>
      <c r="SBF44" s="669"/>
      <c r="SBG44" s="669"/>
      <c r="SBH44" s="669"/>
      <c r="SBI44" s="669"/>
      <c r="SBJ44" s="669"/>
      <c r="SBK44" s="669"/>
      <c r="SBL44" s="669"/>
      <c r="SBM44" s="669"/>
      <c r="SBN44" s="669"/>
      <c r="SBO44" s="669"/>
      <c r="SBP44" s="669"/>
      <c r="SBQ44" s="669"/>
      <c r="SBR44" s="669"/>
      <c r="SBS44" s="669"/>
      <c r="SBT44" s="669"/>
      <c r="SBU44" s="669"/>
      <c r="SBV44" s="669"/>
      <c r="SBW44" s="669"/>
      <c r="SBX44" s="669"/>
      <c r="SBY44" s="669"/>
      <c r="SBZ44" s="669"/>
      <c r="SCA44" s="669"/>
      <c r="SCB44" s="669"/>
      <c r="SCC44" s="669"/>
      <c r="SCD44" s="669"/>
      <c r="SCE44" s="669"/>
      <c r="SCF44" s="669"/>
      <c r="SCG44" s="669"/>
      <c r="SCH44" s="669"/>
      <c r="SCI44" s="669"/>
      <c r="SCJ44" s="669"/>
      <c r="SCK44" s="669"/>
      <c r="SCL44" s="669"/>
      <c r="SCM44" s="669"/>
      <c r="SCN44" s="669"/>
      <c r="SCO44" s="669"/>
      <c r="SCP44" s="669"/>
      <c r="SCQ44" s="669"/>
      <c r="SCR44" s="669"/>
      <c r="SCS44" s="669"/>
      <c r="SCT44" s="669"/>
      <c r="SCU44" s="669"/>
      <c r="SCV44" s="669"/>
      <c r="SCW44" s="669"/>
      <c r="SCX44" s="669"/>
      <c r="SCY44" s="669"/>
      <c r="SCZ44" s="669"/>
      <c r="SDA44" s="669"/>
      <c r="SDB44" s="669"/>
      <c r="SDC44" s="669"/>
      <c r="SDD44" s="669"/>
      <c r="SDE44" s="669"/>
      <c r="SDF44" s="669"/>
      <c r="SDG44" s="669"/>
      <c r="SDH44" s="669"/>
      <c r="SDI44" s="669"/>
      <c r="SDJ44" s="669"/>
      <c r="SDK44" s="669"/>
      <c r="SDL44" s="669"/>
      <c r="SDM44" s="669"/>
      <c r="SDN44" s="669"/>
      <c r="SDO44" s="669"/>
      <c r="SDP44" s="669"/>
      <c r="SDQ44" s="669"/>
      <c r="SDR44" s="669"/>
      <c r="SDS44" s="669"/>
      <c r="SDT44" s="669"/>
      <c r="SDU44" s="669"/>
      <c r="SDV44" s="669"/>
      <c r="SDW44" s="669"/>
      <c r="SDX44" s="669"/>
      <c r="SDY44" s="669"/>
      <c r="SDZ44" s="669"/>
      <c r="SEA44" s="669"/>
      <c r="SEB44" s="669"/>
      <c r="SEC44" s="669"/>
      <c r="SED44" s="669"/>
      <c r="SEE44" s="669"/>
      <c r="SEF44" s="669"/>
      <c r="SEG44" s="669"/>
      <c r="SEH44" s="669"/>
      <c r="SEI44" s="669"/>
      <c r="SEJ44" s="669"/>
      <c r="SEK44" s="669"/>
      <c r="SEL44" s="669"/>
      <c r="SEM44" s="669"/>
      <c r="SEN44" s="669"/>
      <c r="SEO44" s="669"/>
      <c r="SEP44" s="669"/>
      <c r="SEQ44" s="669"/>
      <c r="SER44" s="669"/>
      <c r="SES44" s="669"/>
      <c r="SET44" s="669"/>
      <c r="SEU44" s="669"/>
      <c r="SEV44" s="669"/>
      <c r="SEW44" s="669"/>
      <c r="SEX44" s="669"/>
      <c r="SEY44" s="669"/>
      <c r="SEZ44" s="669"/>
      <c r="SFA44" s="669"/>
      <c r="SFB44" s="669"/>
      <c r="SFC44" s="669"/>
      <c r="SFD44" s="669"/>
      <c r="SFE44" s="669"/>
      <c r="SFF44" s="669"/>
      <c r="SFG44" s="669"/>
      <c r="SFH44" s="669"/>
      <c r="SFI44" s="669"/>
      <c r="SFJ44" s="669"/>
      <c r="SFK44" s="669"/>
      <c r="SFL44" s="669"/>
      <c r="SFM44" s="669"/>
      <c r="SFN44" s="669"/>
      <c r="SFO44" s="669"/>
      <c r="SFP44" s="669"/>
      <c r="SFQ44" s="669"/>
      <c r="SFR44" s="669"/>
      <c r="SFS44" s="669"/>
      <c r="SFT44" s="669"/>
      <c r="SFU44" s="669"/>
      <c r="SFV44" s="669"/>
      <c r="SFW44" s="669"/>
      <c r="SFX44" s="669"/>
      <c r="SFY44" s="669"/>
      <c r="SFZ44" s="669"/>
      <c r="SGA44" s="669"/>
      <c r="SGB44" s="669"/>
      <c r="SGC44" s="669"/>
      <c r="SGD44" s="669"/>
      <c r="SGE44" s="669"/>
      <c r="SGF44" s="669"/>
      <c r="SGG44" s="669"/>
      <c r="SGH44" s="669"/>
      <c r="SGI44" s="669"/>
      <c r="SGJ44" s="669"/>
      <c r="SGK44" s="669"/>
      <c r="SGL44" s="669"/>
      <c r="SGM44" s="669"/>
      <c r="SGN44" s="669"/>
      <c r="SGO44" s="669"/>
      <c r="SGP44" s="669"/>
      <c r="SGQ44" s="669"/>
      <c r="SGR44" s="669"/>
      <c r="SGS44" s="669"/>
      <c r="SGT44" s="669"/>
      <c r="SGU44" s="669"/>
      <c r="SGV44" s="669"/>
      <c r="SGW44" s="669"/>
      <c r="SGX44" s="669"/>
      <c r="SGY44" s="669"/>
      <c r="SGZ44" s="669"/>
      <c r="SHA44" s="669"/>
      <c r="SHB44" s="669"/>
      <c r="SHC44" s="669"/>
      <c r="SHD44" s="669"/>
      <c r="SHE44" s="669"/>
      <c r="SHF44" s="669"/>
      <c r="SHG44" s="669"/>
      <c r="SHH44" s="669"/>
      <c r="SHI44" s="669"/>
      <c r="SHJ44" s="669"/>
      <c r="SHK44" s="669"/>
      <c r="SHL44" s="669"/>
      <c r="SHM44" s="669"/>
      <c r="SHN44" s="669"/>
      <c r="SHO44" s="669"/>
      <c r="SHP44" s="669"/>
      <c r="SHQ44" s="669"/>
      <c r="SHR44" s="669"/>
      <c r="SHS44" s="669"/>
      <c r="SHT44" s="669"/>
      <c r="SHU44" s="669"/>
      <c r="SHV44" s="669"/>
      <c r="SHW44" s="669"/>
      <c r="SHX44" s="669"/>
      <c r="SHY44" s="669"/>
      <c r="SHZ44" s="669"/>
      <c r="SIA44" s="669"/>
      <c r="SIB44" s="669"/>
      <c r="SIC44" s="669"/>
      <c r="SID44" s="669"/>
      <c r="SIE44" s="669"/>
      <c r="SIF44" s="669"/>
      <c r="SIG44" s="669"/>
      <c r="SIH44" s="669"/>
      <c r="SII44" s="669"/>
      <c r="SIJ44" s="669"/>
      <c r="SIK44" s="669"/>
      <c r="SIL44" s="669"/>
      <c r="SIM44" s="669"/>
      <c r="SIN44" s="669"/>
      <c r="SIO44" s="669"/>
      <c r="SIP44" s="669"/>
      <c r="SIQ44" s="669"/>
      <c r="SIR44" s="669"/>
      <c r="SIS44" s="669"/>
      <c r="SIT44" s="669"/>
      <c r="SIU44" s="669"/>
      <c r="SIV44" s="669"/>
      <c r="SIW44" s="669"/>
      <c r="SIX44" s="669"/>
      <c r="SIY44" s="669"/>
      <c r="SIZ44" s="669"/>
      <c r="SJA44" s="669"/>
      <c r="SJB44" s="669"/>
      <c r="SJC44" s="669"/>
      <c r="SJD44" s="669"/>
      <c r="SJE44" s="669"/>
      <c r="SJF44" s="669"/>
      <c r="SJG44" s="669"/>
      <c r="SJH44" s="669"/>
      <c r="SJI44" s="669"/>
      <c r="SJJ44" s="669"/>
      <c r="SJK44" s="669"/>
      <c r="SJL44" s="669"/>
      <c r="SJM44" s="669"/>
      <c r="SJN44" s="669"/>
      <c r="SJO44" s="669"/>
      <c r="SJP44" s="669"/>
      <c r="SJQ44" s="669"/>
      <c r="SJR44" s="669"/>
      <c r="SJS44" s="669"/>
      <c r="SJT44" s="669"/>
      <c r="SJU44" s="669"/>
      <c r="SJV44" s="669"/>
      <c r="SJW44" s="669"/>
      <c r="SJX44" s="669"/>
      <c r="SJY44" s="669"/>
      <c r="SJZ44" s="669"/>
      <c r="SKA44" s="669"/>
      <c r="SKB44" s="669"/>
      <c r="SKC44" s="669"/>
      <c r="SKD44" s="669"/>
      <c r="SKE44" s="669"/>
      <c r="SKF44" s="669"/>
      <c r="SKG44" s="669"/>
      <c r="SKH44" s="669"/>
      <c r="SKI44" s="669"/>
      <c r="SKJ44" s="669"/>
      <c r="SKK44" s="669"/>
      <c r="SKL44" s="669"/>
      <c r="SKM44" s="669"/>
      <c r="SKN44" s="669"/>
      <c r="SKO44" s="669"/>
      <c r="SKP44" s="669"/>
      <c r="SKQ44" s="669"/>
      <c r="SKR44" s="669"/>
      <c r="SKS44" s="669"/>
      <c r="SKT44" s="669"/>
      <c r="SKU44" s="669"/>
      <c r="SKV44" s="669"/>
      <c r="SKW44" s="669"/>
      <c r="SKX44" s="669"/>
      <c r="SKY44" s="669"/>
      <c r="SKZ44" s="669"/>
      <c r="SLA44" s="669"/>
      <c r="SLB44" s="669"/>
      <c r="SLC44" s="669"/>
      <c r="SLD44" s="669"/>
      <c r="SLE44" s="669"/>
      <c r="SLF44" s="669"/>
      <c r="SLG44" s="669"/>
      <c r="SLH44" s="669"/>
      <c r="SLI44" s="669"/>
      <c r="SLJ44" s="669"/>
      <c r="SLK44" s="669"/>
      <c r="SLL44" s="669"/>
      <c r="SLM44" s="669"/>
      <c r="SLN44" s="669"/>
      <c r="SLO44" s="669"/>
      <c r="SLP44" s="669"/>
      <c r="SLQ44" s="669"/>
      <c r="SLR44" s="669"/>
      <c r="SLS44" s="669"/>
      <c r="SLT44" s="669"/>
      <c r="SLU44" s="669"/>
      <c r="SLV44" s="669"/>
      <c r="SLW44" s="669"/>
      <c r="SLX44" s="669"/>
      <c r="SLY44" s="669"/>
      <c r="SLZ44" s="669"/>
      <c r="SMA44" s="669"/>
      <c r="SMB44" s="669"/>
      <c r="SMC44" s="669"/>
      <c r="SMD44" s="669"/>
      <c r="SME44" s="669"/>
      <c r="SMF44" s="669"/>
      <c r="SMG44" s="669"/>
      <c r="SMH44" s="669"/>
      <c r="SMI44" s="669"/>
      <c r="SMJ44" s="669"/>
      <c r="SMK44" s="669"/>
      <c r="SML44" s="669"/>
      <c r="SMM44" s="669"/>
      <c r="SMN44" s="669"/>
      <c r="SMO44" s="669"/>
      <c r="SMP44" s="669"/>
      <c r="SMQ44" s="669"/>
      <c r="SMR44" s="669"/>
      <c r="SMS44" s="669"/>
      <c r="SMT44" s="669"/>
      <c r="SMU44" s="669"/>
      <c r="SMV44" s="669"/>
      <c r="SMW44" s="669"/>
      <c r="SMX44" s="669"/>
      <c r="SMY44" s="669"/>
      <c r="SMZ44" s="669"/>
      <c r="SNA44" s="669"/>
      <c r="SNB44" s="669"/>
      <c r="SNC44" s="669"/>
      <c r="SND44" s="669"/>
      <c r="SNE44" s="669"/>
      <c r="SNF44" s="669"/>
      <c r="SNG44" s="669"/>
      <c r="SNH44" s="669"/>
      <c r="SNI44" s="669"/>
      <c r="SNJ44" s="669"/>
      <c r="SNK44" s="669"/>
      <c r="SNL44" s="669"/>
      <c r="SNM44" s="669"/>
      <c r="SNN44" s="669"/>
      <c r="SNO44" s="669"/>
      <c r="SNP44" s="669"/>
      <c r="SNQ44" s="669"/>
      <c r="SNR44" s="669"/>
      <c r="SNS44" s="669"/>
      <c r="SNT44" s="669"/>
      <c r="SNU44" s="669"/>
      <c r="SNV44" s="669"/>
      <c r="SNW44" s="669"/>
      <c r="SNX44" s="669"/>
      <c r="SNY44" s="669"/>
      <c r="SNZ44" s="669"/>
      <c r="SOA44" s="669"/>
      <c r="SOB44" s="669"/>
      <c r="SOC44" s="669"/>
      <c r="SOD44" s="669"/>
      <c r="SOE44" s="669"/>
      <c r="SOF44" s="669"/>
      <c r="SOG44" s="669"/>
      <c r="SOH44" s="669"/>
      <c r="SOI44" s="669"/>
      <c r="SOJ44" s="669"/>
      <c r="SOK44" s="669"/>
      <c r="SOL44" s="669"/>
      <c r="SOM44" s="669"/>
      <c r="SON44" s="669"/>
      <c r="SOO44" s="669"/>
      <c r="SOP44" s="669"/>
      <c r="SOQ44" s="669"/>
      <c r="SOR44" s="669"/>
      <c r="SOS44" s="669"/>
      <c r="SOT44" s="669"/>
      <c r="SOU44" s="669"/>
      <c r="SOV44" s="669"/>
      <c r="SOW44" s="669"/>
      <c r="SOX44" s="669"/>
      <c r="SOY44" s="669"/>
      <c r="SOZ44" s="669"/>
      <c r="SPA44" s="669"/>
      <c r="SPB44" s="669"/>
      <c r="SPC44" s="669"/>
      <c r="SPD44" s="669"/>
      <c r="SPE44" s="669"/>
      <c r="SPF44" s="669"/>
      <c r="SPG44" s="669"/>
      <c r="SPH44" s="669"/>
      <c r="SPI44" s="669"/>
      <c r="SPJ44" s="669"/>
      <c r="SPK44" s="669"/>
      <c r="SPL44" s="669"/>
      <c r="SPM44" s="669"/>
      <c r="SPN44" s="669"/>
      <c r="SPO44" s="669"/>
      <c r="SPP44" s="669"/>
      <c r="SPQ44" s="669"/>
      <c r="SPR44" s="669"/>
      <c r="SPS44" s="669"/>
      <c r="SPT44" s="669"/>
      <c r="SPU44" s="669"/>
      <c r="SPV44" s="669"/>
      <c r="SPW44" s="669"/>
      <c r="SPX44" s="669"/>
      <c r="SPY44" s="669"/>
      <c r="SPZ44" s="669"/>
      <c r="SQA44" s="669"/>
      <c r="SQB44" s="669"/>
      <c r="SQC44" s="669"/>
      <c r="SQD44" s="669"/>
      <c r="SQE44" s="669"/>
      <c r="SQF44" s="669"/>
      <c r="SQG44" s="669"/>
      <c r="SQH44" s="669"/>
      <c r="SQI44" s="669"/>
      <c r="SQJ44" s="669"/>
      <c r="SQK44" s="669"/>
      <c r="SQL44" s="669"/>
      <c r="SQM44" s="669"/>
      <c r="SQN44" s="669"/>
      <c r="SQO44" s="669"/>
      <c r="SQP44" s="669"/>
      <c r="SQQ44" s="669"/>
      <c r="SQR44" s="669"/>
      <c r="SQS44" s="669"/>
      <c r="SQT44" s="669"/>
      <c r="SQU44" s="669"/>
      <c r="SQV44" s="669"/>
      <c r="SQW44" s="669"/>
      <c r="SQX44" s="669"/>
      <c r="SQY44" s="669"/>
      <c r="SQZ44" s="669"/>
      <c r="SRA44" s="669"/>
      <c r="SRB44" s="669"/>
      <c r="SRC44" s="669"/>
      <c r="SRD44" s="669"/>
      <c r="SRE44" s="669"/>
      <c r="SRF44" s="669"/>
      <c r="SRG44" s="669"/>
      <c r="SRH44" s="669"/>
      <c r="SRI44" s="669"/>
      <c r="SRJ44" s="669"/>
      <c r="SRK44" s="669"/>
      <c r="SRL44" s="669"/>
      <c r="SRM44" s="669"/>
      <c r="SRN44" s="669"/>
      <c r="SRO44" s="669"/>
      <c r="SRP44" s="669"/>
      <c r="SRQ44" s="669"/>
      <c r="SRR44" s="669"/>
      <c r="SRS44" s="669"/>
      <c r="SRT44" s="669"/>
      <c r="SRU44" s="669"/>
      <c r="SRV44" s="669"/>
      <c r="SRW44" s="669"/>
      <c r="SRX44" s="669"/>
      <c r="SRY44" s="669"/>
      <c r="SRZ44" s="669"/>
      <c r="SSA44" s="669"/>
      <c r="SSB44" s="669"/>
      <c r="SSC44" s="669"/>
      <c r="SSD44" s="669"/>
      <c r="SSE44" s="669"/>
      <c r="SSF44" s="669"/>
      <c r="SSG44" s="669"/>
      <c r="SSH44" s="669"/>
      <c r="SSI44" s="669"/>
      <c r="SSJ44" s="669"/>
      <c r="SSK44" s="669"/>
      <c r="SSL44" s="669"/>
      <c r="SSM44" s="669"/>
      <c r="SSN44" s="669"/>
      <c r="SSO44" s="669"/>
      <c r="SSP44" s="669"/>
      <c r="SSQ44" s="669"/>
      <c r="SSR44" s="669"/>
      <c r="SSS44" s="669"/>
      <c r="SST44" s="669"/>
      <c r="SSU44" s="669"/>
      <c r="SSV44" s="669"/>
      <c r="SSW44" s="669"/>
      <c r="SSX44" s="669"/>
      <c r="SSY44" s="669"/>
      <c r="SSZ44" s="669"/>
      <c r="STA44" s="669"/>
      <c r="STB44" s="669"/>
      <c r="STC44" s="669"/>
      <c r="STD44" s="669"/>
      <c r="STE44" s="669"/>
      <c r="STF44" s="669"/>
      <c r="STG44" s="669"/>
      <c r="STH44" s="669"/>
      <c r="STI44" s="669"/>
      <c r="STJ44" s="669"/>
      <c r="STK44" s="669"/>
      <c r="STL44" s="669"/>
      <c r="STM44" s="669"/>
      <c r="STN44" s="669"/>
      <c r="STO44" s="669"/>
      <c r="STP44" s="669"/>
      <c r="STQ44" s="669"/>
      <c r="STR44" s="669"/>
      <c r="STS44" s="669"/>
      <c r="STT44" s="669"/>
      <c r="STU44" s="669"/>
      <c r="STV44" s="669"/>
      <c r="STW44" s="669"/>
      <c r="STX44" s="669"/>
      <c r="STY44" s="669"/>
      <c r="STZ44" s="669"/>
      <c r="SUA44" s="669"/>
      <c r="SUB44" s="669"/>
      <c r="SUC44" s="669"/>
      <c r="SUD44" s="669"/>
      <c r="SUE44" s="669"/>
      <c r="SUF44" s="669"/>
      <c r="SUG44" s="669"/>
      <c r="SUH44" s="669"/>
      <c r="SUI44" s="669"/>
      <c r="SUJ44" s="669"/>
      <c r="SUK44" s="669"/>
      <c r="SUL44" s="669"/>
      <c r="SUM44" s="669"/>
      <c r="SUN44" s="669"/>
      <c r="SUO44" s="669"/>
      <c r="SUP44" s="669"/>
      <c r="SUQ44" s="669"/>
      <c r="SUR44" s="669"/>
      <c r="SUS44" s="669"/>
      <c r="SUT44" s="669"/>
      <c r="SUU44" s="669"/>
      <c r="SUV44" s="669"/>
      <c r="SUW44" s="669"/>
      <c r="SUX44" s="669"/>
      <c r="SUY44" s="669"/>
      <c r="SUZ44" s="669"/>
      <c r="SVA44" s="669"/>
      <c r="SVB44" s="669"/>
      <c r="SVC44" s="669"/>
      <c r="SVD44" s="669"/>
      <c r="SVE44" s="669"/>
      <c r="SVF44" s="669"/>
      <c r="SVG44" s="669"/>
      <c r="SVH44" s="669"/>
      <c r="SVI44" s="669"/>
      <c r="SVJ44" s="669"/>
      <c r="SVK44" s="669"/>
      <c r="SVL44" s="669"/>
      <c r="SVM44" s="669"/>
      <c r="SVN44" s="669"/>
      <c r="SVO44" s="669"/>
      <c r="SVP44" s="669"/>
      <c r="SVQ44" s="669"/>
      <c r="SVR44" s="669"/>
      <c r="SVS44" s="669"/>
      <c r="SVT44" s="669"/>
      <c r="SVU44" s="669"/>
      <c r="SVV44" s="669"/>
      <c r="SVW44" s="669"/>
      <c r="SVX44" s="669"/>
      <c r="SVY44" s="669"/>
      <c r="SVZ44" s="669"/>
      <c r="SWA44" s="669"/>
      <c r="SWB44" s="669"/>
      <c r="SWC44" s="669"/>
      <c r="SWD44" s="669"/>
      <c r="SWE44" s="669"/>
      <c r="SWF44" s="669"/>
      <c r="SWG44" s="669"/>
      <c r="SWH44" s="669"/>
      <c r="SWI44" s="669"/>
      <c r="SWJ44" s="669"/>
      <c r="SWK44" s="669"/>
      <c r="SWL44" s="669"/>
      <c r="SWM44" s="669"/>
      <c r="SWN44" s="669"/>
      <c r="SWO44" s="669"/>
      <c r="SWP44" s="669"/>
      <c r="SWQ44" s="669"/>
      <c r="SWR44" s="669"/>
      <c r="SWS44" s="669"/>
      <c r="SWT44" s="669"/>
      <c r="SWU44" s="669"/>
      <c r="SWV44" s="669"/>
      <c r="SWW44" s="669"/>
      <c r="SWX44" s="669"/>
      <c r="SWY44" s="669"/>
      <c r="SWZ44" s="669"/>
      <c r="SXA44" s="669"/>
      <c r="SXB44" s="669"/>
      <c r="SXC44" s="669"/>
      <c r="SXD44" s="669"/>
      <c r="SXE44" s="669"/>
      <c r="SXF44" s="669"/>
      <c r="SXG44" s="669"/>
      <c r="SXH44" s="669"/>
      <c r="SXI44" s="669"/>
      <c r="SXJ44" s="669"/>
      <c r="SXK44" s="669"/>
      <c r="SXL44" s="669"/>
      <c r="SXM44" s="669"/>
      <c r="SXN44" s="669"/>
      <c r="SXO44" s="669"/>
      <c r="SXP44" s="669"/>
      <c r="SXQ44" s="669"/>
      <c r="SXR44" s="669"/>
      <c r="SXS44" s="669"/>
      <c r="SXT44" s="669"/>
      <c r="SXU44" s="669"/>
      <c r="SXV44" s="669"/>
      <c r="SXW44" s="669"/>
      <c r="SXX44" s="669"/>
      <c r="SXY44" s="669"/>
      <c r="SXZ44" s="669"/>
      <c r="SYA44" s="669"/>
      <c r="SYB44" s="669"/>
      <c r="SYC44" s="669"/>
      <c r="SYD44" s="669"/>
      <c r="SYE44" s="669"/>
      <c r="SYF44" s="669"/>
      <c r="SYG44" s="669"/>
      <c r="SYH44" s="669"/>
      <c r="SYI44" s="669"/>
      <c r="SYJ44" s="669"/>
      <c r="SYK44" s="669"/>
      <c r="SYL44" s="669"/>
      <c r="SYM44" s="669"/>
      <c r="SYN44" s="669"/>
      <c r="SYO44" s="669"/>
      <c r="SYP44" s="669"/>
      <c r="SYQ44" s="669"/>
      <c r="SYR44" s="669"/>
      <c r="SYS44" s="669"/>
      <c r="SYT44" s="669"/>
      <c r="SYU44" s="669"/>
      <c r="SYV44" s="669"/>
      <c r="SYW44" s="669"/>
      <c r="SYX44" s="669"/>
      <c r="SYY44" s="669"/>
      <c r="SYZ44" s="669"/>
      <c r="SZA44" s="669"/>
      <c r="SZB44" s="669"/>
      <c r="SZC44" s="669"/>
      <c r="SZD44" s="669"/>
      <c r="SZE44" s="669"/>
      <c r="SZF44" s="669"/>
      <c r="SZG44" s="669"/>
      <c r="SZH44" s="669"/>
      <c r="SZI44" s="669"/>
      <c r="SZJ44" s="669"/>
      <c r="SZK44" s="669"/>
      <c r="SZL44" s="669"/>
      <c r="SZM44" s="669"/>
      <c r="SZN44" s="669"/>
      <c r="SZO44" s="669"/>
      <c r="SZP44" s="669"/>
      <c r="SZQ44" s="669"/>
      <c r="SZR44" s="669"/>
      <c r="SZS44" s="669"/>
      <c r="SZT44" s="669"/>
      <c r="SZU44" s="669"/>
      <c r="SZV44" s="669"/>
      <c r="SZW44" s="669"/>
      <c r="SZX44" s="669"/>
      <c r="SZY44" s="669"/>
      <c r="SZZ44" s="669"/>
      <c r="TAA44" s="669"/>
      <c r="TAB44" s="669"/>
      <c r="TAC44" s="669"/>
      <c r="TAD44" s="669"/>
      <c r="TAE44" s="669"/>
      <c r="TAF44" s="669"/>
      <c r="TAG44" s="669"/>
      <c r="TAH44" s="669"/>
      <c r="TAI44" s="669"/>
      <c r="TAJ44" s="669"/>
      <c r="TAK44" s="669"/>
      <c r="TAL44" s="669"/>
      <c r="TAM44" s="669"/>
      <c r="TAN44" s="669"/>
      <c r="TAO44" s="669"/>
      <c r="TAP44" s="669"/>
      <c r="TAQ44" s="669"/>
      <c r="TAR44" s="669"/>
      <c r="TAS44" s="669"/>
      <c r="TAT44" s="669"/>
      <c r="TAU44" s="669"/>
      <c r="TAV44" s="669"/>
      <c r="TAW44" s="669"/>
      <c r="TAX44" s="669"/>
      <c r="TAY44" s="669"/>
      <c r="TAZ44" s="669"/>
      <c r="TBA44" s="669"/>
      <c r="TBB44" s="669"/>
      <c r="TBC44" s="669"/>
      <c r="TBD44" s="669"/>
      <c r="TBE44" s="669"/>
      <c r="TBF44" s="669"/>
      <c r="TBG44" s="669"/>
      <c r="TBH44" s="669"/>
      <c r="TBI44" s="669"/>
      <c r="TBJ44" s="669"/>
      <c r="TBK44" s="669"/>
      <c r="TBL44" s="669"/>
      <c r="TBM44" s="669"/>
      <c r="TBN44" s="669"/>
      <c r="TBO44" s="669"/>
      <c r="TBP44" s="669"/>
      <c r="TBQ44" s="669"/>
      <c r="TBR44" s="669"/>
      <c r="TBS44" s="669"/>
      <c r="TBT44" s="669"/>
      <c r="TBU44" s="669"/>
      <c r="TBV44" s="669"/>
      <c r="TBW44" s="669"/>
      <c r="TBX44" s="669"/>
      <c r="TBY44" s="669"/>
      <c r="TBZ44" s="669"/>
      <c r="TCA44" s="669"/>
      <c r="TCB44" s="669"/>
      <c r="TCC44" s="669"/>
      <c r="TCD44" s="669"/>
      <c r="TCE44" s="669"/>
      <c r="TCF44" s="669"/>
      <c r="TCG44" s="669"/>
      <c r="TCH44" s="669"/>
      <c r="TCI44" s="669"/>
      <c r="TCJ44" s="669"/>
      <c r="TCK44" s="669"/>
      <c r="TCL44" s="669"/>
      <c r="TCM44" s="669"/>
      <c r="TCN44" s="669"/>
      <c r="TCO44" s="669"/>
      <c r="TCP44" s="669"/>
      <c r="TCQ44" s="669"/>
      <c r="TCR44" s="669"/>
      <c r="TCS44" s="669"/>
      <c r="TCT44" s="669"/>
      <c r="TCU44" s="669"/>
      <c r="TCV44" s="669"/>
      <c r="TCW44" s="669"/>
      <c r="TCX44" s="669"/>
      <c r="TCY44" s="669"/>
      <c r="TCZ44" s="669"/>
      <c r="TDA44" s="669"/>
      <c r="TDB44" s="669"/>
      <c r="TDC44" s="669"/>
      <c r="TDD44" s="669"/>
      <c r="TDE44" s="669"/>
      <c r="TDF44" s="669"/>
      <c r="TDG44" s="669"/>
      <c r="TDH44" s="669"/>
      <c r="TDI44" s="669"/>
      <c r="TDJ44" s="669"/>
      <c r="TDK44" s="669"/>
      <c r="TDL44" s="669"/>
      <c r="TDM44" s="669"/>
      <c r="TDN44" s="669"/>
      <c r="TDO44" s="669"/>
      <c r="TDP44" s="669"/>
      <c r="TDQ44" s="669"/>
      <c r="TDR44" s="669"/>
      <c r="TDS44" s="669"/>
      <c r="TDT44" s="669"/>
      <c r="TDU44" s="669"/>
      <c r="TDV44" s="669"/>
      <c r="TDW44" s="669"/>
      <c r="TDX44" s="669"/>
      <c r="TDY44" s="669"/>
      <c r="TDZ44" s="669"/>
      <c r="TEA44" s="669"/>
      <c r="TEB44" s="669"/>
      <c r="TEC44" s="669"/>
      <c r="TED44" s="669"/>
      <c r="TEE44" s="669"/>
      <c r="TEF44" s="669"/>
      <c r="TEG44" s="669"/>
      <c r="TEH44" s="669"/>
      <c r="TEI44" s="669"/>
      <c r="TEJ44" s="669"/>
      <c r="TEK44" s="669"/>
      <c r="TEL44" s="669"/>
      <c r="TEM44" s="669"/>
      <c r="TEN44" s="669"/>
      <c r="TEO44" s="669"/>
      <c r="TEP44" s="669"/>
      <c r="TEQ44" s="669"/>
      <c r="TER44" s="669"/>
      <c r="TES44" s="669"/>
      <c r="TET44" s="669"/>
      <c r="TEU44" s="669"/>
      <c r="TEV44" s="669"/>
      <c r="TEW44" s="669"/>
      <c r="TEX44" s="669"/>
      <c r="TEY44" s="669"/>
      <c r="TEZ44" s="669"/>
      <c r="TFA44" s="669"/>
      <c r="TFB44" s="669"/>
      <c r="TFC44" s="669"/>
      <c r="TFD44" s="669"/>
      <c r="TFE44" s="669"/>
      <c r="TFF44" s="669"/>
      <c r="TFG44" s="669"/>
      <c r="TFH44" s="669"/>
      <c r="TFI44" s="669"/>
      <c r="TFJ44" s="669"/>
      <c r="TFK44" s="669"/>
      <c r="TFL44" s="669"/>
      <c r="TFM44" s="669"/>
      <c r="TFN44" s="669"/>
      <c r="TFO44" s="669"/>
      <c r="TFP44" s="669"/>
      <c r="TFQ44" s="669"/>
      <c r="TFR44" s="669"/>
      <c r="TFS44" s="669"/>
      <c r="TFT44" s="669"/>
      <c r="TFU44" s="669"/>
      <c r="TFV44" s="669"/>
      <c r="TFW44" s="669"/>
      <c r="TFX44" s="669"/>
      <c r="TFY44" s="669"/>
      <c r="TFZ44" s="669"/>
      <c r="TGA44" s="669"/>
      <c r="TGB44" s="669"/>
      <c r="TGC44" s="669"/>
      <c r="TGD44" s="669"/>
      <c r="TGE44" s="669"/>
      <c r="TGF44" s="669"/>
      <c r="TGG44" s="669"/>
      <c r="TGH44" s="669"/>
      <c r="TGI44" s="669"/>
      <c r="TGJ44" s="669"/>
      <c r="TGK44" s="669"/>
      <c r="TGL44" s="669"/>
      <c r="TGM44" s="669"/>
      <c r="TGN44" s="669"/>
      <c r="TGO44" s="669"/>
      <c r="TGP44" s="669"/>
      <c r="TGQ44" s="669"/>
      <c r="TGR44" s="669"/>
      <c r="TGS44" s="669"/>
      <c r="TGT44" s="669"/>
      <c r="TGU44" s="669"/>
      <c r="TGV44" s="669"/>
      <c r="TGW44" s="669"/>
      <c r="TGX44" s="669"/>
      <c r="TGY44" s="669"/>
      <c r="TGZ44" s="669"/>
      <c r="THA44" s="669"/>
      <c r="THB44" s="669"/>
      <c r="THC44" s="669"/>
      <c r="THD44" s="669"/>
      <c r="THE44" s="669"/>
      <c r="THF44" s="669"/>
      <c r="THG44" s="669"/>
      <c r="THH44" s="669"/>
      <c r="THI44" s="669"/>
      <c r="THJ44" s="669"/>
      <c r="THK44" s="669"/>
      <c r="THL44" s="669"/>
      <c r="THM44" s="669"/>
      <c r="THN44" s="669"/>
      <c r="THO44" s="669"/>
      <c r="THP44" s="669"/>
      <c r="THQ44" s="669"/>
      <c r="THR44" s="669"/>
      <c r="THS44" s="669"/>
      <c r="THT44" s="669"/>
      <c r="THU44" s="669"/>
      <c r="THV44" s="669"/>
      <c r="THW44" s="669"/>
      <c r="THX44" s="669"/>
      <c r="THY44" s="669"/>
      <c r="THZ44" s="669"/>
      <c r="TIA44" s="669"/>
      <c r="TIB44" s="669"/>
      <c r="TIC44" s="669"/>
      <c r="TID44" s="669"/>
      <c r="TIE44" s="669"/>
      <c r="TIF44" s="669"/>
      <c r="TIG44" s="669"/>
      <c r="TIH44" s="669"/>
      <c r="TII44" s="669"/>
      <c r="TIJ44" s="669"/>
      <c r="TIK44" s="669"/>
      <c r="TIL44" s="669"/>
      <c r="TIM44" s="669"/>
      <c r="TIN44" s="669"/>
      <c r="TIO44" s="669"/>
      <c r="TIP44" s="669"/>
      <c r="TIQ44" s="669"/>
      <c r="TIR44" s="669"/>
      <c r="TIS44" s="669"/>
      <c r="TIT44" s="669"/>
      <c r="TIU44" s="669"/>
      <c r="TIV44" s="669"/>
      <c r="TIW44" s="669"/>
      <c r="TIX44" s="669"/>
      <c r="TIY44" s="669"/>
      <c r="TIZ44" s="669"/>
      <c r="TJA44" s="669"/>
      <c r="TJB44" s="669"/>
      <c r="TJC44" s="669"/>
      <c r="TJD44" s="669"/>
      <c r="TJE44" s="669"/>
      <c r="TJF44" s="669"/>
      <c r="TJG44" s="669"/>
      <c r="TJH44" s="669"/>
      <c r="TJI44" s="669"/>
      <c r="TJJ44" s="669"/>
      <c r="TJK44" s="669"/>
      <c r="TJL44" s="669"/>
      <c r="TJM44" s="669"/>
      <c r="TJN44" s="669"/>
      <c r="TJO44" s="669"/>
      <c r="TJP44" s="669"/>
      <c r="TJQ44" s="669"/>
      <c r="TJR44" s="669"/>
      <c r="TJS44" s="669"/>
      <c r="TJT44" s="669"/>
      <c r="TJU44" s="669"/>
      <c r="TJV44" s="669"/>
      <c r="TJW44" s="669"/>
      <c r="TJX44" s="669"/>
      <c r="TJY44" s="669"/>
      <c r="TJZ44" s="669"/>
      <c r="TKA44" s="669"/>
      <c r="TKB44" s="669"/>
      <c r="TKC44" s="669"/>
      <c r="TKD44" s="669"/>
      <c r="TKE44" s="669"/>
      <c r="TKF44" s="669"/>
      <c r="TKG44" s="669"/>
      <c r="TKH44" s="669"/>
      <c r="TKI44" s="669"/>
      <c r="TKJ44" s="669"/>
      <c r="TKK44" s="669"/>
      <c r="TKL44" s="669"/>
      <c r="TKM44" s="669"/>
      <c r="TKN44" s="669"/>
      <c r="TKO44" s="669"/>
      <c r="TKP44" s="669"/>
      <c r="TKQ44" s="669"/>
      <c r="TKR44" s="669"/>
      <c r="TKS44" s="669"/>
      <c r="TKT44" s="669"/>
      <c r="TKU44" s="669"/>
      <c r="TKV44" s="669"/>
      <c r="TKW44" s="669"/>
      <c r="TKX44" s="669"/>
      <c r="TKY44" s="669"/>
      <c r="TKZ44" s="669"/>
      <c r="TLA44" s="669"/>
      <c r="TLB44" s="669"/>
      <c r="TLC44" s="669"/>
      <c r="TLD44" s="669"/>
      <c r="TLE44" s="669"/>
      <c r="TLF44" s="669"/>
      <c r="TLG44" s="669"/>
      <c r="TLH44" s="669"/>
      <c r="TLI44" s="669"/>
      <c r="TLJ44" s="669"/>
      <c r="TLK44" s="669"/>
      <c r="TLL44" s="669"/>
      <c r="TLM44" s="669"/>
      <c r="TLN44" s="669"/>
      <c r="TLO44" s="669"/>
      <c r="TLP44" s="669"/>
      <c r="TLQ44" s="669"/>
      <c r="TLR44" s="669"/>
      <c r="TLS44" s="669"/>
      <c r="TLT44" s="669"/>
      <c r="TLU44" s="669"/>
      <c r="TLV44" s="669"/>
      <c r="TLW44" s="669"/>
      <c r="TLX44" s="669"/>
      <c r="TLY44" s="669"/>
      <c r="TLZ44" s="669"/>
      <c r="TMA44" s="669"/>
      <c r="TMB44" s="669"/>
      <c r="TMC44" s="669"/>
      <c r="TMD44" s="669"/>
      <c r="TME44" s="669"/>
      <c r="TMF44" s="669"/>
      <c r="TMG44" s="669"/>
      <c r="TMH44" s="669"/>
      <c r="TMI44" s="669"/>
      <c r="TMJ44" s="669"/>
      <c r="TMK44" s="669"/>
      <c r="TML44" s="669"/>
      <c r="TMM44" s="669"/>
      <c r="TMN44" s="669"/>
      <c r="TMO44" s="669"/>
      <c r="TMP44" s="669"/>
      <c r="TMQ44" s="669"/>
      <c r="TMR44" s="669"/>
      <c r="TMS44" s="669"/>
      <c r="TMT44" s="669"/>
      <c r="TMU44" s="669"/>
      <c r="TMV44" s="669"/>
      <c r="TMW44" s="669"/>
      <c r="TMX44" s="669"/>
      <c r="TMY44" s="669"/>
      <c r="TMZ44" s="669"/>
      <c r="TNA44" s="669"/>
      <c r="TNB44" s="669"/>
      <c r="TNC44" s="669"/>
      <c r="TND44" s="669"/>
      <c r="TNE44" s="669"/>
      <c r="TNF44" s="669"/>
      <c r="TNG44" s="669"/>
      <c r="TNH44" s="669"/>
      <c r="TNI44" s="669"/>
      <c r="TNJ44" s="669"/>
      <c r="TNK44" s="669"/>
      <c r="TNL44" s="669"/>
      <c r="TNM44" s="669"/>
      <c r="TNN44" s="669"/>
      <c r="TNO44" s="669"/>
      <c r="TNP44" s="669"/>
      <c r="TNQ44" s="669"/>
      <c r="TNR44" s="669"/>
      <c r="TNS44" s="669"/>
      <c r="TNT44" s="669"/>
      <c r="TNU44" s="669"/>
      <c r="TNV44" s="669"/>
      <c r="TNW44" s="669"/>
      <c r="TNX44" s="669"/>
      <c r="TNY44" s="669"/>
      <c r="TNZ44" s="669"/>
      <c r="TOA44" s="669"/>
      <c r="TOB44" s="669"/>
      <c r="TOC44" s="669"/>
      <c r="TOD44" s="669"/>
      <c r="TOE44" s="669"/>
      <c r="TOF44" s="669"/>
      <c r="TOG44" s="669"/>
      <c r="TOH44" s="669"/>
      <c r="TOI44" s="669"/>
      <c r="TOJ44" s="669"/>
      <c r="TOK44" s="669"/>
      <c r="TOL44" s="669"/>
      <c r="TOM44" s="669"/>
      <c r="TON44" s="669"/>
      <c r="TOO44" s="669"/>
      <c r="TOP44" s="669"/>
      <c r="TOQ44" s="669"/>
      <c r="TOR44" s="669"/>
      <c r="TOS44" s="669"/>
      <c r="TOT44" s="669"/>
      <c r="TOU44" s="669"/>
      <c r="TOV44" s="669"/>
      <c r="TOW44" s="669"/>
      <c r="TOX44" s="669"/>
      <c r="TOY44" s="669"/>
      <c r="TOZ44" s="669"/>
      <c r="TPA44" s="669"/>
      <c r="TPB44" s="669"/>
      <c r="TPC44" s="669"/>
      <c r="TPD44" s="669"/>
      <c r="TPE44" s="669"/>
      <c r="TPF44" s="669"/>
      <c r="TPG44" s="669"/>
      <c r="TPH44" s="669"/>
      <c r="TPI44" s="669"/>
      <c r="TPJ44" s="669"/>
      <c r="TPK44" s="669"/>
      <c r="TPL44" s="669"/>
      <c r="TPM44" s="669"/>
      <c r="TPN44" s="669"/>
      <c r="TPO44" s="669"/>
      <c r="TPP44" s="669"/>
      <c r="TPQ44" s="669"/>
      <c r="TPR44" s="669"/>
      <c r="TPS44" s="669"/>
      <c r="TPT44" s="669"/>
      <c r="TPU44" s="669"/>
      <c r="TPV44" s="669"/>
      <c r="TPW44" s="669"/>
      <c r="TPX44" s="669"/>
      <c r="TPY44" s="669"/>
      <c r="TPZ44" s="669"/>
      <c r="TQA44" s="669"/>
      <c r="TQB44" s="669"/>
      <c r="TQC44" s="669"/>
      <c r="TQD44" s="669"/>
      <c r="TQE44" s="669"/>
      <c r="TQF44" s="669"/>
      <c r="TQG44" s="669"/>
      <c r="TQH44" s="669"/>
      <c r="TQI44" s="669"/>
      <c r="TQJ44" s="669"/>
      <c r="TQK44" s="669"/>
      <c r="TQL44" s="669"/>
      <c r="TQM44" s="669"/>
      <c r="TQN44" s="669"/>
      <c r="TQO44" s="669"/>
      <c r="TQP44" s="669"/>
      <c r="TQQ44" s="669"/>
      <c r="TQR44" s="669"/>
      <c r="TQS44" s="669"/>
      <c r="TQT44" s="669"/>
      <c r="TQU44" s="669"/>
      <c r="TQV44" s="669"/>
      <c r="TQW44" s="669"/>
      <c r="TQX44" s="669"/>
      <c r="TQY44" s="669"/>
      <c r="TQZ44" s="669"/>
      <c r="TRA44" s="669"/>
      <c r="TRB44" s="669"/>
      <c r="TRC44" s="669"/>
      <c r="TRD44" s="669"/>
      <c r="TRE44" s="669"/>
      <c r="TRF44" s="669"/>
      <c r="TRG44" s="669"/>
      <c r="TRH44" s="669"/>
      <c r="TRI44" s="669"/>
      <c r="TRJ44" s="669"/>
      <c r="TRK44" s="669"/>
      <c r="TRL44" s="669"/>
      <c r="TRM44" s="669"/>
      <c r="TRN44" s="669"/>
      <c r="TRO44" s="669"/>
      <c r="TRP44" s="669"/>
      <c r="TRQ44" s="669"/>
      <c r="TRR44" s="669"/>
      <c r="TRS44" s="669"/>
      <c r="TRT44" s="669"/>
      <c r="TRU44" s="669"/>
      <c r="TRV44" s="669"/>
      <c r="TRW44" s="669"/>
      <c r="TRX44" s="669"/>
      <c r="TRY44" s="669"/>
      <c r="TRZ44" s="669"/>
      <c r="TSA44" s="669"/>
      <c r="TSB44" s="669"/>
      <c r="TSC44" s="669"/>
      <c r="TSD44" s="669"/>
      <c r="TSE44" s="669"/>
      <c r="TSF44" s="669"/>
      <c r="TSG44" s="669"/>
      <c r="TSH44" s="669"/>
      <c r="TSI44" s="669"/>
      <c r="TSJ44" s="669"/>
      <c r="TSK44" s="669"/>
      <c r="TSL44" s="669"/>
      <c r="TSM44" s="669"/>
      <c r="TSN44" s="669"/>
      <c r="TSO44" s="669"/>
      <c r="TSP44" s="669"/>
      <c r="TSQ44" s="669"/>
      <c r="TSR44" s="669"/>
      <c r="TSS44" s="669"/>
      <c r="TST44" s="669"/>
      <c r="TSU44" s="669"/>
      <c r="TSV44" s="669"/>
      <c r="TSW44" s="669"/>
      <c r="TSX44" s="669"/>
      <c r="TSY44" s="669"/>
      <c r="TSZ44" s="669"/>
      <c r="TTA44" s="669"/>
      <c r="TTB44" s="669"/>
      <c r="TTC44" s="669"/>
      <c r="TTD44" s="669"/>
      <c r="TTE44" s="669"/>
      <c r="TTF44" s="669"/>
      <c r="TTG44" s="669"/>
      <c r="TTH44" s="669"/>
      <c r="TTI44" s="669"/>
      <c r="TTJ44" s="669"/>
      <c r="TTK44" s="669"/>
      <c r="TTL44" s="669"/>
      <c r="TTM44" s="669"/>
      <c r="TTN44" s="669"/>
      <c r="TTO44" s="669"/>
      <c r="TTP44" s="669"/>
      <c r="TTQ44" s="669"/>
      <c r="TTR44" s="669"/>
      <c r="TTS44" s="669"/>
      <c r="TTT44" s="669"/>
      <c r="TTU44" s="669"/>
      <c r="TTV44" s="669"/>
      <c r="TTW44" s="669"/>
      <c r="TTX44" s="669"/>
      <c r="TTY44" s="669"/>
      <c r="TTZ44" s="669"/>
      <c r="TUA44" s="669"/>
      <c r="TUB44" s="669"/>
      <c r="TUC44" s="669"/>
      <c r="TUD44" s="669"/>
      <c r="TUE44" s="669"/>
      <c r="TUF44" s="669"/>
      <c r="TUG44" s="669"/>
      <c r="TUH44" s="669"/>
      <c r="TUI44" s="669"/>
      <c r="TUJ44" s="669"/>
      <c r="TUK44" s="669"/>
      <c r="TUL44" s="669"/>
      <c r="TUM44" s="669"/>
      <c r="TUN44" s="669"/>
      <c r="TUO44" s="669"/>
      <c r="TUP44" s="669"/>
      <c r="TUQ44" s="669"/>
      <c r="TUR44" s="669"/>
      <c r="TUS44" s="669"/>
      <c r="TUT44" s="669"/>
      <c r="TUU44" s="669"/>
      <c r="TUV44" s="669"/>
      <c r="TUW44" s="669"/>
      <c r="TUX44" s="669"/>
      <c r="TUY44" s="669"/>
      <c r="TUZ44" s="669"/>
      <c r="TVA44" s="669"/>
      <c r="TVB44" s="669"/>
      <c r="TVC44" s="669"/>
      <c r="TVD44" s="669"/>
      <c r="TVE44" s="669"/>
      <c r="TVF44" s="669"/>
      <c r="TVG44" s="669"/>
      <c r="TVH44" s="669"/>
      <c r="TVI44" s="669"/>
      <c r="TVJ44" s="669"/>
      <c r="TVK44" s="669"/>
      <c r="TVL44" s="669"/>
      <c r="TVM44" s="669"/>
      <c r="TVN44" s="669"/>
      <c r="TVO44" s="669"/>
      <c r="TVP44" s="669"/>
      <c r="TVQ44" s="669"/>
      <c r="TVR44" s="669"/>
      <c r="TVS44" s="669"/>
      <c r="TVT44" s="669"/>
      <c r="TVU44" s="669"/>
      <c r="TVV44" s="669"/>
      <c r="TVW44" s="669"/>
      <c r="TVX44" s="669"/>
      <c r="TVY44" s="669"/>
      <c r="TVZ44" s="669"/>
      <c r="TWA44" s="669"/>
      <c r="TWB44" s="669"/>
      <c r="TWC44" s="669"/>
      <c r="TWD44" s="669"/>
      <c r="TWE44" s="669"/>
      <c r="TWF44" s="669"/>
      <c r="TWG44" s="669"/>
      <c r="TWH44" s="669"/>
      <c r="TWI44" s="669"/>
      <c r="TWJ44" s="669"/>
      <c r="TWK44" s="669"/>
      <c r="TWL44" s="669"/>
      <c r="TWM44" s="669"/>
      <c r="TWN44" s="669"/>
      <c r="TWO44" s="669"/>
      <c r="TWP44" s="669"/>
      <c r="TWQ44" s="669"/>
      <c r="TWR44" s="669"/>
      <c r="TWS44" s="669"/>
      <c r="TWT44" s="669"/>
      <c r="TWU44" s="669"/>
      <c r="TWV44" s="669"/>
      <c r="TWW44" s="669"/>
      <c r="TWX44" s="669"/>
      <c r="TWY44" s="669"/>
      <c r="TWZ44" s="669"/>
      <c r="TXA44" s="669"/>
      <c r="TXB44" s="669"/>
      <c r="TXC44" s="669"/>
      <c r="TXD44" s="669"/>
      <c r="TXE44" s="669"/>
      <c r="TXF44" s="669"/>
      <c r="TXG44" s="669"/>
      <c r="TXH44" s="669"/>
      <c r="TXI44" s="669"/>
      <c r="TXJ44" s="669"/>
      <c r="TXK44" s="669"/>
      <c r="TXL44" s="669"/>
      <c r="TXM44" s="669"/>
      <c r="TXN44" s="669"/>
      <c r="TXO44" s="669"/>
      <c r="TXP44" s="669"/>
      <c r="TXQ44" s="669"/>
      <c r="TXR44" s="669"/>
      <c r="TXS44" s="669"/>
      <c r="TXT44" s="669"/>
      <c r="TXU44" s="669"/>
      <c r="TXV44" s="669"/>
      <c r="TXW44" s="669"/>
      <c r="TXX44" s="669"/>
      <c r="TXY44" s="669"/>
      <c r="TXZ44" s="669"/>
      <c r="TYA44" s="669"/>
      <c r="TYB44" s="669"/>
      <c r="TYC44" s="669"/>
      <c r="TYD44" s="669"/>
      <c r="TYE44" s="669"/>
      <c r="TYF44" s="669"/>
      <c r="TYG44" s="669"/>
      <c r="TYH44" s="669"/>
      <c r="TYI44" s="669"/>
      <c r="TYJ44" s="669"/>
      <c r="TYK44" s="669"/>
      <c r="TYL44" s="669"/>
      <c r="TYM44" s="669"/>
      <c r="TYN44" s="669"/>
      <c r="TYO44" s="669"/>
      <c r="TYP44" s="669"/>
      <c r="TYQ44" s="669"/>
      <c r="TYR44" s="669"/>
      <c r="TYS44" s="669"/>
      <c r="TYT44" s="669"/>
      <c r="TYU44" s="669"/>
      <c r="TYV44" s="669"/>
      <c r="TYW44" s="669"/>
      <c r="TYX44" s="669"/>
      <c r="TYY44" s="669"/>
      <c r="TYZ44" s="669"/>
      <c r="TZA44" s="669"/>
      <c r="TZB44" s="669"/>
      <c r="TZC44" s="669"/>
      <c r="TZD44" s="669"/>
      <c r="TZE44" s="669"/>
      <c r="TZF44" s="669"/>
      <c r="TZG44" s="669"/>
      <c r="TZH44" s="669"/>
      <c r="TZI44" s="669"/>
      <c r="TZJ44" s="669"/>
      <c r="TZK44" s="669"/>
      <c r="TZL44" s="669"/>
      <c r="TZM44" s="669"/>
      <c r="TZN44" s="669"/>
      <c r="TZO44" s="669"/>
      <c r="TZP44" s="669"/>
      <c r="TZQ44" s="669"/>
      <c r="TZR44" s="669"/>
      <c r="TZS44" s="669"/>
      <c r="TZT44" s="669"/>
      <c r="TZU44" s="669"/>
      <c r="TZV44" s="669"/>
      <c r="TZW44" s="669"/>
      <c r="TZX44" s="669"/>
      <c r="TZY44" s="669"/>
      <c r="TZZ44" s="669"/>
      <c r="UAA44" s="669"/>
      <c r="UAB44" s="669"/>
      <c r="UAC44" s="669"/>
      <c r="UAD44" s="669"/>
      <c r="UAE44" s="669"/>
      <c r="UAF44" s="669"/>
      <c r="UAG44" s="669"/>
      <c r="UAH44" s="669"/>
      <c r="UAI44" s="669"/>
      <c r="UAJ44" s="669"/>
      <c r="UAK44" s="669"/>
      <c r="UAL44" s="669"/>
      <c r="UAM44" s="669"/>
      <c r="UAN44" s="669"/>
      <c r="UAO44" s="669"/>
      <c r="UAP44" s="669"/>
      <c r="UAQ44" s="669"/>
      <c r="UAR44" s="669"/>
      <c r="UAS44" s="669"/>
      <c r="UAT44" s="669"/>
      <c r="UAU44" s="669"/>
      <c r="UAV44" s="669"/>
      <c r="UAW44" s="669"/>
      <c r="UAX44" s="669"/>
      <c r="UAY44" s="669"/>
      <c r="UAZ44" s="669"/>
      <c r="UBA44" s="669"/>
      <c r="UBB44" s="669"/>
      <c r="UBC44" s="669"/>
      <c r="UBD44" s="669"/>
      <c r="UBE44" s="669"/>
      <c r="UBF44" s="669"/>
      <c r="UBG44" s="669"/>
      <c r="UBH44" s="669"/>
      <c r="UBI44" s="669"/>
      <c r="UBJ44" s="669"/>
      <c r="UBK44" s="669"/>
      <c r="UBL44" s="669"/>
      <c r="UBM44" s="669"/>
      <c r="UBN44" s="669"/>
      <c r="UBO44" s="669"/>
      <c r="UBP44" s="669"/>
      <c r="UBQ44" s="669"/>
      <c r="UBR44" s="669"/>
      <c r="UBS44" s="669"/>
      <c r="UBT44" s="669"/>
      <c r="UBU44" s="669"/>
      <c r="UBV44" s="669"/>
      <c r="UBW44" s="669"/>
      <c r="UBX44" s="669"/>
      <c r="UBY44" s="669"/>
      <c r="UBZ44" s="669"/>
      <c r="UCA44" s="669"/>
      <c r="UCB44" s="669"/>
      <c r="UCC44" s="669"/>
      <c r="UCD44" s="669"/>
      <c r="UCE44" s="669"/>
      <c r="UCF44" s="669"/>
      <c r="UCG44" s="669"/>
      <c r="UCH44" s="669"/>
      <c r="UCI44" s="669"/>
      <c r="UCJ44" s="669"/>
      <c r="UCK44" s="669"/>
      <c r="UCL44" s="669"/>
      <c r="UCM44" s="669"/>
      <c r="UCN44" s="669"/>
      <c r="UCO44" s="669"/>
      <c r="UCP44" s="669"/>
      <c r="UCQ44" s="669"/>
      <c r="UCR44" s="669"/>
      <c r="UCS44" s="669"/>
      <c r="UCT44" s="669"/>
      <c r="UCU44" s="669"/>
      <c r="UCV44" s="669"/>
      <c r="UCW44" s="669"/>
      <c r="UCX44" s="669"/>
      <c r="UCY44" s="669"/>
      <c r="UCZ44" s="669"/>
      <c r="UDA44" s="669"/>
      <c r="UDB44" s="669"/>
      <c r="UDC44" s="669"/>
      <c r="UDD44" s="669"/>
      <c r="UDE44" s="669"/>
      <c r="UDF44" s="669"/>
      <c r="UDG44" s="669"/>
      <c r="UDH44" s="669"/>
      <c r="UDI44" s="669"/>
      <c r="UDJ44" s="669"/>
      <c r="UDK44" s="669"/>
      <c r="UDL44" s="669"/>
      <c r="UDM44" s="669"/>
      <c r="UDN44" s="669"/>
      <c r="UDO44" s="669"/>
      <c r="UDP44" s="669"/>
      <c r="UDQ44" s="669"/>
      <c r="UDR44" s="669"/>
      <c r="UDS44" s="669"/>
      <c r="UDT44" s="669"/>
      <c r="UDU44" s="669"/>
      <c r="UDV44" s="669"/>
      <c r="UDW44" s="669"/>
      <c r="UDX44" s="669"/>
      <c r="UDY44" s="669"/>
      <c r="UDZ44" s="669"/>
      <c r="UEA44" s="669"/>
      <c r="UEB44" s="669"/>
      <c r="UEC44" s="669"/>
      <c r="UED44" s="669"/>
      <c r="UEE44" s="669"/>
      <c r="UEF44" s="669"/>
      <c r="UEG44" s="669"/>
      <c r="UEH44" s="669"/>
      <c r="UEI44" s="669"/>
      <c r="UEJ44" s="669"/>
      <c r="UEK44" s="669"/>
      <c r="UEL44" s="669"/>
      <c r="UEM44" s="669"/>
      <c r="UEN44" s="669"/>
      <c r="UEO44" s="669"/>
      <c r="UEP44" s="669"/>
      <c r="UEQ44" s="669"/>
      <c r="UER44" s="669"/>
      <c r="UES44" s="669"/>
      <c r="UET44" s="669"/>
      <c r="UEU44" s="669"/>
      <c r="UEV44" s="669"/>
      <c r="UEW44" s="669"/>
      <c r="UEX44" s="669"/>
      <c r="UEY44" s="669"/>
      <c r="UEZ44" s="669"/>
      <c r="UFA44" s="669"/>
      <c r="UFB44" s="669"/>
      <c r="UFC44" s="669"/>
      <c r="UFD44" s="669"/>
      <c r="UFE44" s="669"/>
      <c r="UFF44" s="669"/>
      <c r="UFG44" s="669"/>
      <c r="UFH44" s="669"/>
      <c r="UFI44" s="669"/>
      <c r="UFJ44" s="669"/>
      <c r="UFK44" s="669"/>
      <c r="UFL44" s="669"/>
      <c r="UFM44" s="669"/>
      <c r="UFN44" s="669"/>
      <c r="UFO44" s="669"/>
      <c r="UFP44" s="669"/>
      <c r="UFQ44" s="669"/>
      <c r="UFR44" s="669"/>
      <c r="UFS44" s="669"/>
      <c r="UFT44" s="669"/>
      <c r="UFU44" s="669"/>
      <c r="UFV44" s="669"/>
      <c r="UFW44" s="669"/>
      <c r="UFX44" s="669"/>
      <c r="UFY44" s="669"/>
      <c r="UFZ44" s="669"/>
      <c r="UGA44" s="669"/>
      <c r="UGB44" s="669"/>
      <c r="UGC44" s="669"/>
      <c r="UGD44" s="669"/>
      <c r="UGE44" s="669"/>
      <c r="UGF44" s="669"/>
      <c r="UGG44" s="669"/>
      <c r="UGH44" s="669"/>
      <c r="UGI44" s="669"/>
      <c r="UGJ44" s="669"/>
      <c r="UGK44" s="669"/>
      <c r="UGL44" s="669"/>
      <c r="UGM44" s="669"/>
      <c r="UGN44" s="669"/>
      <c r="UGO44" s="669"/>
      <c r="UGP44" s="669"/>
      <c r="UGQ44" s="669"/>
      <c r="UGR44" s="669"/>
      <c r="UGS44" s="669"/>
      <c r="UGT44" s="669"/>
      <c r="UGU44" s="669"/>
      <c r="UGV44" s="669"/>
      <c r="UGW44" s="669"/>
      <c r="UGX44" s="669"/>
      <c r="UGY44" s="669"/>
      <c r="UGZ44" s="669"/>
      <c r="UHA44" s="669"/>
      <c r="UHB44" s="669"/>
      <c r="UHC44" s="669"/>
      <c r="UHD44" s="669"/>
      <c r="UHE44" s="669"/>
      <c r="UHF44" s="669"/>
      <c r="UHG44" s="669"/>
      <c r="UHH44" s="669"/>
      <c r="UHI44" s="669"/>
      <c r="UHJ44" s="669"/>
      <c r="UHK44" s="669"/>
      <c r="UHL44" s="669"/>
      <c r="UHM44" s="669"/>
      <c r="UHN44" s="669"/>
      <c r="UHO44" s="669"/>
      <c r="UHP44" s="669"/>
      <c r="UHQ44" s="669"/>
      <c r="UHR44" s="669"/>
      <c r="UHS44" s="669"/>
      <c r="UHT44" s="669"/>
      <c r="UHU44" s="669"/>
      <c r="UHV44" s="669"/>
      <c r="UHW44" s="669"/>
      <c r="UHX44" s="669"/>
      <c r="UHY44" s="669"/>
      <c r="UHZ44" s="669"/>
      <c r="UIA44" s="669"/>
      <c r="UIB44" s="669"/>
      <c r="UIC44" s="669"/>
      <c r="UID44" s="669"/>
      <c r="UIE44" s="669"/>
      <c r="UIF44" s="669"/>
      <c r="UIG44" s="669"/>
      <c r="UIH44" s="669"/>
      <c r="UII44" s="669"/>
      <c r="UIJ44" s="669"/>
      <c r="UIK44" s="669"/>
      <c r="UIL44" s="669"/>
      <c r="UIM44" s="669"/>
      <c r="UIN44" s="669"/>
      <c r="UIO44" s="669"/>
      <c r="UIP44" s="669"/>
      <c r="UIQ44" s="669"/>
      <c r="UIR44" s="669"/>
      <c r="UIS44" s="669"/>
      <c r="UIT44" s="669"/>
      <c r="UIU44" s="669"/>
      <c r="UIV44" s="669"/>
      <c r="UIW44" s="669"/>
      <c r="UIX44" s="669"/>
      <c r="UIY44" s="669"/>
      <c r="UIZ44" s="669"/>
      <c r="UJA44" s="669"/>
      <c r="UJB44" s="669"/>
      <c r="UJC44" s="669"/>
      <c r="UJD44" s="669"/>
      <c r="UJE44" s="669"/>
      <c r="UJF44" s="669"/>
      <c r="UJG44" s="669"/>
      <c r="UJH44" s="669"/>
      <c r="UJI44" s="669"/>
      <c r="UJJ44" s="669"/>
      <c r="UJK44" s="669"/>
      <c r="UJL44" s="669"/>
      <c r="UJM44" s="669"/>
      <c r="UJN44" s="669"/>
      <c r="UJO44" s="669"/>
      <c r="UJP44" s="669"/>
      <c r="UJQ44" s="669"/>
      <c r="UJR44" s="669"/>
      <c r="UJS44" s="669"/>
      <c r="UJT44" s="669"/>
      <c r="UJU44" s="669"/>
      <c r="UJV44" s="669"/>
      <c r="UJW44" s="669"/>
      <c r="UJX44" s="669"/>
      <c r="UJY44" s="669"/>
      <c r="UJZ44" s="669"/>
      <c r="UKA44" s="669"/>
      <c r="UKB44" s="669"/>
      <c r="UKC44" s="669"/>
      <c r="UKD44" s="669"/>
      <c r="UKE44" s="669"/>
      <c r="UKF44" s="669"/>
      <c r="UKG44" s="669"/>
      <c r="UKH44" s="669"/>
      <c r="UKI44" s="669"/>
      <c r="UKJ44" s="669"/>
      <c r="UKK44" s="669"/>
      <c r="UKL44" s="669"/>
      <c r="UKM44" s="669"/>
      <c r="UKN44" s="669"/>
      <c r="UKO44" s="669"/>
      <c r="UKP44" s="669"/>
      <c r="UKQ44" s="669"/>
      <c r="UKR44" s="669"/>
      <c r="UKS44" s="669"/>
      <c r="UKT44" s="669"/>
      <c r="UKU44" s="669"/>
      <c r="UKV44" s="669"/>
      <c r="UKW44" s="669"/>
      <c r="UKX44" s="669"/>
      <c r="UKY44" s="669"/>
      <c r="UKZ44" s="669"/>
      <c r="ULA44" s="669"/>
      <c r="ULB44" s="669"/>
      <c r="ULC44" s="669"/>
      <c r="ULD44" s="669"/>
      <c r="ULE44" s="669"/>
      <c r="ULF44" s="669"/>
      <c r="ULG44" s="669"/>
      <c r="ULH44" s="669"/>
      <c r="ULI44" s="669"/>
      <c r="ULJ44" s="669"/>
      <c r="ULK44" s="669"/>
      <c r="ULL44" s="669"/>
      <c r="ULM44" s="669"/>
      <c r="ULN44" s="669"/>
      <c r="ULO44" s="669"/>
      <c r="ULP44" s="669"/>
      <c r="ULQ44" s="669"/>
      <c r="ULR44" s="669"/>
      <c r="ULS44" s="669"/>
      <c r="ULT44" s="669"/>
      <c r="ULU44" s="669"/>
      <c r="ULV44" s="669"/>
      <c r="ULW44" s="669"/>
      <c r="ULX44" s="669"/>
      <c r="ULY44" s="669"/>
      <c r="ULZ44" s="669"/>
      <c r="UMA44" s="669"/>
      <c r="UMB44" s="669"/>
      <c r="UMC44" s="669"/>
      <c r="UMD44" s="669"/>
      <c r="UME44" s="669"/>
      <c r="UMF44" s="669"/>
      <c r="UMG44" s="669"/>
      <c r="UMH44" s="669"/>
      <c r="UMI44" s="669"/>
      <c r="UMJ44" s="669"/>
      <c r="UMK44" s="669"/>
      <c r="UML44" s="669"/>
      <c r="UMM44" s="669"/>
      <c r="UMN44" s="669"/>
      <c r="UMO44" s="669"/>
      <c r="UMP44" s="669"/>
      <c r="UMQ44" s="669"/>
      <c r="UMR44" s="669"/>
      <c r="UMS44" s="669"/>
      <c r="UMT44" s="669"/>
      <c r="UMU44" s="669"/>
      <c r="UMV44" s="669"/>
      <c r="UMW44" s="669"/>
      <c r="UMX44" s="669"/>
      <c r="UMY44" s="669"/>
      <c r="UMZ44" s="669"/>
      <c r="UNA44" s="669"/>
      <c r="UNB44" s="669"/>
      <c r="UNC44" s="669"/>
      <c r="UND44" s="669"/>
      <c r="UNE44" s="669"/>
      <c r="UNF44" s="669"/>
      <c r="UNG44" s="669"/>
      <c r="UNH44" s="669"/>
      <c r="UNI44" s="669"/>
      <c r="UNJ44" s="669"/>
      <c r="UNK44" s="669"/>
      <c r="UNL44" s="669"/>
      <c r="UNM44" s="669"/>
      <c r="UNN44" s="669"/>
      <c r="UNO44" s="669"/>
      <c r="UNP44" s="669"/>
      <c r="UNQ44" s="669"/>
      <c r="UNR44" s="669"/>
      <c r="UNS44" s="669"/>
      <c r="UNT44" s="669"/>
      <c r="UNU44" s="669"/>
      <c r="UNV44" s="669"/>
      <c r="UNW44" s="669"/>
      <c r="UNX44" s="669"/>
      <c r="UNY44" s="669"/>
      <c r="UNZ44" s="669"/>
      <c r="UOA44" s="669"/>
      <c r="UOB44" s="669"/>
      <c r="UOC44" s="669"/>
      <c r="UOD44" s="669"/>
      <c r="UOE44" s="669"/>
      <c r="UOF44" s="669"/>
      <c r="UOG44" s="669"/>
      <c r="UOH44" s="669"/>
      <c r="UOI44" s="669"/>
      <c r="UOJ44" s="669"/>
      <c r="UOK44" s="669"/>
      <c r="UOL44" s="669"/>
      <c r="UOM44" s="669"/>
      <c r="UON44" s="669"/>
      <c r="UOO44" s="669"/>
      <c r="UOP44" s="669"/>
      <c r="UOQ44" s="669"/>
      <c r="UOR44" s="669"/>
      <c r="UOS44" s="669"/>
      <c r="UOT44" s="669"/>
      <c r="UOU44" s="669"/>
      <c r="UOV44" s="669"/>
      <c r="UOW44" s="669"/>
      <c r="UOX44" s="669"/>
      <c r="UOY44" s="669"/>
      <c r="UOZ44" s="669"/>
      <c r="UPA44" s="669"/>
      <c r="UPB44" s="669"/>
      <c r="UPC44" s="669"/>
      <c r="UPD44" s="669"/>
      <c r="UPE44" s="669"/>
      <c r="UPF44" s="669"/>
      <c r="UPG44" s="669"/>
      <c r="UPH44" s="669"/>
      <c r="UPI44" s="669"/>
      <c r="UPJ44" s="669"/>
      <c r="UPK44" s="669"/>
      <c r="UPL44" s="669"/>
      <c r="UPM44" s="669"/>
      <c r="UPN44" s="669"/>
      <c r="UPO44" s="669"/>
      <c r="UPP44" s="669"/>
      <c r="UPQ44" s="669"/>
      <c r="UPR44" s="669"/>
      <c r="UPS44" s="669"/>
      <c r="UPT44" s="669"/>
      <c r="UPU44" s="669"/>
      <c r="UPV44" s="669"/>
      <c r="UPW44" s="669"/>
      <c r="UPX44" s="669"/>
      <c r="UPY44" s="669"/>
      <c r="UPZ44" s="669"/>
      <c r="UQA44" s="669"/>
      <c r="UQB44" s="669"/>
      <c r="UQC44" s="669"/>
      <c r="UQD44" s="669"/>
      <c r="UQE44" s="669"/>
      <c r="UQF44" s="669"/>
      <c r="UQG44" s="669"/>
      <c r="UQH44" s="669"/>
      <c r="UQI44" s="669"/>
      <c r="UQJ44" s="669"/>
      <c r="UQK44" s="669"/>
      <c r="UQL44" s="669"/>
      <c r="UQM44" s="669"/>
      <c r="UQN44" s="669"/>
      <c r="UQO44" s="669"/>
      <c r="UQP44" s="669"/>
      <c r="UQQ44" s="669"/>
      <c r="UQR44" s="669"/>
      <c r="UQS44" s="669"/>
      <c r="UQT44" s="669"/>
      <c r="UQU44" s="669"/>
      <c r="UQV44" s="669"/>
      <c r="UQW44" s="669"/>
      <c r="UQX44" s="669"/>
      <c r="UQY44" s="669"/>
      <c r="UQZ44" s="669"/>
      <c r="URA44" s="669"/>
      <c r="URB44" s="669"/>
      <c r="URC44" s="669"/>
      <c r="URD44" s="669"/>
      <c r="URE44" s="669"/>
      <c r="URF44" s="669"/>
      <c r="URG44" s="669"/>
      <c r="URH44" s="669"/>
      <c r="URI44" s="669"/>
      <c r="URJ44" s="669"/>
      <c r="URK44" s="669"/>
      <c r="URL44" s="669"/>
      <c r="URM44" s="669"/>
      <c r="URN44" s="669"/>
      <c r="URO44" s="669"/>
      <c r="URP44" s="669"/>
      <c r="URQ44" s="669"/>
      <c r="URR44" s="669"/>
      <c r="URS44" s="669"/>
      <c r="URT44" s="669"/>
      <c r="URU44" s="669"/>
      <c r="URV44" s="669"/>
      <c r="URW44" s="669"/>
      <c r="URX44" s="669"/>
      <c r="URY44" s="669"/>
      <c r="URZ44" s="669"/>
      <c r="USA44" s="669"/>
      <c r="USB44" s="669"/>
      <c r="USC44" s="669"/>
      <c r="USD44" s="669"/>
      <c r="USE44" s="669"/>
      <c r="USF44" s="669"/>
      <c r="USG44" s="669"/>
      <c r="USH44" s="669"/>
      <c r="USI44" s="669"/>
      <c r="USJ44" s="669"/>
      <c r="USK44" s="669"/>
      <c r="USL44" s="669"/>
      <c r="USM44" s="669"/>
      <c r="USN44" s="669"/>
      <c r="USO44" s="669"/>
      <c r="USP44" s="669"/>
      <c r="USQ44" s="669"/>
      <c r="USR44" s="669"/>
      <c r="USS44" s="669"/>
      <c r="UST44" s="669"/>
      <c r="USU44" s="669"/>
      <c r="USV44" s="669"/>
      <c r="USW44" s="669"/>
      <c r="USX44" s="669"/>
      <c r="USY44" s="669"/>
      <c r="USZ44" s="669"/>
      <c r="UTA44" s="669"/>
      <c r="UTB44" s="669"/>
      <c r="UTC44" s="669"/>
      <c r="UTD44" s="669"/>
      <c r="UTE44" s="669"/>
      <c r="UTF44" s="669"/>
      <c r="UTG44" s="669"/>
      <c r="UTH44" s="669"/>
      <c r="UTI44" s="669"/>
      <c r="UTJ44" s="669"/>
      <c r="UTK44" s="669"/>
      <c r="UTL44" s="669"/>
      <c r="UTM44" s="669"/>
      <c r="UTN44" s="669"/>
      <c r="UTO44" s="669"/>
      <c r="UTP44" s="669"/>
      <c r="UTQ44" s="669"/>
      <c r="UTR44" s="669"/>
      <c r="UTS44" s="669"/>
      <c r="UTT44" s="669"/>
      <c r="UTU44" s="669"/>
      <c r="UTV44" s="669"/>
      <c r="UTW44" s="669"/>
      <c r="UTX44" s="669"/>
      <c r="UTY44" s="669"/>
      <c r="UTZ44" s="669"/>
      <c r="UUA44" s="669"/>
      <c r="UUB44" s="669"/>
      <c r="UUC44" s="669"/>
      <c r="UUD44" s="669"/>
      <c r="UUE44" s="669"/>
      <c r="UUF44" s="669"/>
      <c r="UUG44" s="669"/>
      <c r="UUH44" s="669"/>
      <c r="UUI44" s="669"/>
      <c r="UUJ44" s="669"/>
      <c r="UUK44" s="669"/>
      <c r="UUL44" s="669"/>
      <c r="UUM44" s="669"/>
      <c r="UUN44" s="669"/>
      <c r="UUO44" s="669"/>
      <c r="UUP44" s="669"/>
      <c r="UUQ44" s="669"/>
      <c r="UUR44" s="669"/>
      <c r="UUS44" s="669"/>
      <c r="UUT44" s="669"/>
      <c r="UUU44" s="669"/>
      <c r="UUV44" s="669"/>
      <c r="UUW44" s="669"/>
      <c r="UUX44" s="669"/>
      <c r="UUY44" s="669"/>
      <c r="UUZ44" s="669"/>
      <c r="UVA44" s="669"/>
      <c r="UVB44" s="669"/>
      <c r="UVC44" s="669"/>
      <c r="UVD44" s="669"/>
      <c r="UVE44" s="669"/>
      <c r="UVF44" s="669"/>
      <c r="UVG44" s="669"/>
      <c r="UVH44" s="669"/>
      <c r="UVI44" s="669"/>
      <c r="UVJ44" s="669"/>
      <c r="UVK44" s="669"/>
      <c r="UVL44" s="669"/>
      <c r="UVM44" s="669"/>
      <c r="UVN44" s="669"/>
      <c r="UVO44" s="669"/>
      <c r="UVP44" s="669"/>
      <c r="UVQ44" s="669"/>
      <c r="UVR44" s="669"/>
      <c r="UVS44" s="669"/>
      <c r="UVT44" s="669"/>
      <c r="UVU44" s="669"/>
      <c r="UVV44" s="669"/>
      <c r="UVW44" s="669"/>
      <c r="UVX44" s="669"/>
      <c r="UVY44" s="669"/>
      <c r="UVZ44" s="669"/>
      <c r="UWA44" s="669"/>
      <c r="UWB44" s="669"/>
      <c r="UWC44" s="669"/>
      <c r="UWD44" s="669"/>
      <c r="UWE44" s="669"/>
      <c r="UWF44" s="669"/>
      <c r="UWG44" s="669"/>
      <c r="UWH44" s="669"/>
      <c r="UWI44" s="669"/>
      <c r="UWJ44" s="669"/>
      <c r="UWK44" s="669"/>
      <c r="UWL44" s="669"/>
      <c r="UWM44" s="669"/>
      <c r="UWN44" s="669"/>
      <c r="UWO44" s="669"/>
      <c r="UWP44" s="669"/>
      <c r="UWQ44" s="669"/>
      <c r="UWR44" s="669"/>
      <c r="UWS44" s="669"/>
      <c r="UWT44" s="669"/>
      <c r="UWU44" s="669"/>
      <c r="UWV44" s="669"/>
      <c r="UWW44" s="669"/>
      <c r="UWX44" s="669"/>
      <c r="UWY44" s="669"/>
      <c r="UWZ44" s="669"/>
      <c r="UXA44" s="669"/>
      <c r="UXB44" s="669"/>
      <c r="UXC44" s="669"/>
      <c r="UXD44" s="669"/>
      <c r="UXE44" s="669"/>
      <c r="UXF44" s="669"/>
      <c r="UXG44" s="669"/>
      <c r="UXH44" s="669"/>
      <c r="UXI44" s="669"/>
      <c r="UXJ44" s="669"/>
      <c r="UXK44" s="669"/>
      <c r="UXL44" s="669"/>
      <c r="UXM44" s="669"/>
      <c r="UXN44" s="669"/>
      <c r="UXO44" s="669"/>
      <c r="UXP44" s="669"/>
      <c r="UXQ44" s="669"/>
      <c r="UXR44" s="669"/>
      <c r="UXS44" s="669"/>
      <c r="UXT44" s="669"/>
      <c r="UXU44" s="669"/>
      <c r="UXV44" s="669"/>
      <c r="UXW44" s="669"/>
      <c r="UXX44" s="669"/>
      <c r="UXY44" s="669"/>
      <c r="UXZ44" s="669"/>
      <c r="UYA44" s="669"/>
      <c r="UYB44" s="669"/>
      <c r="UYC44" s="669"/>
      <c r="UYD44" s="669"/>
      <c r="UYE44" s="669"/>
      <c r="UYF44" s="669"/>
      <c r="UYG44" s="669"/>
      <c r="UYH44" s="669"/>
      <c r="UYI44" s="669"/>
      <c r="UYJ44" s="669"/>
      <c r="UYK44" s="669"/>
      <c r="UYL44" s="669"/>
      <c r="UYM44" s="669"/>
      <c r="UYN44" s="669"/>
      <c r="UYO44" s="669"/>
      <c r="UYP44" s="669"/>
      <c r="UYQ44" s="669"/>
      <c r="UYR44" s="669"/>
      <c r="UYS44" s="669"/>
      <c r="UYT44" s="669"/>
      <c r="UYU44" s="669"/>
      <c r="UYV44" s="669"/>
      <c r="UYW44" s="669"/>
      <c r="UYX44" s="669"/>
      <c r="UYY44" s="669"/>
      <c r="UYZ44" s="669"/>
      <c r="UZA44" s="669"/>
      <c r="UZB44" s="669"/>
      <c r="UZC44" s="669"/>
      <c r="UZD44" s="669"/>
      <c r="UZE44" s="669"/>
      <c r="UZF44" s="669"/>
      <c r="UZG44" s="669"/>
      <c r="UZH44" s="669"/>
      <c r="UZI44" s="669"/>
      <c r="UZJ44" s="669"/>
      <c r="UZK44" s="669"/>
      <c r="UZL44" s="669"/>
      <c r="UZM44" s="669"/>
      <c r="UZN44" s="669"/>
      <c r="UZO44" s="669"/>
      <c r="UZP44" s="669"/>
      <c r="UZQ44" s="669"/>
      <c r="UZR44" s="669"/>
      <c r="UZS44" s="669"/>
      <c r="UZT44" s="669"/>
      <c r="UZU44" s="669"/>
      <c r="UZV44" s="669"/>
      <c r="UZW44" s="669"/>
      <c r="UZX44" s="669"/>
      <c r="UZY44" s="669"/>
      <c r="UZZ44" s="669"/>
      <c r="VAA44" s="669"/>
      <c r="VAB44" s="669"/>
      <c r="VAC44" s="669"/>
      <c r="VAD44" s="669"/>
      <c r="VAE44" s="669"/>
      <c r="VAF44" s="669"/>
      <c r="VAG44" s="669"/>
      <c r="VAH44" s="669"/>
      <c r="VAI44" s="669"/>
      <c r="VAJ44" s="669"/>
      <c r="VAK44" s="669"/>
      <c r="VAL44" s="669"/>
      <c r="VAM44" s="669"/>
      <c r="VAN44" s="669"/>
      <c r="VAO44" s="669"/>
      <c r="VAP44" s="669"/>
      <c r="VAQ44" s="669"/>
      <c r="VAR44" s="669"/>
      <c r="VAS44" s="669"/>
      <c r="VAT44" s="669"/>
      <c r="VAU44" s="669"/>
      <c r="VAV44" s="669"/>
      <c r="VAW44" s="669"/>
      <c r="VAX44" s="669"/>
      <c r="VAY44" s="669"/>
      <c r="VAZ44" s="669"/>
      <c r="VBA44" s="669"/>
      <c r="VBB44" s="669"/>
      <c r="VBC44" s="669"/>
      <c r="VBD44" s="669"/>
      <c r="VBE44" s="669"/>
      <c r="VBF44" s="669"/>
      <c r="VBG44" s="669"/>
      <c r="VBH44" s="669"/>
      <c r="VBI44" s="669"/>
      <c r="VBJ44" s="669"/>
      <c r="VBK44" s="669"/>
      <c r="VBL44" s="669"/>
      <c r="VBM44" s="669"/>
      <c r="VBN44" s="669"/>
      <c r="VBO44" s="669"/>
      <c r="VBP44" s="669"/>
      <c r="VBQ44" s="669"/>
      <c r="VBR44" s="669"/>
      <c r="VBS44" s="669"/>
      <c r="VBT44" s="669"/>
      <c r="VBU44" s="669"/>
      <c r="VBV44" s="669"/>
      <c r="VBW44" s="669"/>
      <c r="VBX44" s="669"/>
      <c r="VBY44" s="669"/>
      <c r="VBZ44" s="669"/>
      <c r="VCA44" s="669"/>
      <c r="VCB44" s="669"/>
      <c r="VCC44" s="669"/>
      <c r="VCD44" s="669"/>
      <c r="VCE44" s="669"/>
      <c r="VCF44" s="669"/>
      <c r="VCG44" s="669"/>
      <c r="VCH44" s="669"/>
      <c r="VCI44" s="669"/>
      <c r="VCJ44" s="669"/>
      <c r="VCK44" s="669"/>
      <c r="VCL44" s="669"/>
      <c r="VCM44" s="669"/>
      <c r="VCN44" s="669"/>
      <c r="VCO44" s="669"/>
      <c r="VCP44" s="669"/>
      <c r="VCQ44" s="669"/>
      <c r="VCR44" s="669"/>
      <c r="VCS44" s="669"/>
      <c r="VCT44" s="669"/>
      <c r="VCU44" s="669"/>
      <c r="VCV44" s="669"/>
      <c r="VCW44" s="669"/>
      <c r="VCX44" s="669"/>
      <c r="VCY44" s="669"/>
      <c r="VCZ44" s="669"/>
      <c r="VDA44" s="669"/>
      <c r="VDB44" s="669"/>
      <c r="VDC44" s="669"/>
      <c r="VDD44" s="669"/>
      <c r="VDE44" s="669"/>
      <c r="VDF44" s="669"/>
      <c r="VDG44" s="669"/>
      <c r="VDH44" s="669"/>
      <c r="VDI44" s="669"/>
      <c r="VDJ44" s="669"/>
      <c r="VDK44" s="669"/>
      <c r="VDL44" s="669"/>
      <c r="VDM44" s="669"/>
      <c r="VDN44" s="669"/>
      <c r="VDO44" s="669"/>
      <c r="VDP44" s="669"/>
      <c r="VDQ44" s="669"/>
      <c r="VDR44" s="669"/>
      <c r="VDS44" s="669"/>
      <c r="VDT44" s="669"/>
      <c r="VDU44" s="669"/>
      <c r="VDV44" s="669"/>
      <c r="VDW44" s="669"/>
      <c r="VDX44" s="669"/>
      <c r="VDY44" s="669"/>
      <c r="VDZ44" s="669"/>
      <c r="VEA44" s="669"/>
      <c r="VEB44" s="669"/>
      <c r="VEC44" s="669"/>
      <c r="VED44" s="669"/>
      <c r="VEE44" s="669"/>
      <c r="VEF44" s="669"/>
      <c r="VEG44" s="669"/>
      <c r="VEH44" s="669"/>
      <c r="VEI44" s="669"/>
      <c r="VEJ44" s="669"/>
      <c r="VEK44" s="669"/>
      <c r="VEL44" s="669"/>
      <c r="VEM44" s="669"/>
      <c r="VEN44" s="669"/>
      <c r="VEO44" s="669"/>
      <c r="VEP44" s="669"/>
      <c r="VEQ44" s="669"/>
      <c r="VER44" s="669"/>
      <c r="VES44" s="669"/>
      <c r="VET44" s="669"/>
      <c r="VEU44" s="669"/>
      <c r="VEV44" s="669"/>
      <c r="VEW44" s="669"/>
      <c r="VEX44" s="669"/>
      <c r="VEY44" s="669"/>
      <c r="VEZ44" s="669"/>
      <c r="VFA44" s="669"/>
      <c r="VFB44" s="669"/>
      <c r="VFC44" s="669"/>
      <c r="VFD44" s="669"/>
      <c r="VFE44" s="669"/>
      <c r="VFF44" s="669"/>
      <c r="VFG44" s="669"/>
      <c r="VFH44" s="669"/>
      <c r="VFI44" s="669"/>
      <c r="VFJ44" s="669"/>
      <c r="VFK44" s="669"/>
      <c r="VFL44" s="669"/>
      <c r="VFM44" s="669"/>
      <c r="VFN44" s="669"/>
      <c r="VFO44" s="669"/>
      <c r="VFP44" s="669"/>
      <c r="VFQ44" s="669"/>
      <c r="VFR44" s="669"/>
      <c r="VFS44" s="669"/>
      <c r="VFT44" s="669"/>
      <c r="VFU44" s="669"/>
      <c r="VFV44" s="669"/>
      <c r="VFW44" s="669"/>
      <c r="VFX44" s="669"/>
      <c r="VFY44" s="669"/>
      <c r="VFZ44" s="669"/>
      <c r="VGA44" s="669"/>
      <c r="VGB44" s="669"/>
      <c r="VGC44" s="669"/>
      <c r="VGD44" s="669"/>
      <c r="VGE44" s="669"/>
      <c r="VGF44" s="669"/>
      <c r="VGG44" s="669"/>
      <c r="VGH44" s="669"/>
      <c r="VGI44" s="669"/>
      <c r="VGJ44" s="669"/>
      <c r="VGK44" s="669"/>
      <c r="VGL44" s="669"/>
      <c r="VGM44" s="669"/>
      <c r="VGN44" s="669"/>
      <c r="VGO44" s="669"/>
      <c r="VGP44" s="669"/>
      <c r="VGQ44" s="669"/>
      <c r="VGR44" s="669"/>
      <c r="VGS44" s="669"/>
      <c r="VGT44" s="669"/>
      <c r="VGU44" s="669"/>
      <c r="VGV44" s="669"/>
      <c r="VGW44" s="669"/>
      <c r="VGX44" s="669"/>
      <c r="VGY44" s="669"/>
      <c r="VGZ44" s="669"/>
      <c r="VHA44" s="669"/>
      <c r="VHB44" s="669"/>
      <c r="VHC44" s="669"/>
      <c r="VHD44" s="669"/>
      <c r="VHE44" s="669"/>
      <c r="VHF44" s="669"/>
      <c r="VHG44" s="669"/>
      <c r="VHH44" s="669"/>
      <c r="VHI44" s="669"/>
      <c r="VHJ44" s="669"/>
      <c r="VHK44" s="669"/>
      <c r="VHL44" s="669"/>
      <c r="VHM44" s="669"/>
      <c r="VHN44" s="669"/>
      <c r="VHO44" s="669"/>
      <c r="VHP44" s="669"/>
      <c r="VHQ44" s="669"/>
      <c r="VHR44" s="669"/>
      <c r="VHS44" s="669"/>
      <c r="VHT44" s="669"/>
      <c r="VHU44" s="669"/>
      <c r="VHV44" s="669"/>
      <c r="VHW44" s="669"/>
      <c r="VHX44" s="669"/>
      <c r="VHY44" s="669"/>
      <c r="VHZ44" s="669"/>
      <c r="VIA44" s="669"/>
      <c r="VIB44" s="669"/>
      <c r="VIC44" s="669"/>
      <c r="VID44" s="669"/>
      <c r="VIE44" s="669"/>
      <c r="VIF44" s="669"/>
      <c r="VIG44" s="669"/>
      <c r="VIH44" s="669"/>
      <c r="VII44" s="669"/>
      <c r="VIJ44" s="669"/>
      <c r="VIK44" s="669"/>
      <c r="VIL44" s="669"/>
      <c r="VIM44" s="669"/>
      <c r="VIN44" s="669"/>
      <c r="VIO44" s="669"/>
      <c r="VIP44" s="669"/>
      <c r="VIQ44" s="669"/>
      <c r="VIR44" s="669"/>
      <c r="VIS44" s="669"/>
      <c r="VIT44" s="669"/>
      <c r="VIU44" s="669"/>
      <c r="VIV44" s="669"/>
      <c r="VIW44" s="669"/>
      <c r="VIX44" s="669"/>
      <c r="VIY44" s="669"/>
      <c r="VIZ44" s="669"/>
      <c r="VJA44" s="669"/>
      <c r="VJB44" s="669"/>
      <c r="VJC44" s="669"/>
      <c r="VJD44" s="669"/>
      <c r="VJE44" s="669"/>
      <c r="VJF44" s="669"/>
      <c r="VJG44" s="669"/>
      <c r="VJH44" s="669"/>
      <c r="VJI44" s="669"/>
      <c r="VJJ44" s="669"/>
      <c r="VJK44" s="669"/>
      <c r="VJL44" s="669"/>
      <c r="VJM44" s="669"/>
      <c r="VJN44" s="669"/>
      <c r="VJO44" s="669"/>
      <c r="VJP44" s="669"/>
      <c r="VJQ44" s="669"/>
      <c r="VJR44" s="669"/>
      <c r="VJS44" s="669"/>
      <c r="VJT44" s="669"/>
      <c r="VJU44" s="669"/>
      <c r="VJV44" s="669"/>
      <c r="VJW44" s="669"/>
      <c r="VJX44" s="669"/>
      <c r="VJY44" s="669"/>
      <c r="VJZ44" s="669"/>
      <c r="VKA44" s="669"/>
      <c r="VKB44" s="669"/>
      <c r="VKC44" s="669"/>
      <c r="VKD44" s="669"/>
      <c r="VKE44" s="669"/>
      <c r="VKF44" s="669"/>
      <c r="VKG44" s="669"/>
      <c r="VKH44" s="669"/>
      <c r="VKI44" s="669"/>
      <c r="VKJ44" s="669"/>
      <c r="VKK44" s="669"/>
      <c r="VKL44" s="669"/>
      <c r="VKM44" s="669"/>
      <c r="VKN44" s="669"/>
      <c r="VKO44" s="669"/>
      <c r="VKP44" s="669"/>
      <c r="VKQ44" s="669"/>
      <c r="VKR44" s="669"/>
      <c r="VKS44" s="669"/>
      <c r="VKT44" s="669"/>
      <c r="VKU44" s="669"/>
      <c r="VKV44" s="669"/>
      <c r="VKW44" s="669"/>
      <c r="VKX44" s="669"/>
      <c r="VKY44" s="669"/>
      <c r="VKZ44" s="669"/>
      <c r="VLA44" s="669"/>
      <c r="VLB44" s="669"/>
      <c r="VLC44" s="669"/>
      <c r="VLD44" s="669"/>
      <c r="VLE44" s="669"/>
      <c r="VLF44" s="669"/>
      <c r="VLG44" s="669"/>
      <c r="VLH44" s="669"/>
      <c r="VLI44" s="669"/>
      <c r="VLJ44" s="669"/>
      <c r="VLK44" s="669"/>
      <c r="VLL44" s="669"/>
      <c r="VLM44" s="669"/>
      <c r="VLN44" s="669"/>
      <c r="VLO44" s="669"/>
      <c r="VLP44" s="669"/>
      <c r="VLQ44" s="669"/>
      <c r="VLR44" s="669"/>
      <c r="VLS44" s="669"/>
      <c r="VLT44" s="669"/>
      <c r="VLU44" s="669"/>
      <c r="VLV44" s="669"/>
      <c r="VLW44" s="669"/>
      <c r="VLX44" s="669"/>
      <c r="VLY44" s="669"/>
      <c r="VLZ44" s="669"/>
      <c r="VMA44" s="669"/>
      <c r="VMB44" s="669"/>
      <c r="VMC44" s="669"/>
      <c r="VMD44" s="669"/>
      <c r="VME44" s="669"/>
      <c r="VMF44" s="669"/>
      <c r="VMG44" s="669"/>
      <c r="VMH44" s="669"/>
      <c r="VMI44" s="669"/>
      <c r="VMJ44" s="669"/>
      <c r="VMK44" s="669"/>
      <c r="VML44" s="669"/>
      <c r="VMM44" s="669"/>
      <c r="VMN44" s="669"/>
      <c r="VMO44" s="669"/>
      <c r="VMP44" s="669"/>
      <c r="VMQ44" s="669"/>
      <c r="VMR44" s="669"/>
      <c r="VMS44" s="669"/>
      <c r="VMT44" s="669"/>
      <c r="VMU44" s="669"/>
      <c r="VMV44" s="669"/>
      <c r="VMW44" s="669"/>
      <c r="VMX44" s="669"/>
      <c r="VMY44" s="669"/>
      <c r="VMZ44" s="669"/>
      <c r="VNA44" s="669"/>
      <c r="VNB44" s="669"/>
      <c r="VNC44" s="669"/>
      <c r="VND44" s="669"/>
      <c r="VNE44" s="669"/>
      <c r="VNF44" s="669"/>
      <c r="VNG44" s="669"/>
      <c r="VNH44" s="669"/>
      <c r="VNI44" s="669"/>
      <c r="VNJ44" s="669"/>
      <c r="VNK44" s="669"/>
      <c r="VNL44" s="669"/>
      <c r="VNM44" s="669"/>
      <c r="VNN44" s="669"/>
      <c r="VNO44" s="669"/>
      <c r="VNP44" s="669"/>
      <c r="VNQ44" s="669"/>
      <c r="VNR44" s="669"/>
      <c r="VNS44" s="669"/>
      <c r="VNT44" s="669"/>
      <c r="VNU44" s="669"/>
      <c r="VNV44" s="669"/>
      <c r="VNW44" s="669"/>
      <c r="VNX44" s="669"/>
      <c r="VNY44" s="669"/>
      <c r="VNZ44" s="669"/>
      <c r="VOA44" s="669"/>
      <c r="VOB44" s="669"/>
      <c r="VOC44" s="669"/>
      <c r="VOD44" s="669"/>
      <c r="VOE44" s="669"/>
      <c r="VOF44" s="669"/>
      <c r="VOG44" s="669"/>
      <c r="VOH44" s="669"/>
      <c r="VOI44" s="669"/>
      <c r="VOJ44" s="669"/>
      <c r="VOK44" s="669"/>
      <c r="VOL44" s="669"/>
      <c r="VOM44" s="669"/>
      <c r="VON44" s="669"/>
      <c r="VOO44" s="669"/>
      <c r="VOP44" s="669"/>
      <c r="VOQ44" s="669"/>
      <c r="VOR44" s="669"/>
      <c r="VOS44" s="669"/>
      <c r="VOT44" s="669"/>
      <c r="VOU44" s="669"/>
      <c r="VOV44" s="669"/>
      <c r="VOW44" s="669"/>
      <c r="VOX44" s="669"/>
      <c r="VOY44" s="669"/>
      <c r="VOZ44" s="669"/>
      <c r="VPA44" s="669"/>
      <c r="VPB44" s="669"/>
      <c r="VPC44" s="669"/>
      <c r="VPD44" s="669"/>
      <c r="VPE44" s="669"/>
      <c r="VPF44" s="669"/>
      <c r="VPG44" s="669"/>
      <c r="VPH44" s="669"/>
      <c r="VPI44" s="669"/>
      <c r="VPJ44" s="669"/>
      <c r="VPK44" s="669"/>
      <c r="VPL44" s="669"/>
      <c r="VPM44" s="669"/>
      <c r="VPN44" s="669"/>
      <c r="VPO44" s="669"/>
      <c r="VPP44" s="669"/>
      <c r="VPQ44" s="669"/>
      <c r="VPR44" s="669"/>
      <c r="VPS44" s="669"/>
      <c r="VPT44" s="669"/>
      <c r="VPU44" s="669"/>
      <c r="VPV44" s="669"/>
      <c r="VPW44" s="669"/>
      <c r="VPX44" s="669"/>
      <c r="VPY44" s="669"/>
      <c r="VPZ44" s="669"/>
      <c r="VQA44" s="669"/>
      <c r="VQB44" s="669"/>
      <c r="VQC44" s="669"/>
      <c r="VQD44" s="669"/>
      <c r="VQE44" s="669"/>
      <c r="VQF44" s="669"/>
      <c r="VQG44" s="669"/>
      <c r="VQH44" s="669"/>
      <c r="VQI44" s="669"/>
      <c r="VQJ44" s="669"/>
      <c r="VQK44" s="669"/>
      <c r="VQL44" s="669"/>
      <c r="VQM44" s="669"/>
      <c r="VQN44" s="669"/>
      <c r="VQO44" s="669"/>
      <c r="VQP44" s="669"/>
      <c r="VQQ44" s="669"/>
      <c r="VQR44" s="669"/>
      <c r="VQS44" s="669"/>
      <c r="VQT44" s="669"/>
      <c r="VQU44" s="669"/>
      <c r="VQV44" s="669"/>
      <c r="VQW44" s="669"/>
      <c r="VQX44" s="669"/>
      <c r="VQY44" s="669"/>
      <c r="VQZ44" s="669"/>
      <c r="VRA44" s="669"/>
      <c r="VRB44" s="669"/>
      <c r="VRC44" s="669"/>
      <c r="VRD44" s="669"/>
      <c r="VRE44" s="669"/>
      <c r="VRF44" s="669"/>
      <c r="VRG44" s="669"/>
      <c r="VRH44" s="669"/>
      <c r="VRI44" s="669"/>
      <c r="VRJ44" s="669"/>
      <c r="VRK44" s="669"/>
      <c r="VRL44" s="669"/>
      <c r="VRM44" s="669"/>
      <c r="VRN44" s="669"/>
      <c r="VRO44" s="669"/>
      <c r="VRP44" s="669"/>
      <c r="VRQ44" s="669"/>
      <c r="VRR44" s="669"/>
      <c r="VRS44" s="669"/>
      <c r="VRT44" s="669"/>
      <c r="VRU44" s="669"/>
      <c r="VRV44" s="669"/>
      <c r="VRW44" s="669"/>
      <c r="VRX44" s="669"/>
      <c r="VRY44" s="669"/>
      <c r="VRZ44" s="669"/>
      <c r="VSA44" s="669"/>
      <c r="VSB44" s="669"/>
      <c r="VSC44" s="669"/>
      <c r="VSD44" s="669"/>
      <c r="VSE44" s="669"/>
      <c r="VSF44" s="669"/>
      <c r="VSG44" s="669"/>
      <c r="VSH44" s="669"/>
      <c r="VSI44" s="669"/>
      <c r="VSJ44" s="669"/>
      <c r="VSK44" s="669"/>
      <c r="VSL44" s="669"/>
      <c r="VSM44" s="669"/>
      <c r="VSN44" s="669"/>
      <c r="VSO44" s="669"/>
      <c r="VSP44" s="669"/>
      <c r="VSQ44" s="669"/>
      <c r="VSR44" s="669"/>
      <c r="VSS44" s="669"/>
      <c r="VST44" s="669"/>
      <c r="VSU44" s="669"/>
      <c r="VSV44" s="669"/>
      <c r="VSW44" s="669"/>
      <c r="VSX44" s="669"/>
      <c r="VSY44" s="669"/>
      <c r="VSZ44" s="669"/>
      <c r="VTA44" s="669"/>
      <c r="VTB44" s="669"/>
      <c r="VTC44" s="669"/>
      <c r="VTD44" s="669"/>
      <c r="VTE44" s="669"/>
      <c r="VTF44" s="669"/>
      <c r="VTG44" s="669"/>
      <c r="VTH44" s="669"/>
      <c r="VTI44" s="669"/>
      <c r="VTJ44" s="669"/>
      <c r="VTK44" s="669"/>
      <c r="VTL44" s="669"/>
      <c r="VTM44" s="669"/>
      <c r="VTN44" s="669"/>
      <c r="VTO44" s="669"/>
      <c r="VTP44" s="669"/>
      <c r="VTQ44" s="669"/>
      <c r="VTR44" s="669"/>
      <c r="VTS44" s="669"/>
      <c r="VTT44" s="669"/>
      <c r="VTU44" s="669"/>
      <c r="VTV44" s="669"/>
      <c r="VTW44" s="669"/>
      <c r="VTX44" s="669"/>
      <c r="VTY44" s="669"/>
      <c r="VTZ44" s="669"/>
      <c r="VUA44" s="669"/>
      <c r="VUB44" s="669"/>
      <c r="VUC44" s="669"/>
      <c r="VUD44" s="669"/>
      <c r="VUE44" s="669"/>
      <c r="VUF44" s="669"/>
      <c r="VUG44" s="669"/>
      <c r="VUH44" s="669"/>
      <c r="VUI44" s="669"/>
      <c r="VUJ44" s="669"/>
      <c r="VUK44" s="669"/>
      <c r="VUL44" s="669"/>
      <c r="VUM44" s="669"/>
      <c r="VUN44" s="669"/>
      <c r="VUO44" s="669"/>
      <c r="VUP44" s="669"/>
      <c r="VUQ44" s="669"/>
      <c r="VUR44" s="669"/>
      <c r="VUS44" s="669"/>
      <c r="VUT44" s="669"/>
      <c r="VUU44" s="669"/>
      <c r="VUV44" s="669"/>
      <c r="VUW44" s="669"/>
      <c r="VUX44" s="669"/>
      <c r="VUY44" s="669"/>
      <c r="VUZ44" s="669"/>
      <c r="VVA44" s="669"/>
      <c r="VVB44" s="669"/>
      <c r="VVC44" s="669"/>
      <c r="VVD44" s="669"/>
      <c r="VVE44" s="669"/>
      <c r="VVF44" s="669"/>
      <c r="VVG44" s="669"/>
      <c r="VVH44" s="669"/>
      <c r="VVI44" s="669"/>
      <c r="VVJ44" s="669"/>
      <c r="VVK44" s="669"/>
      <c r="VVL44" s="669"/>
      <c r="VVM44" s="669"/>
      <c r="VVN44" s="669"/>
      <c r="VVO44" s="669"/>
      <c r="VVP44" s="669"/>
      <c r="VVQ44" s="669"/>
      <c r="VVR44" s="669"/>
      <c r="VVS44" s="669"/>
      <c r="VVT44" s="669"/>
      <c r="VVU44" s="669"/>
      <c r="VVV44" s="669"/>
      <c r="VVW44" s="669"/>
      <c r="VVX44" s="669"/>
      <c r="VVY44" s="669"/>
      <c r="VVZ44" s="669"/>
      <c r="VWA44" s="669"/>
      <c r="VWB44" s="669"/>
      <c r="VWC44" s="669"/>
      <c r="VWD44" s="669"/>
      <c r="VWE44" s="669"/>
      <c r="VWF44" s="669"/>
      <c r="VWG44" s="669"/>
      <c r="VWH44" s="669"/>
      <c r="VWI44" s="669"/>
      <c r="VWJ44" s="669"/>
      <c r="VWK44" s="669"/>
      <c r="VWL44" s="669"/>
      <c r="VWM44" s="669"/>
      <c r="VWN44" s="669"/>
      <c r="VWO44" s="669"/>
      <c r="VWP44" s="669"/>
      <c r="VWQ44" s="669"/>
      <c r="VWR44" s="669"/>
      <c r="VWS44" s="669"/>
      <c r="VWT44" s="669"/>
      <c r="VWU44" s="669"/>
      <c r="VWV44" s="669"/>
      <c r="VWW44" s="669"/>
      <c r="VWX44" s="669"/>
      <c r="VWY44" s="669"/>
      <c r="VWZ44" s="669"/>
      <c r="VXA44" s="669"/>
      <c r="VXB44" s="669"/>
      <c r="VXC44" s="669"/>
      <c r="VXD44" s="669"/>
      <c r="VXE44" s="669"/>
      <c r="VXF44" s="669"/>
      <c r="VXG44" s="669"/>
      <c r="VXH44" s="669"/>
      <c r="VXI44" s="669"/>
      <c r="VXJ44" s="669"/>
      <c r="VXK44" s="669"/>
      <c r="VXL44" s="669"/>
      <c r="VXM44" s="669"/>
      <c r="VXN44" s="669"/>
      <c r="VXO44" s="669"/>
      <c r="VXP44" s="669"/>
      <c r="VXQ44" s="669"/>
      <c r="VXR44" s="669"/>
      <c r="VXS44" s="669"/>
      <c r="VXT44" s="669"/>
      <c r="VXU44" s="669"/>
      <c r="VXV44" s="669"/>
      <c r="VXW44" s="669"/>
      <c r="VXX44" s="669"/>
      <c r="VXY44" s="669"/>
      <c r="VXZ44" s="669"/>
      <c r="VYA44" s="669"/>
      <c r="VYB44" s="669"/>
      <c r="VYC44" s="669"/>
      <c r="VYD44" s="669"/>
      <c r="VYE44" s="669"/>
      <c r="VYF44" s="669"/>
      <c r="VYG44" s="669"/>
      <c r="VYH44" s="669"/>
      <c r="VYI44" s="669"/>
      <c r="VYJ44" s="669"/>
      <c r="VYK44" s="669"/>
      <c r="VYL44" s="669"/>
      <c r="VYM44" s="669"/>
      <c r="VYN44" s="669"/>
      <c r="VYO44" s="669"/>
      <c r="VYP44" s="669"/>
      <c r="VYQ44" s="669"/>
      <c r="VYR44" s="669"/>
      <c r="VYS44" s="669"/>
      <c r="VYT44" s="669"/>
      <c r="VYU44" s="669"/>
      <c r="VYV44" s="669"/>
      <c r="VYW44" s="669"/>
      <c r="VYX44" s="669"/>
      <c r="VYY44" s="669"/>
      <c r="VYZ44" s="669"/>
      <c r="VZA44" s="669"/>
      <c r="VZB44" s="669"/>
      <c r="VZC44" s="669"/>
      <c r="VZD44" s="669"/>
      <c r="VZE44" s="669"/>
      <c r="VZF44" s="669"/>
      <c r="VZG44" s="669"/>
      <c r="VZH44" s="669"/>
      <c r="VZI44" s="669"/>
      <c r="VZJ44" s="669"/>
      <c r="VZK44" s="669"/>
      <c r="VZL44" s="669"/>
      <c r="VZM44" s="669"/>
      <c r="VZN44" s="669"/>
      <c r="VZO44" s="669"/>
      <c r="VZP44" s="669"/>
      <c r="VZQ44" s="669"/>
      <c r="VZR44" s="669"/>
      <c r="VZS44" s="669"/>
      <c r="VZT44" s="669"/>
      <c r="VZU44" s="669"/>
      <c r="VZV44" s="669"/>
      <c r="VZW44" s="669"/>
      <c r="VZX44" s="669"/>
      <c r="VZY44" s="669"/>
      <c r="VZZ44" s="669"/>
      <c r="WAA44" s="669"/>
      <c r="WAB44" s="669"/>
      <c r="WAC44" s="669"/>
      <c r="WAD44" s="669"/>
      <c r="WAE44" s="669"/>
      <c r="WAF44" s="669"/>
      <c r="WAG44" s="669"/>
      <c r="WAH44" s="669"/>
      <c r="WAI44" s="669"/>
      <c r="WAJ44" s="669"/>
      <c r="WAK44" s="669"/>
      <c r="WAL44" s="669"/>
      <c r="WAM44" s="669"/>
      <c r="WAN44" s="669"/>
      <c r="WAO44" s="669"/>
      <c r="WAP44" s="669"/>
      <c r="WAQ44" s="669"/>
      <c r="WAR44" s="669"/>
      <c r="WAS44" s="669"/>
      <c r="WAT44" s="669"/>
      <c r="WAU44" s="669"/>
      <c r="WAV44" s="669"/>
      <c r="WAW44" s="669"/>
      <c r="WAX44" s="669"/>
      <c r="WAY44" s="669"/>
      <c r="WAZ44" s="669"/>
      <c r="WBA44" s="669"/>
      <c r="WBB44" s="669"/>
      <c r="WBC44" s="669"/>
      <c r="WBD44" s="669"/>
      <c r="WBE44" s="669"/>
      <c r="WBF44" s="669"/>
      <c r="WBG44" s="669"/>
      <c r="WBH44" s="669"/>
      <c r="WBI44" s="669"/>
      <c r="WBJ44" s="669"/>
      <c r="WBK44" s="669"/>
      <c r="WBL44" s="669"/>
      <c r="WBM44" s="669"/>
      <c r="WBN44" s="669"/>
      <c r="WBO44" s="669"/>
      <c r="WBP44" s="669"/>
      <c r="WBQ44" s="669"/>
      <c r="WBR44" s="669"/>
      <c r="WBS44" s="669"/>
      <c r="WBT44" s="669"/>
      <c r="WBU44" s="669"/>
      <c r="WBV44" s="669"/>
      <c r="WBW44" s="669"/>
      <c r="WBX44" s="669"/>
      <c r="WBY44" s="669"/>
      <c r="WBZ44" s="669"/>
      <c r="WCA44" s="669"/>
      <c r="WCB44" s="669"/>
      <c r="WCC44" s="669"/>
      <c r="WCD44" s="669"/>
      <c r="WCE44" s="669"/>
      <c r="WCF44" s="669"/>
      <c r="WCG44" s="669"/>
      <c r="WCH44" s="669"/>
      <c r="WCI44" s="669"/>
      <c r="WCJ44" s="669"/>
      <c r="WCK44" s="669"/>
      <c r="WCL44" s="669"/>
      <c r="WCM44" s="669"/>
      <c r="WCN44" s="669"/>
      <c r="WCO44" s="669"/>
      <c r="WCP44" s="669"/>
      <c r="WCQ44" s="669"/>
      <c r="WCR44" s="669"/>
      <c r="WCS44" s="669"/>
      <c r="WCT44" s="669"/>
      <c r="WCU44" s="669"/>
      <c r="WCV44" s="669"/>
      <c r="WCW44" s="669"/>
      <c r="WCX44" s="669"/>
      <c r="WCY44" s="669"/>
      <c r="WCZ44" s="669"/>
      <c r="WDA44" s="669"/>
      <c r="WDB44" s="669"/>
      <c r="WDC44" s="669"/>
      <c r="WDD44" s="669"/>
      <c r="WDE44" s="669"/>
      <c r="WDF44" s="669"/>
      <c r="WDG44" s="669"/>
      <c r="WDH44" s="669"/>
      <c r="WDI44" s="669"/>
      <c r="WDJ44" s="669"/>
      <c r="WDK44" s="669"/>
      <c r="WDL44" s="669"/>
      <c r="WDM44" s="669"/>
      <c r="WDN44" s="669"/>
      <c r="WDO44" s="669"/>
      <c r="WDP44" s="669"/>
      <c r="WDQ44" s="669"/>
      <c r="WDR44" s="669"/>
      <c r="WDS44" s="669"/>
      <c r="WDT44" s="669"/>
      <c r="WDU44" s="669"/>
      <c r="WDV44" s="669"/>
      <c r="WDW44" s="669"/>
      <c r="WDX44" s="669"/>
      <c r="WDY44" s="669"/>
      <c r="WDZ44" s="669"/>
      <c r="WEA44" s="669"/>
      <c r="WEB44" s="669"/>
      <c r="WEC44" s="669"/>
      <c r="WED44" s="669"/>
      <c r="WEE44" s="669"/>
      <c r="WEF44" s="669"/>
      <c r="WEG44" s="669"/>
      <c r="WEH44" s="669"/>
      <c r="WEI44" s="669"/>
      <c r="WEJ44" s="669"/>
      <c r="WEK44" s="669"/>
      <c r="WEL44" s="669"/>
      <c r="WEM44" s="669"/>
      <c r="WEN44" s="669"/>
      <c r="WEO44" s="669"/>
      <c r="WEP44" s="669"/>
      <c r="WEQ44" s="669"/>
      <c r="WER44" s="669"/>
      <c r="WES44" s="669"/>
      <c r="WET44" s="669"/>
      <c r="WEU44" s="669"/>
      <c r="WEV44" s="669"/>
      <c r="WEW44" s="669"/>
      <c r="WEX44" s="669"/>
      <c r="WEY44" s="669"/>
      <c r="WEZ44" s="669"/>
      <c r="WFA44" s="669"/>
      <c r="WFB44" s="669"/>
      <c r="WFC44" s="669"/>
      <c r="WFD44" s="669"/>
      <c r="WFE44" s="669"/>
      <c r="WFF44" s="669"/>
      <c r="WFG44" s="669"/>
      <c r="WFH44" s="669"/>
      <c r="WFI44" s="669"/>
      <c r="WFJ44" s="669"/>
      <c r="WFK44" s="669"/>
      <c r="WFL44" s="669"/>
      <c r="WFM44" s="669"/>
      <c r="WFN44" s="669"/>
      <c r="WFO44" s="669"/>
      <c r="WFP44" s="669"/>
      <c r="WFQ44" s="669"/>
      <c r="WFR44" s="669"/>
      <c r="WFS44" s="669"/>
      <c r="WFT44" s="669"/>
      <c r="WFU44" s="669"/>
      <c r="WFV44" s="669"/>
      <c r="WFW44" s="669"/>
      <c r="WFX44" s="669"/>
      <c r="WFY44" s="669"/>
      <c r="WFZ44" s="669"/>
      <c r="WGA44" s="669"/>
      <c r="WGB44" s="669"/>
      <c r="WGC44" s="669"/>
      <c r="WGD44" s="669"/>
      <c r="WGE44" s="669"/>
      <c r="WGF44" s="669"/>
      <c r="WGG44" s="669"/>
      <c r="WGH44" s="669"/>
      <c r="WGI44" s="669"/>
      <c r="WGJ44" s="669"/>
      <c r="WGK44" s="669"/>
      <c r="WGL44" s="669"/>
      <c r="WGM44" s="669"/>
      <c r="WGN44" s="669"/>
      <c r="WGO44" s="669"/>
      <c r="WGP44" s="669"/>
      <c r="WGQ44" s="669"/>
      <c r="WGR44" s="669"/>
      <c r="WGS44" s="669"/>
      <c r="WGT44" s="669"/>
      <c r="WGU44" s="669"/>
      <c r="WGV44" s="669"/>
      <c r="WGW44" s="669"/>
      <c r="WGX44" s="669"/>
      <c r="WGY44" s="669"/>
      <c r="WGZ44" s="669"/>
      <c r="WHA44" s="669"/>
      <c r="WHB44" s="669"/>
      <c r="WHC44" s="669"/>
      <c r="WHD44" s="669"/>
      <c r="WHE44" s="669"/>
      <c r="WHF44" s="669"/>
      <c r="WHG44" s="669"/>
      <c r="WHH44" s="669"/>
      <c r="WHI44" s="669"/>
      <c r="WHJ44" s="669"/>
      <c r="WHK44" s="669"/>
      <c r="WHL44" s="669"/>
      <c r="WHM44" s="669"/>
      <c r="WHN44" s="669"/>
      <c r="WHO44" s="669"/>
      <c r="WHP44" s="669"/>
      <c r="WHQ44" s="669"/>
      <c r="WHR44" s="669"/>
      <c r="WHS44" s="669"/>
      <c r="WHT44" s="669"/>
      <c r="WHU44" s="669"/>
      <c r="WHV44" s="669"/>
      <c r="WHW44" s="669"/>
      <c r="WHX44" s="669"/>
      <c r="WHY44" s="669"/>
      <c r="WHZ44" s="669"/>
      <c r="WIA44" s="669"/>
      <c r="WIB44" s="669"/>
      <c r="WIC44" s="669"/>
      <c r="WID44" s="669"/>
      <c r="WIE44" s="669"/>
      <c r="WIF44" s="669"/>
      <c r="WIG44" s="669"/>
      <c r="WIH44" s="669"/>
      <c r="WII44" s="669"/>
      <c r="WIJ44" s="669"/>
      <c r="WIK44" s="669"/>
      <c r="WIL44" s="669"/>
      <c r="WIM44" s="669"/>
      <c r="WIN44" s="669"/>
      <c r="WIO44" s="669"/>
      <c r="WIP44" s="669"/>
      <c r="WIQ44" s="669"/>
      <c r="WIR44" s="669"/>
      <c r="WIS44" s="669"/>
      <c r="WIT44" s="669"/>
      <c r="WIU44" s="669"/>
      <c r="WIV44" s="669"/>
      <c r="WIW44" s="669"/>
      <c r="WIX44" s="669"/>
      <c r="WIY44" s="669"/>
      <c r="WIZ44" s="669"/>
      <c r="WJA44" s="669"/>
      <c r="WJB44" s="669"/>
      <c r="WJC44" s="669"/>
      <c r="WJD44" s="669"/>
      <c r="WJE44" s="669"/>
      <c r="WJF44" s="669"/>
      <c r="WJG44" s="669"/>
      <c r="WJH44" s="669"/>
      <c r="WJI44" s="669"/>
      <c r="WJJ44" s="669"/>
      <c r="WJK44" s="669"/>
      <c r="WJL44" s="669"/>
      <c r="WJM44" s="669"/>
      <c r="WJN44" s="669"/>
      <c r="WJO44" s="669"/>
      <c r="WJP44" s="669"/>
      <c r="WJQ44" s="669"/>
      <c r="WJR44" s="669"/>
      <c r="WJS44" s="669"/>
      <c r="WJT44" s="669"/>
      <c r="WJU44" s="669"/>
      <c r="WJV44" s="669"/>
      <c r="WJW44" s="669"/>
      <c r="WJX44" s="669"/>
      <c r="WJY44" s="669"/>
      <c r="WJZ44" s="669"/>
      <c r="WKA44" s="669"/>
      <c r="WKB44" s="669"/>
      <c r="WKC44" s="669"/>
      <c r="WKD44" s="669"/>
      <c r="WKE44" s="669"/>
      <c r="WKF44" s="669"/>
      <c r="WKG44" s="669"/>
      <c r="WKH44" s="669"/>
      <c r="WKI44" s="669"/>
      <c r="WKJ44" s="669"/>
      <c r="WKK44" s="669"/>
      <c r="WKL44" s="669"/>
      <c r="WKM44" s="669"/>
      <c r="WKN44" s="669"/>
      <c r="WKO44" s="669"/>
      <c r="WKP44" s="669"/>
      <c r="WKQ44" s="669"/>
      <c r="WKR44" s="669"/>
      <c r="WKS44" s="669"/>
      <c r="WKT44" s="669"/>
      <c r="WKU44" s="669"/>
      <c r="WKV44" s="669"/>
      <c r="WKW44" s="669"/>
      <c r="WKX44" s="669"/>
      <c r="WKY44" s="669"/>
      <c r="WKZ44" s="669"/>
      <c r="WLA44" s="669"/>
      <c r="WLB44" s="669"/>
      <c r="WLC44" s="669"/>
      <c r="WLD44" s="669"/>
      <c r="WLE44" s="669"/>
      <c r="WLF44" s="669"/>
      <c r="WLG44" s="669"/>
      <c r="WLH44" s="669"/>
      <c r="WLI44" s="669"/>
      <c r="WLJ44" s="669"/>
      <c r="WLK44" s="669"/>
      <c r="WLL44" s="669"/>
      <c r="WLM44" s="669"/>
      <c r="WLN44" s="669"/>
      <c r="WLO44" s="669"/>
      <c r="WLP44" s="669"/>
      <c r="WLQ44" s="669"/>
      <c r="WLR44" s="669"/>
      <c r="WLS44" s="669"/>
      <c r="WLT44" s="669"/>
      <c r="WLU44" s="669"/>
      <c r="WLV44" s="669"/>
      <c r="WLW44" s="669"/>
      <c r="WLX44" s="669"/>
      <c r="WLY44" s="669"/>
      <c r="WLZ44" s="669"/>
      <c r="WMA44" s="669"/>
      <c r="WMB44" s="669"/>
      <c r="WMC44" s="669"/>
      <c r="WMD44" s="669"/>
      <c r="WME44" s="669"/>
      <c r="WMF44" s="669"/>
      <c r="WMG44" s="669"/>
      <c r="WMH44" s="669"/>
      <c r="WMI44" s="669"/>
      <c r="WMJ44" s="669"/>
      <c r="WMK44" s="669"/>
      <c r="WML44" s="669"/>
      <c r="WMM44" s="669"/>
      <c r="WMN44" s="669"/>
      <c r="WMO44" s="669"/>
      <c r="WMP44" s="669"/>
      <c r="WMQ44" s="669"/>
      <c r="WMR44" s="669"/>
      <c r="WMS44" s="669"/>
      <c r="WMT44" s="669"/>
      <c r="WMU44" s="669"/>
      <c r="WMV44" s="669"/>
      <c r="WMW44" s="669"/>
      <c r="WMX44" s="669"/>
      <c r="WMY44" s="669"/>
      <c r="WMZ44" s="669"/>
      <c r="WNA44" s="669"/>
      <c r="WNB44" s="669"/>
      <c r="WNC44" s="669"/>
      <c r="WND44" s="669"/>
      <c r="WNE44" s="669"/>
      <c r="WNF44" s="669"/>
      <c r="WNG44" s="669"/>
      <c r="WNH44" s="669"/>
      <c r="WNI44" s="669"/>
      <c r="WNJ44" s="669"/>
      <c r="WNK44" s="669"/>
      <c r="WNL44" s="669"/>
      <c r="WNM44" s="669"/>
      <c r="WNN44" s="669"/>
      <c r="WNO44" s="669"/>
      <c r="WNP44" s="669"/>
      <c r="WNQ44" s="669"/>
      <c r="WNR44" s="669"/>
      <c r="WNS44" s="669"/>
      <c r="WNT44" s="669"/>
      <c r="WNU44" s="669"/>
      <c r="WNV44" s="669"/>
      <c r="WNW44" s="669"/>
      <c r="WNX44" s="669"/>
      <c r="WNY44" s="669"/>
      <c r="WNZ44" s="669"/>
      <c r="WOA44" s="669"/>
      <c r="WOB44" s="669"/>
      <c r="WOC44" s="669"/>
      <c r="WOD44" s="669"/>
      <c r="WOE44" s="669"/>
      <c r="WOF44" s="669"/>
      <c r="WOG44" s="669"/>
      <c r="WOH44" s="669"/>
      <c r="WOI44" s="669"/>
      <c r="WOJ44" s="669"/>
      <c r="WOK44" s="669"/>
      <c r="WOL44" s="669"/>
      <c r="WOM44" s="669"/>
      <c r="WON44" s="669"/>
      <c r="WOO44" s="669"/>
      <c r="WOP44" s="669"/>
      <c r="WOQ44" s="669"/>
      <c r="WOR44" s="669"/>
      <c r="WOS44" s="669"/>
      <c r="WOT44" s="669"/>
      <c r="WOU44" s="669"/>
      <c r="WOV44" s="669"/>
      <c r="WOW44" s="669"/>
      <c r="WOX44" s="669"/>
      <c r="WOY44" s="669"/>
      <c r="WOZ44" s="669"/>
      <c r="WPA44" s="669"/>
      <c r="WPB44" s="669"/>
      <c r="WPC44" s="669"/>
      <c r="WPD44" s="669"/>
      <c r="WPE44" s="669"/>
      <c r="WPF44" s="669"/>
      <c r="WPG44" s="669"/>
      <c r="WPH44" s="669"/>
      <c r="WPI44" s="669"/>
      <c r="WPJ44" s="669"/>
      <c r="WPK44" s="669"/>
      <c r="WPL44" s="669"/>
      <c r="WPM44" s="669"/>
      <c r="WPN44" s="669"/>
      <c r="WPO44" s="669"/>
      <c r="WPP44" s="669"/>
      <c r="WPQ44" s="669"/>
      <c r="WPR44" s="669"/>
      <c r="WPS44" s="669"/>
      <c r="WPT44" s="669"/>
      <c r="WPU44" s="669"/>
      <c r="WPV44" s="669"/>
      <c r="WPW44" s="669"/>
      <c r="WPX44" s="669"/>
      <c r="WPY44" s="669"/>
      <c r="WPZ44" s="669"/>
      <c r="WQA44" s="669"/>
      <c r="WQB44" s="669"/>
      <c r="WQC44" s="669"/>
      <c r="WQD44" s="669"/>
      <c r="WQE44" s="669"/>
      <c r="WQF44" s="669"/>
      <c r="WQG44" s="669"/>
      <c r="WQH44" s="669"/>
      <c r="WQI44" s="669"/>
      <c r="WQJ44" s="669"/>
      <c r="WQK44" s="669"/>
      <c r="WQL44" s="669"/>
      <c r="WQM44" s="669"/>
      <c r="WQN44" s="669"/>
      <c r="WQO44" s="669"/>
      <c r="WQP44" s="669"/>
      <c r="WQQ44" s="669"/>
      <c r="WQR44" s="669"/>
      <c r="WQS44" s="669"/>
      <c r="WQT44" s="669"/>
      <c r="WQU44" s="669"/>
      <c r="WQV44" s="669"/>
      <c r="WQW44" s="669"/>
      <c r="WQX44" s="669"/>
      <c r="WQY44" s="669"/>
      <c r="WQZ44" s="669"/>
      <c r="WRA44" s="669"/>
      <c r="WRB44" s="669"/>
      <c r="WRC44" s="669"/>
      <c r="WRD44" s="669"/>
      <c r="WRE44" s="669"/>
      <c r="WRF44" s="669"/>
      <c r="WRG44" s="669"/>
      <c r="WRH44" s="669"/>
      <c r="WRI44" s="669"/>
      <c r="WRJ44" s="669"/>
      <c r="WRK44" s="669"/>
      <c r="WRL44" s="669"/>
      <c r="WRM44" s="669"/>
      <c r="WRN44" s="669"/>
      <c r="WRO44" s="669"/>
      <c r="WRP44" s="669"/>
      <c r="WRQ44" s="669"/>
      <c r="WRR44" s="669"/>
      <c r="WRS44" s="669"/>
      <c r="WRT44" s="669"/>
      <c r="WRU44" s="669"/>
      <c r="WRV44" s="669"/>
      <c r="WRW44" s="669"/>
      <c r="WRX44" s="669"/>
      <c r="WRY44" s="669"/>
      <c r="WRZ44" s="669"/>
      <c r="WSA44" s="669"/>
      <c r="WSB44" s="669"/>
      <c r="WSC44" s="669"/>
      <c r="WSD44" s="669"/>
      <c r="WSE44" s="669"/>
      <c r="WSF44" s="669"/>
      <c r="WSG44" s="669"/>
      <c r="WSH44" s="669"/>
      <c r="WSI44" s="669"/>
      <c r="WSJ44" s="669"/>
      <c r="WSK44" s="669"/>
      <c r="WSL44" s="669"/>
      <c r="WSM44" s="669"/>
      <c r="WSN44" s="669"/>
      <c r="WSO44" s="669"/>
      <c r="WSP44" s="669"/>
      <c r="WSQ44" s="669"/>
      <c r="WSR44" s="669"/>
      <c r="WSS44" s="669"/>
      <c r="WST44" s="669"/>
      <c r="WSU44" s="669"/>
      <c r="WSV44" s="669"/>
      <c r="WSW44" s="669"/>
      <c r="WSX44" s="669"/>
      <c r="WSY44" s="669"/>
      <c r="WSZ44" s="669"/>
      <c r="WTA44" s="669"/>
      <c r="WTB44" s="669"/>
      <c r="WTC44" s="669"/>
      <c r="WTD44" s="669"/>
      <c r="WTE44" s="669"/>
      <c r="WTF44" s="669"/>
      <c r="WTG44" s="669"/>
      <c r="WTH44" s="669"/>
      <c r="WTI44" s="669"/>
      <c r="WTJ44" s="669"/>
      <c r="WTK44" s="669"/>
      <c r="WTL44" s="669"/>
      <c r="WTM44" s="669"/>
      <c r="WTN44" s="669"/>
      <c r="WTO44" s="669"/>
      <c r="WTP44" s="669"/>
      <c r="WTQ44" s="669"/>
      <c r="WTR44" s="669"/>
      <c r="WTS44" s="669"/>
      <c r="WTT44" s="669"/>
      <c r="WTU44" s="669"/>
      <c r="WTV44" s="669"/>
      <c r="WTW44" s="669"/>
      <c r="WTX44" s="669"/>
      <c r="WTY44" s="669"/>
      <c r="WTZ44" s="669"/>
      <c r="WUA44" s="669"/>
      <c r="WUB44" s="669"/>
      <c r="WUC44" s="669"/>
      <c r="WUD44" s="669"/>
      <c r="WUE44" s="669"/>
      <c r="WUF44" s="669"/>
      <c r="WUG44" s="669"/>
      <c r="WUH44" s="669"/>
      <c r="WUI44" s="669"/>
      <c r="WUJ44" s="669"/>
      <c r="WUK44" s="669"/>
      <c r="WUL44" s="669"/>
      <c r="WUM44" s="669"/>
      <c r="WUN44" s="669"/>
      <c r="WUO44" s="669"/>
      <c r="WUP44" s="669"/>
      <c r="WUQ44" s="669"/>
      <c r="WUR44" s="669"/>
      <c r="WUS44" s="669"/>
      <c r="WUT44" s="669"/>
      <c r="WUU44" s="669"/>
      <c r="WUV44" s="669"/>
      <c r="WUW44" s="669"/>
      <c r="WUX44" s="669"/>
      <c r="WUY44" s="669"/>
      <c r="WUZ44" s="669"/>
      <c r="WVA44" s="669"/>
      <c r="WVB44" s="669"/>
      <c r="WVC44" s="669"/>
      <c r="WVD44" s="669"/>
      <c r="WVE44" s="669"/>
      <c r="WVF44" s="669"/>
      <c r="WVG44" s="669"/>
      <c r="WVH44" s="669"/>
      <c r="WVI44" s="669"/>
      <c r="WVJ44" s="669"/>
      <c r="WVK44" s="669"/>
      <c r="WVL44" s="669"/>
      <c r="WVM44" s="669"/>
      <c r="WVN44" s="669"/>
      <c r="WVO44" s="669"/>
      <c r="WVP44" s="669"/>
      <c r="WVQ44" s="669"/>
      <c r="WVR44" s="669"/>
      <c r="WVS44" s="669"/>
      <c r="WVT44" s="669"/>
      <c r="WVU44" s="669"/>
      <c r="WVV44" s="669"/>
      <c r="WVW44" s="669"/>
      <c r="WVX44" s="669"/>
      <c r="WVY44" s="669"/>
      <c r="WVZ44" s="669"/>
      <c r="WWA44" s="669"/>
      <c r="WWB44" s="669"/>
      <c r="WWC44" s="669"/>
      <c r="WWD44" s="669"/>
      <c r="WWE44" s="669"/>
      <c r="WWF44" s="669"/>
      <c r="WWG44" s="669"/>
      <c r="WWH44" s="669"/>
      <c r="WWI44" s="669"/>
      <c r="WWJ44" s="669"/>
      <c r="WWK44" s="669"/>
      <c r="WWL44" s="669"/>
      <c r="WWM44" s="669"/>
      <c r="WWN44" s="669"/>
      <c r="WWO44" s="669"/>
      <c r="WWP44" s="669"/>
      <c r="WWQ44" s="669"/>
      <c r="WWR44" s="669"/>
      <c r="WWS44" s="669"/>
      <c r="WWT44" s="669"/>
      <c r="WWU44" s="669"/>
      <c r="WWV44" s="669"/>
      <c r="WWW44" s="669"/>
      <c r="WWX44" s="669"/>
      <c r="WWY44" s="669"/>
      <c r="WWZ44" s="669"/>
      <c r="WXA44" s="669"/>
      <c r="WXB44" s="669"/>
      <c r="WXC44" s="669"/>
      <c r="WXD44" s="669"/>
      <c r="WXE44" s="669"/>
      <c r="WXF44" s="669"/>
      <c r="WXG44" s="669"/>
      <c r="WXH44" s="669"/>
      <c r="WXI44" s="669"/>
      <c r="WXJ44" s="669"/>
      <c r="WXK44" s="669"/>
      <c r="WXL44" s="669"/>
      <c r="WXM44" s="669"/>
      <c r="WXN44" s="669"/>
      <c r="WXO44" s="669"/>
      <c r="WXP44" s="669"/>
      <c r="WXQ44" s="669"/>
      <c r="WXR44" s="669"/>
      <c r="WXS44" s="669"/>
      <c r="WXT44" s="669"/>
      <c r="WXU44" s="669"/>
      <c r="WXV44" s="669"/>
      <c r="WXW44" s="669"/>
      <c r="WXX44" s="669"/>
      <c r="WXY44" s="669"/>
      <c r="WXZ44" s="669"/>
      <c r="WYA44" s="669"/>
      <c r="WYB44" s="669"/>
      <c r="WYC44" s="669"/>
      <c r="WYD44" s="669"/>
      <c r="WYE44" s="669"/>
      <c r="WYF44" s="669"/>
      <c r="WYG44" s="669"/>
      <c r="WYH44" s="669"/>
      <c r="WYI44" s="669"/>
      <c r="WYJ44" s="669"/>
      <c r="WYK44" s="669"/>
      <c r="WYL44" s="669"/>
      <c r="WYM44" s="669"/>
      <c r="WYN44" s="669"/>
      <c r="WYO44" s="669"/>
      <c r="WYP44" s="669"/>
      <c r="WYQ44" s="669"/>
      <c r="WYR44" s="669"/>
      <c r="WYS44" s="669"/>
      <c r="WYT44" s="669"/>
      <c r="WYU44" s="669"/>
      <c r="WYV44" s="669"/>
      <c r="WYW44" s="669"/>
      <c r="WYX44" s="669"/>
      <c r="WYY44" s="669"/>
      <c r="WYZ44" s="669"/>
      <c r="WZA44" s="669"/>
      <c r="WZB44" s="669"/>
      <c r="WZC44" s="669"/>
      <c r="WZD44" s="669"/>
      <c r="WZE44" s="669"/>
      <c r="WZF44" s="669"/>
      <c r="WZG44" s="669"/>
      <c r="WZH44" s="669"/>
      <c r="WZI44" s="669"/>
      <c r="WZJ44" s="669"/>
      <c r="WZK44" s="669"/>
      <c r="WZL44" s="669"/>
      <c r="WZM44" s="669"/>
      <c r="WZN44" s="669"/>
      <c r="WZO44" s="669"/>
      <c r="WZP44" s="669"/>
      <c r="WZQ44" s="669"/>
      <c r="WZR44" s="669"/>
      <c r="WZS44" s="669"/>
      <c r="WZT44" s="669"/>
      <c r="WZU44" s="669"/>
      <c r="WZV44" s="669"/>
      <c r="WZW44" s="669"/>
      <c r="WZX44" s="669"/>
      <c r="WZY44" s="669"/>
      <c r="WZZ44" s="669"/>
      <c r="XAA44" s="669"/>
      <c r="XAB44" s="669"/>
      <c r="XAC44" s="669"/>
      <c r="XAD44" s="669"/>
      <c r="XAE44" s="669"/>
      <c r="XAF44" s="669"/>
      <c r="XAG44" s="669"/>
      <c r="XAH44" s="669"/>
      <c r="XAI44" s="669"/>
      <c r="XAJ44" s="669"/>
      <c r="XAK44" s="669"/>
      <c r="XAL44" s="669"/>
      <c r="XAM44" s="669"/>
      <c r="XAN44" s="669"/>
      <c r="XAO44" s="669"/>
      <c r="XAP44" s="669"/>
      <c r="XAQ44" s="669"/>
      <c r="XAR44" s="669"/>
      <c r="XAS44" s="669"/>
      <c r="XAT44" s="669"/>
      <c r="XAU44" s="669"/>
      <c r="XAV44" s="669"/>
      <c r="XAW44" s="669"/>
      <c r="XAX44" s="669"/>
      <c r="XAY44" s="669"/>
      <c r="XAZ44" s="669"/>
      <c r="XBA44" s="669"/>
      <c r="XBB44" s="669"/>
      <c r="XBC44" s="669"/>
      <c r="XBD44" s="669"/>
      <c r="XBE44" s="669"/>
      <c r="XBF44" s="669"/>
      <c r="XBG44" s="669"/>
      <c r="XBH44" s="669"/>
      <c r="XBI44" s="669"/>
      <c r="XBJ44" s="669"/>
      <c r="XBK44" s="669"/>
      <c r="XBL44" s="669"/>
      <c r="XBM44" s="669"/>
      <c r="XBN44" s="669"/>
      <c r="XBO44" s="669"/>
      <c r="XBP44" s="669"/>
      <c r="XBQ44" s="669"/>
      <c r="XBR44" s="669"/>
      <c r="XBS44" s="669"/>
      <c r="XBT44" s="669"/>
      <c r="XBU44" s="669"/>
      <c r="XBV44" s="669"/>
      <c r="XBW44" s="669"/>
      <c r="XBX44" s="669"/>
      <c r="XBY44" s="669"/>
      <c r="XBZ44" s="669"/>
      <c r="XCA44" s="669"/>
      <c r="XCB44" s="669"/>
      <c r="XCC44" s="669"/>
      <c r="XCD44" s="669"/>
      <c r="XCE44" s="669"/>
      <c r="XCF44" s="669"/>
      <c r="XCG44" s="669"/>
      <c r="XCH44" s="669"/>
      <c r="XCI44" s="669"/>
      <c r="XCJ44" s="669"/>
      <c r="XCK44" s="669"/>
      <c r="XCL44" s="669"/>
      <c r="XCM44" s="669"/>
      <c r="XCN44" s="669"/>
      <c r="XCO44" s="669"/>
      <c r="XCP44" s="669"/>
      <c r="XCQ44" s="669"/>
      <c r="XCR44" s="669"/>
      <c r="XCS44" s="669"/>
      <c r="XCT44" s="669"/>
      <c r="XCU44" s="669"/>
      <c r="XCV44" s="669"/>
      <c r="XCW44" s="669"/>
      <c r="XCX44" s="669"/>
      <c r="XCY44" s="669"/>
      <c r="XCZ44" s="669"/>
      <c r="XDA44" s="669"/>
      <c r="XDB44" s="669"/>
      <c r="XDC44" s="669"/>
      <c r="XDD44" s="669"/>
      <c r="XDE44" s="669"/>
      <c r="XDF44" s="669"/>
      <c r="XDG44" s="669"/>
      <c r="XDH44" s="669"/>
      <c r="XDI44" s="669"/>
      <c r="XDJ44" s="669"/>
      <c r="XDK44" s="669"/>
      <c r="XDL44" s="669"/>
      <c r="XDM44" s="669"/>
      <c r="XDN44" s="669"/>
      <c r="XDO44" s="669"/>
      <c r="XDP44" s="669"/>
      <c r="XDQ44" s="669"/>
      <c r="XDR44" s="669"/>
      <c r="XDS44" s="669"/>
      <c r="XDT44" s="669"/>
      <c r="XDU44" s="669"/>
      <c r="XDV44" s="669"/>
      <c r="XDW44" s="669"/>
      <c r="XDX44" s="669"/>
      <c r="XDY44" s="669"/>
      <c r="XDZ44" s="669"/>
      <c r="XEA44" s="669"/>
      <c r="XEB44" s="669"/>
      <c r="XEC44" s="669"/>
      <c r="XED44" s="669"/>
      <c r="XEE44" s="669"/>
      <c r="XEF44" s="669"/>
      <c r="XEG44" s="669"/>
      <c r="XEH44" s="669"/>
      <c r="XEI44" s="669"/>
      <c r="XEJ44" s="669"/>
      <c r="XEK44" s="669"/>
      <c r="XEL44" s="669"/>
      <c r="XEM44" s="669"/>
      <c r="XEN44" s="669"/>
      <c r="XEO44" s="669"/>
      <c r="XEP44" s="669"/>
      <c r="XEQ44" s="669"/>
      <c r="XER44" s="669"/>
      <c r="XES44" s="669"/>
      <c r="XET44" s="669"/>
      <c r="XEU44" s="669"/>
      <c r="XEV44" s="669"/>
      <c r="XEW44" s="669"/>
      <c r="XEX44" s="669"/>
      <c r="XEY44" s="669"/>
      <c r="XEZ44" s="669"/>
      <c r="XFA44" s="669"/>
      <c r="XFB44" s="669"/>
      <c r="XFC44" s="669"/>
      <c r="XFD44" s="669"/>
    </row>
    <row r="45" spans="1:16384" ht="13">
      <c r="A45" s="670" t="s">
        <v>527</v>
      </c>
      <c r="B45" s="685"/>
      <c r="C45" s="685"/>
      <c r="D45" s="685"/>
      <c r="E45" s="678">
        <f>E16*42*3.79</f>
        <v>454.8</v>
      </c>
      <c r="F45" s="678">
        <f>F16*42*3.79</f>
        <v>454.8</v>
      </c>
      <c r="G45" s="685"/>
      <c r="H45" s="685"/>
      <c r="I45" s="685"/>
      <c r="J45" s="685"/>
      <c r="K45" s="680" t="s">
        <v>110</v>
      </c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0"/>
      <c r="Y45" s="670"/>
      <c r="Z45" s="670"/>
      <c r="AA45" s="670"/>
      <c r="AB45" s="670"/>
      <c r="AC45" s="670"/>
      <c r="AD45" s="670"/>
      <c r="AE45" s="670"/>
      <c r="AF45" s="670"/>
      <c r="AG45" s="670"/>
      <c r="AH45" s="670"/>
      <c r="AI45" s="670"/>
      <c r="AJ45" s="670"/>
      <c r="AK45" s="670"/>
      <c r="AL45" s="670"/>
      <c r="AM45" s="670"/>
      <c r="AN45" s="670"/>
      <c r="AO45" s="670"/>
      <c r="AP45" s="670"/>
      <c r="AQ45" s="670"/>
      <c r="AR45" s="670"/>
      <c r="AS45" s="670"/>
      <c r="AT45" s="670"/>
      <c r="AU45" s="670"/>
      <c r="AV45" s="670"/>
      <c r="AW45" s="670"/>
      <c r="AX45" s="670"/>
      <c r="AY45" s="670"/>
      <c r="AZ45" s="670"/>
      <c r="BA45" s="670"/>
      <c r="BB45" s="670"/>
      <c r="BC45" s="670"/>
      <c r="BD45" s="670"/>
      <c r="BE45" s="670"/>
      <c r="BF45" s="670"/>
      <c r="BG45" s="670"/>
      <c r="BH45" s="670"/>
      <c r="BI45" s="670"/>
      <c r="BJ45" s="670"/>
      <c r="BK45" s="670"/>
      <c r="BL45" s="670"/>
      <c r="BM45" s="670"/>
      <c r="BN45" s="670"/>
      <c r="BO45" s="670"/>
      <c r="BP45" s="670"/>
      <c r="BQ45" s="670"/>
      <c r="BR45" s="670"/>
      <c r="BS45" s="670"/>
      <c r="BT45" s="670"/>
      <c r="BU45" s="670"/>
      <c r="BV45" s="670"/>
      <c r="BW45" s="670"/>
      <c r="BX45" s="670"/>
      <c r="BY45" s="670"/>
      <c r="BZ45" s="670"/>
      <c r="CA45" s="670"/>
      <c r="CB45" s="670"/>
      <c r="CC45" s="670"/>
      <c r="CD45" s="670"/>
      <c r="CE45" s="670"/>
      <c r="CF45" s="670"/>
      <c r="CG45" s="670"/>
      <c r="CH45" s="670"/>
      <c r="CI45" s="670"/>
      <c r="CJ45" s="670"/>
      <c r="CK45" s="670"/>
      <c r="CL45" s="670"/>
      <c r="CM45" s="670"/>
      <c r="CN45" s="670"/>
      <c r="CO45" s="670"/>
      <c r="CP45" s="670"/>
      <c r="CQ45" s="670"/>
      <c r="CR45" s="670"/>
      <c r="CS45" s="670"/>
      <c r="CT45" s="670"/>
      <c r="CU45" s="670"/>
      <c r="CV45" s="670"/>
      <c r="CW45" s="670"/>
      <c r="CX45" s="670"/>
      <c r="CY45" s="670"/>
      <c r="CZ45" s="670"/>
      <c r="DA45" s="670"/>
      <c r="DB45" s="670"/>
      <c r="DC45" s="670"/>
      <c r="DD45" s="670"/>
      <c r="DE45" s="670"/>
      <c r="DF45" s="670"/>
      <c r="DG45" s="670"/>
      <c r="DH45" s="670"/>
      <c r="DI45" s="670"/>
      <c r="DJ45" s="670"/>
      <c r="DK45" s="670"/>
      <c r="DL45" s="670"/>
      <c r="DM45" s="670"/>
      <c r="DN45" s="670"/>
      <c r="DO45" s="670"/>
      <c r="DP45" s="670"/>
      <c r="DQ45" s="670"/>
      <c r="DR45" s="670"/>
      <c r="DS45" s="670"/>
      <c r="DT45" s="670"/>
      <c r="DU45" s="670"/>
      <c r="DV45" s="670"/>
      <c r="DW45" s="670"/>
      <c r="DX45" s="670"/>
      <c r="DY45" s="670"/>
      <c r="DZ45" s="670"/>
      <c r="EA45" s="670"/>
      <c r="EB45" s="670"/>
      <c r="EC45" s="670"/>
      <c r="ED45" s="670"/>
      <c r="EE45" s="670"/>
      <c r="EF45" s="670"/>
      <c r="EG45" s="670"/>
      <c r="EH45" s="670"/>
      <c r="EI45" s="670"/>
      <c r="EJ45" s="670"/>
      <c r="EK45" s="670"/>
      <c r="EL45" s="670"/>
      <c r="EM45" s="670"/>
      <c r="EN45" s="670"/>
      <c r="EO45" s="670"/>
      <c r="EP45" s="670"/>
      <c r="EQ45" s="670"/>
      <c r="ER45" s="670"/>
      <c r="ES45" s="670"/>
      <c r="ET45" s="670"/>
      <c r="EU45" s="670"/>
      <c r="EV45" s="670"/>
      <c r="EW45" s="670"/>
      <c r="EX45" s="670"/>
      <c r="EY45" s="670"/>
      <c r="EZ45" s="670"/>
      <c r="FA45" s="670"/>
      <c r="FB45" s="670"/>
      <c r="FC45" s="670"/>
      <c r="FD45" s="670"/>
      <c r="FE45" s="670"/>
      <c r="FF45" s="670"/>
      <c r="FG45" s="670"/>
      <c r="FH45" s="670"/>
      <c r="FI45" s="670"/>
      <c r="FJ45" s="670"/>
      <c r="FK45" s="670"/>
      <c r="FL45" s="670"/>
      <c r="FM45" s="670"/>
      <c r="FN45" s="670"/>
      <c r="FO45" s="670"/>
      <c r="FP45" s="670"/>
      <c r="FQ45" s="670"/>
      <c r="FR45" s="670"/>
      <c r="FS45" s="670"/>
      <c r="FT45" s="670"/>
      <c r="FU45" s="670"/>
      <c r="FV45" s="670"/>
      <c r="FW45" s="670"/>
      <c r="FX45" s="670"/>
      <c r="FY45" s="670"/>
      <c r="FZ45" s="670"/>
      <c r="GA45" s="670"/>
      <c r="GB45" s="670"/>
      <c r="GC45" s="670"/>
      <c r="GD45" s="670"/>
      <c r="GE45" s="670"/>
      <c r="GF45" s="670"/>
      <c r="GG45" s="670"/>
      <c r="GH45" s="670"/>
      <c r="GI45" s="670"/>
      <c r="GJ45" s="670"/>
      <c r="GK45" s="670"/>
      <c r="GL45" s="670"/>
      <c r="GM45" s="670"/>
      <c r="GN45" s="670"/>
      <c r="GO45" s="670"/>
      <c r="GP45" s="670"/>
      <c r="GQ45" s="670"/>
      <c r="GR45" s="670"/>
      <c r="GS45" s="670"/>
      <c r="GT45" s="670"/>
      <c r="GU45" s="670"/>
      <c r="GV45" s="670"/>
      <c r="GW45" s="670"/>
      <c r="GX45" s="670"/>
      <c r="GY45" s="670"/>
      <c r="GZ45" s="670"/>
      <c r="HA45" s="670"/>
      <c r="HB45" s="670"/>
      <c r="HC45" s="670"/>
      <c r="HD45" s="670"/>
      <c r="HE45" s="670"/>
      <c r="HF45" s="670"/>
      <c r="HG45" s="670"/>
      <c r="HH45" s="670"/>
      <c r="HI45" s="670"/>
      <c r="HJ45" s="670"/>
      <c r="HK45" s="670"/>
      <c r="HL45" s="670"/>
      <c r="HM45" s="670"/>
      <c r="HN45" s="670"/>
      <c r="HO45" s="670"/>
      <c r="HP45" s="670"/>
      <c r="HQ45" s="670"/>
      <c r="HR45" s="670"/>
      <c r="HS45" s="670"/>
      <c r="HT45" s="670"/>
      <c r="HU45" s="670"/>
      <c r="HV45" s="670"/>
      <c r="HW45" s="670"/>
      <c r="HX45" s="670"/>
      <c r="HY45" s="670"/>
      <c r="HZ45" s="670"/>
      <c r="IA45" s="670"/>
      <c r="IB45" s="670"/>
      <c r="IC45" s="670"/>
      <c r="ID45" s="670"/>
      <c r="IE45" s="670"/>
      <c r="IF45" s="670"/>
      <c r="IG45" s="670"/>
      <c r="IH45" s="670"/>
      <c r="II45" s="670"/>
      <c r="IJ45" s="670"/>
      <c r="IK45" s="670"/>
      <c r="IL45" s="670"/>
      <c r="IM45" s="670"/>
      <c r="IN45" s="670"/>
      <c r="IO45" s="670"/>
      <c r="IP45" s="670"/>
      <c r="IQ45" s="670"/>
      <c r="IR45" s="670"/>
      <c r="IS45" s="670"/>
      <c r="IT45" s="670"/>
      <c r="IU45" s="670"/>
      <c r="IV45" s="670"/>
      <c r="IW45" s="670"/>
      <c r="IX45" s="670"/>
      <c r="IY45" s="670"/>
      <c r="IZ45" s="670"/>
      <c r="JA45" s="670"/>
      <c r="JB45" s="670"/>
      <c r="JC45" s="670"/>
      <c r="JD45" s="670"/>
      <c r="JE45" s="670"/>
      <c r="JF45" s="670"/>
      <c r="JG45" s="670"/>
      <c r="JH45" s="670"/>
      <c r="JI45" s="670"/>
      <c r="JJ45" s="670"/>
      <c r="JK45" s="670"/>
      <c r="JL45" s="670"/>
      <c r="JM45" s="670"/>
      <c r="JN45" s="670"/>
      <c r="JO45" s="670"/>
      <c r="JP45" s="670"/>
      <c r="JQ45" s="670"/>
      <c r="JR45" s="670"/>
      <c r="JS45" s="670"/>
      <c r="JT45" s="670"/>
      <c r="JU45" s="670"/>
      <c r="JV45" s="670"/>
      <c r="JW45" s="670"/>
      <c r="JX45" s="670"/>
      <c r="JY45" s="670"/>
      <c r="JZ45" s="670"/>
      <c r="KA45" s="670"/>
      <c r="KB45" s="670"/>
      <c r="KC45" s="670"/>
      <c r="KD45" s="670"/>
      <c r="KE45" s="670"/>
      <c r="KF45" s="670"/>
      <c r="KG45" s="670"/>
      <c r="KH45" s="670"/>
      <c r="KI45" s="670"/>
      <c r="KJ45" s="670"/>
      <c r="KK45" s="670"/>
      <c r="KL45" s="670"/>
      <c r="KM45" s="670"/>
      <c r="KN45" s="670"/>
      <c r="KO45" s="670"/>
      <c r="KP45" s="670"/>
      <c r="KQ45" s="670"/>
      <c r="KR45" s="670"/>
      <c r="KS45" s="670"/>
      <c r="KT45" s="670"/>
      <c r="KU45" s="670"/>
      <c r="KV45" s="670"/>
      <c r="KW45" s="670"/>
      <c r="KX45" s="670"/>
      <c r="KY45" s="670"/>
      <c r="KZ45" s="670"/>
      <c r="LA45" s="670"/>
      <c r="LB45" s="670"/>
      <c r="LC45" s="670"/>
      <c r="LD45" s="670"/>
      <c r="LE45" s="670"/>
      <c r="LF45" s="670"/>
      <c r="LG45" s="670"/>
      <c r="LH45" s="670"/>
      <c r="LI45" s="670"/>
      <c r="LJ45" s="670"/>
      <c r="LK45" s="670"/>
      <c r="LL45" s="670"/>
      <c r="LM45" s="670"/>
      <c r="LN45" s="670"/>
      <c r="LO45" s="670"/>
      <c r="LP45" s="670"/>
      <c r="LQ45" s="670"/>
      <c r="LR45" s="670"/>
      <c r="LS45" s="670"/>
      <c r="LT45" s="670"/>
      <c r="LU45" s="670"/>
      <c r="LV45" s="670"/>
      <c r="LW45" s="670"/>
      <c r="LX45" s="670"/>
      <c r="LY45" s="670"/>
      <c r="LZ45" s="670"/>
      <c r="MA45" s="670"/>
      <c r="MB45" s="670"/>
      <c r="MC45" s="670"/>
      <c r="MD45" s="670"/>
      <c r="ME45" s="670"/>
      <c r="MF45" s="670"/>
      <c r="MG45" s="670"/>
      <c r="MH45" s="670"/>
      <c r="MI45" s="670"/>
      <c r="MJ45" s="670"/>
      <c r="MK45" s="670"/>
      <c r="ML45" s="670"/>
      <c r="MM45" s="670"/>
      <c r="MN45" s="670"/>
      <c r="MO45" s="670"/>
      <c r="MP45" s="670"/>
      <c r="MQ45" s="670"/>
      <c r="MR45" s="670"/>
      <c r="MS45" s="670"/>
      <c r="MT45" s="670"/>
      <c r="MU45" s="670"/>
      <c r="MV45" s="670"/>
      <c r="MW45" s="670"/>
      <c r="MX45" s="670"/>
      <c r="MY45" s="670"/>
      <c r="MZ45" s="670"/>
      <c r="NA45" s="670"/>
      <c r="NB45" s="670"/>
      <c r="NC45" s="670"/>
      <c r="ND45" s="670"/>
      <c r="NE45" s="670"/>
      <c r="NF45" s="670"/>
      <c r="NG45" s="670"/>
      <c r="NH45" s="670"/>
      <c r="NI45" s="670"/>
      <c r="NJ45" s="670"/>
      <c r="NK45" s="670"/>
      <c r="NL45" s="670"/>
      <c r="NM45" s="670"/>
      <c r="NN45" s="670"/>
      <c r="NO45" s="670"/>
      <c r="NP45" s="670"/>
      <c r="NQ45" s="670"/>
      <c r="NR45" s="670"/>
      <c r="NS45" s="670"/>
      <c r="NT45" s="670"/>
      <c r="NU45" s="670"/>
      <c r="NV45" s="670"/>
      <c r="NW45" s="670"/>
      <c r="NX45" s="670"/>
      <c r="NY45" s="670"/>
      <c r="NZ45" s="670"/>
      <c r="OA45" s="670"/>
      <c r="OB45" s="670"/>
      <c r="OC45" s="670"/>
      <c r="OD45" s="670"/>
      <c r="OE45" s="670"/>
      <c r="OF45" s="670"/>
      <c r="OG45" s="670"/>
      <c r="OH45" s="670"/>
      <c r="OI45" s="670"/>
      <c r="OJ45" s="670"/>
      <c r="OK45" s="670"/>
      <c r="OL45" s="670"/>
      <c r="OM45" s="670"/>
      <c r="ON45" s="670"/>
      <c r="OO45" s="670"/>
      <c r="OP45" s="670"/>
      <c r="OQ45" s="670"/>
      <c r="OR45" s="670"/>
      <c r="OS45" s="670"/>
      <c r="OT45" s="670"/>
      <c r="OU45" s="670"/>
      <c r="OV45" s="670"/>
      <c r="OW45" s="670"/>
      <c r="OX45" s="670"/>
      <c r="OY45" s="670"/>
      <c r="OZ45" s="670"/>
      <c r="PA45" s="670"/>
      <c r="PB45" s="670"/>
      <c r="PC45" s="670"/>
      <c r="PD45" s="670"/>
      <c r="PE45" s="670"/>
      <c r="PF45" s="670"/>
      <c r="PG45" s="670"/>
      <c r="PH45" s="670"/>
      <c r="PI45" s="670"/>
      <c r="PJ45" s="670"/>
      <c r="PK45" s="670"/>
      <c r="PL45" s="670"/>
      <c r="PM45" s="670"/>
      <c r="PN45" s="670"/>
      <c r="PO45" s="670"/>
      <c r="PP45" s="670"/>
      <c r="PQ45" s="670"/>
      <c r="PR45" s="670"/>
      <c r="PS45" s="670"/>
      <c r="PT45" s="670"/>
      <c r="PU45" s="670"/>
      <c r="PV45" s="670"/>
      <c r="PW45" s="670"/>
      <c r="PX45" s="670"/>
      <c r="PY45" s="670"/>
      <c r="PZ45" s="670"/>
      <c r="QA45" s="670"/>
      <c r="QB45" s="670"/>
      <c r="QC45" s="670"/>
      <c r="QD45" s="670"/>
      <c r="QE45" s="670"/>
      <c r="QF45" s="670"/>
      <c r="QG45" s="670"/>
      <c r="QH45" s="670"/>
      <c r="QI45" s="670"/>
      <c r="QJ45" s="670"/>
      <c r="QK45" s="670"/>
      <c r="QL45" s="670"/>
      <c r="QM45" s="670"/>
      <c r="QN45" s="670"/>
      <c r="QO45" s="670"/>
      <c r="QP45" s="670"/>
      <c r="QQ45" s="670"/>
      <c r="QR45" s="670"/>
      <c r="QS45" s="670"/>
      <c r="QT45" s="670"/>
      <c r="QU45" s="670"/>
      <c r="QV45" s="670"/>
      <c r="QW45" s="670"/>
      <c r="QX45" s="670"/>
      <c r="QY45" s="670"/>
      <c r="QZ45" s="670"/>
      <c r="RA45" s="670"/>
      <c r="RB45" s="670"/>
      <c r="RC45" s="670"/>
      <c r="RD45" s="670"/>
      <c r="RE45" s="670"/>
      <c r="RF45" s="670"/>
      <c r="RG45" s="670"/>
      <c r="RH45" s="670"/>
      <c r="RI45" s="670"/>
      <c r="RJ45" s="670"/>
      <c r="RK45" s="670"/>
      <c r="RL45" s="670"/>
      <c r="RM45" s="670"/>
      <c r="RN45" s="670"/>
      <c r="RO45" s="670"/>
      <c r="RP45" s="670"/>
      <c r="RQ45" s="670"/>
      <c r="RR45" s="670"/>
      <c r="RS45" s="670"/>
      <c r="RT45" s="670"/>
      <c r="RU45" s="670"/>
      <c r="RV45" s="670"/>
      <c r="RW45" s="670"/>
      <c r="RX45" s="670"/>
      <c r="RY45" s="670"/>
      <c r="RZ45" s="670"/>
      <c r="SA45" s="670"/>
      <c r="SB45" s="670"/>
      <c r="SC45" s="670"/>
      <c r="SD45" s="670"/>
      <c r="SE45" s="670"/>
      <c r="SF45" s="670"/>
      <c r="SG45" s="670"/>
      <c r="SH45" s="670"/>
      <c r="SI45" s="670"/>
      <c r="SJ45" s="670"/>
      <c r="SK45" s="670"/>
      <c r="SL45" s="670"/>
      <c r="SM45" s="670"/>
      <c r="SN45" s="670"/>
      <c r="SO45" s="670"/>
      <c r="SP45" s="670"/>
      <c r="SQ45" s="670"/>
      <c r="SR45" s="670"/>
      <c r="SS45" s="670"/>
      <c r="ST45" s="670"/>
      <c r="SU45" s="670"/>
      <c r="SV45" s="670"/>
      <c r="SW45" s="670"/>
      <c r="SX45" s="670"/>
      <c r="SY45" s="670"/>
      <c r="SZ45" s="670"/>
      <c r="TA45" s="670"/>
      <c r="TB45" s="670"/>
      <c r="TC45" s="670"/>
      <c r="TD45" s="670"/>
      <c r="TE45" s="670"/>
      <c r="TF45" s="670"/>
      <c r="TG45" s="670"/>
      <c r="TH45" s="670"/>
      <c r="TI45" s="670"/>
      <c r="TJ45" s="670"/>
      <c r="TK45" s="670"/>
      <c r="TL45" s="670"/>
      <c r="TM45" s="670"/>
      <c r="TN45" s="670"/>
      <c r="TO45" s="670"/>
      <c r="TP45" s="670"/>
      <c r="TQ45" s="670"/>
      <c r="TR45" s="670"/>
      <c r="TS45" s="670"/>
      <c r="TT45" s="670"/>
      <c r="TU45" s="670"/>
      <c r="TV45" s="670"/>
      <c r="TW45" s="670"/>
      <c r="TX45" s="670"/>
      <c r="TY45" s="670"/>
      <c r="TZ45" s="670"/>
      <c r="UA45" s="670"/>
      <c r="UB45" s="670"/>
      <c r="UC45" s="670"/>
      <c r="UD45" s="670"/>
      <c r="UE45" s="670"/>
      <c r="UF45" s="670"/>
      <c r="UG45" s="670"/>
      <c r="UH45" s="670"/>
      <c r="UI45" s="670"/>
      <c r="UJ45" s="670"/>
      <c r="UK45" s="670"/>
      <c r="UL45" s="670"/>
      <c r="UM45" s="670"/>
      <c r="UN45" s="670"/>
      <c r="UO45" s="670"/>
      <c r="UP45" s="670"/>
      <c r="UQ45" s="670"/>
      <c r="UR45" s="670"/>
      <c r="US45" s="670"/>
      <c r="UT45" s="670"/>
      <c r="UU45" s="670"/>
      <c r="UV45" s="670"/>
      <c r="UW45" s="670"/>
      <c r="UX45" s="670"/>
      <c r="UY45" s="670"/>
      <c r="UZ45" s="670"/>
      <c r="VA45" s="670"/>
      <c r="VB45" s="670"/>
      <c r="VC45" s="670"/>
      <c r="VD45" s="670"/>
      <c r="VE45" s="670"/>
      <c r="VF45" s="670"/>
      <c r="VG45" s="670"/>
      <c r="VH45" s="670"/>
      <c r="VI45" s="670"/>
      <c r="VJ45" s="670"/>
      <c r="VK45" s="670"/>
      <c r="VL45" s="670"/>
      <c r="VM45" s="670"/>
      <c r="VN45" s="670"/>
      <c r="VO45" s="670"/>
      <c r="VP45" s="670"/>
      <c r="VQ45" s="670"/>
      <c r="VR45" s="670"/>
      <c r="VS45" s="670"/>
      <c r="VT45" s="670"/>
      <c r="VU45" s="670"/>
      <c r="VV45" s="670"/>
      <c r="VW45" s="670"/>
      <c r="VX45" s="670"/>
      <c r="VY45" s="670"/>
      <c r="VZ45" s="670"/>
      <c r="WA45" s="670"/>
      <c r="WB45" s="670"/>
      <c r="WC45" s="670"/>
      <c r="WD45" s="670"/>
      <c r="WE45" s="670"/>
      <c r="WF45" s="670"/>
      <c r="WG45" s="670"/>
      <c r="WH45" s="670"/>
      <c r="WI45" s="670"/>
      <c r="WJ45" s="670"/>
      <c r="WK45" s="670"/>
      <c r="WL45" s="670"/>
      <c r="WM45" s="670"/>
      <c r="WN45" s="670"/>
      <c r="WO45" s="670"/>
      <c r="WP45" s="670"/>
      <c r="WQ45" s="670"/>
      <c r="WR45" s="670"/>
      <c r="WS45" s="670"/>
      <c r="WT45" s="670"/>
      <c r="WU45" s="670"/>
      <c r="WV45" s="670"/>
      <c r="WW45" s="670"/>
      <c r="WX45" s="670"/>
      <c r="WY45" s="670"/>
      <c r="WZ45" s="670"/>
      <c r="XA45" s="670"/>
      <c r="XB45" s="670"/>
      <c r="XC45" s="670"/>
      <c r="XD45" s="670"/>
      <c r="XE45" s="670"/>
      <c r="XF45" s="670"/>
      <c r="XG45" s="670"/>
      <c r="XH45" s="670"/>
      <c r="XI45" s="670"/>
      <c r="XJ45" s="670"/>
      <c r="XK45" s="670"/>
      <c r="XL45" s="670"/>
      <c r="XM45" s="670"/>
      <c r="XN45" s="670"/>
      <c r="XO45" s="670"/>
      <c r="XP45" s="670"/>
      <c r="XQ45" s="670"/>
      <c r="XR45" s="670"/>
      <c r="XS45" s="670"/>
      <c r="XT45" s="670"/>
      <c r="XU45" s="670"/>
      <c r="XV45" s="670"/>
      <c r="XW45" s="670"/>
      <c r="XX45" s="670"/>
      <c r="XY45" s="670"/>
      <c r="XZ45" s="670"/>
      <c r="YA45" s="670"/>
      <c r="YB45" s="670"/>
      <c r="YC45" s="670"/>
      <c r="YD45" s="670"/>
      <c r="YE45" s="670"/>
      <c r="YF45" s="670"/>
      <c r="YG45" s="670"/>
      <c r="YH45" s="670"/>
      <c r="YI45" s="670"/>
      <c r="YJ45" s="670"/>
      <c r="YK45" s="670"/>
      <c r="YL45" s="670"/>
      <c r="YM45" s="670"/>
      <c r="YN45" s="670"/>
      <c r="YO45" s="670"/>
      <c r="YP45" s="670"/>
      <c r="YQ45" s="670"/>
      <c r="YR45" s="670"/>
      <c r="YS45" s="670"/>
      <c r="YT45" s="670"/>
      <c r="YU45" s="670"/>
      <c r="YV45" s="670"/>
      <c r="YW45" s="670"/>
      <c r="YX45" s="670"/>
      <c r="YY45" s="670"/>
      <c r="YZ45" s="670"/>
      <c r="ZA45" s="670"/>
      <c r="ZB45" s="670"/>
      <c r="ZC45" s="670"/>
      <c r="ZD45" s="670"/>
      <c r="ZE45" s="670"/>
      <c r="ZF45" s="670"/>
      <c r="ZG45" s="670"/>
      <c r="ZH45" s="670"/>
      <c r="ZI45" s="670"/>
      <c r="ZJ45" s="670"/>
      <c r="ZK45" s="670"/>
      <c r="ZL45" s="670"/>
      <c r="ZM45" s="670"/>
      <c r="ZN45" s="670"/>
      <c r="ZO45" s="670"/>
      <c r="ZP45" s="670"/>
      <c r="ZQ45" s="670"/>
      <c r="ZR45" s="670"/>
      <c r="ZS45" s="670"/>
      <c r="ZT45" s="670"/>
      <c r="ZU45" s="670"/>
      <c r="ZV45" s="670"/>
      <c r="ZW45" s="670"/>
      <c r="ZX45" s="670"/>
      <c r="ZY45" s="670"/>
      <c r="ZZ45" s="670"/>
      <c r="AAA45" s="670"/>
      <c r="AAB45" s="670"/>
      <c r="AAC45" s="670"/>
      <c r="AAD45" s="670"/>
      <c r="AAE45" s="670"/>
      <c r="AAF45" s="670"/>
      <c r="AAG45" s="670"/>
      <c r="AAH45" s="670"/>
      <c r="AAI45" s="670"/>
      <c r="AAJ45" s="670"/>
      <c r="AAK45" s="670"/>
      <c r="AAL45" s="670"/>
      <c r="AAM45" s="670"/>
      <c r="AAN45" s="670"/>
      <c r="AAO45" s="670"/>
      <c r="AAP45" s="670"/>
      <c r="AAQ45" s="670"/>
      <c r="AAR45" s="670"/>
      <c r="AAS45" s="670"/>
      <c r="AAT45" s="670"/>
      <c r="AAU45" s="670"/>
      <c r="AAV45" s="670"/>
      <c r="AAW45" s="670"/>
      <c r="AAX45" s="670"/>
      <c r="AAY45" s="670"/>
      <c r="AAZ45" s="670"/>
      <c r="ABA45" s="670"/>
      <c r="ABB45" s="670"/>
      <c r="ABC45" s="670"/>
      <c r="ABD45" s="670"/>
      <c r="ABE45" s="670"/>
      <c r="ABF45" s="670"/>
      <c r="ABG45" s="670"/>
      <c r="ABH45" s="670"/>
      <c r="ABI45" s="670"/>
      <c r="ABJ45" s="670"/>
      <c r="ABK45" s="670"/>
      <c r="ABL45" s="670"/>
      <c r="ABM45" s="670"/>
      <c r="ABN45" s="670"/>
      <c r="ABO45" s="670"/>
      <c r="ABP45" s="670"/>
      <c r="ABQ45" s="670"/>
      <c r="ABR45" s="670"/>
      <c r="ABS45" s="670"/>
      <c r="ABT45" s="670"/>
      <c r="ABU45" s="670"/>
      <c r="ABV45" s="670"/>
      <c r="ABW45" s="670"/>
      <c r="ABX45" s="670"/>
      <c r="ABY45" s="670"/>
      <c r="ABZ45" s="670"/>
      <c r="ACA45" s="670"/>
      <c r="ACB45" s="670"/>
      <c r="ACC45" s="670"/>
      <c r="ACD45" s="670"/>
      <c r="ACE45" s="670"/>
      <c r="ACF45" s="670"/>
      <c r="ACG45" s="670"/>
      <c r="ACH45" s="670"/>
      <c r="ACI45" s="670"/>
      <c r="ACJ45" s="670"/>
      <c r="ACK45" s="670"/>
      <c r="ACL45" s="670"/>
      <c r="ACM45" s="670"/>
      <c r="ACN45" s="670"/>
      <c r="ACO45" s="670"/>
      <c r="ACP45" s="670"/>
      <c r="ACQ45" s="670"/>
      <c r="ACR45" s="670"/>
      <c r="ACS45" s="670"/>
      <c r="ACT45" s="670"/>
      <c r="ACU45" s="670"/>
      <c r="ACV45" s="670"/>
      <c r="ACW45" s="670"/>
      <c r="ACX45" s="670"/>
      <c r="ACY45" s="670"/>
      <c r="ACZ45" s="670"/>
      <c r="ADA45" s="670"/>
      <c r="ADB45" s="670"/>
      <c r="ADC45" s="670"/>
      <c r="ADD45" s="670"/>
      <c r="ADE45" s="670"/>
      <c r="ADF45" s="670"/>
      <c r="ADG45" s="670"/>
      <c r="ADH45" s="670"/>
      <c r="ADI45" s="670"/>
      <c r="ADJ45" s="670"/>
      <c r="ADK45" s="670"/>
      <c r="ADL45" s="670"/>
      <c r="ADM45" s="670"/>
      <c r="ADN45" s="670"/>
      <c r="ADO45" s="670"/>
      <c r="ADP45" s="670"/>
      <c r="ADQ45" s="670"/>
      <c r="ADR45" s="670"/>
      <c r="ADS45" s="670"/>
      <c r="ADT45" s="670"/>
      <c r="ADU45" s="670"/>
      <c r="ADV45" s="670"/>
      <c r="ADW45" s="670"/>
      <c r="ADX45" s="670"/>
      <c r="ADY45" s="670"/>
      <c r="ADZ45" s="670"/>
      <c r="AEA45" s="670"/>
      <c r="AEB45" s="670"/>
      <c r="AEC45" s="670"/>
      <c r="AED45" s="670"/>
      <c r="AEE45" s="670"/>
      <c r="AEF45" s="670"/>
      <c r="AEG45" s="670"/>
      <c r="AEH45" s="670"/>
      <c r="AEI45" s="670"/>
      <c r="AEJ45" s="670"/>
      <c r="AEK45" s="670"/>
      <c r="AEL45" s="670"/>
      <c r="AEM45" s="670"/>
      <c r="AEN45" s="670"/>
      <c r="AEO45" s="670"/>
      <c r="AEP45" s="670"/>
      <c r="AEQ45" s="670"/>
      <c r="AER45" s="670"/>
      <c r="AES45" s="670"/>
      <c r="AET45" s="670"/>
      <c r="AEU45" s="670"/>
      <c r="AEV45" s="670"/>
      <c r="AEW45" s="670"/>
      <c r="AEX45" s="670"/>
      <c r="AEY45" s="670"/>
      <c r="AEZ45" s="670"/>
      <c r="AFA45" s="670"/>
      <c r="AFB45" s="670"/>
      <c r="AFC45" s="670"/>
      <c r="AFD45" s="670"/>
      <c r="AFE45" s="670"/>
      <c r="AFF45" s="670"/>
      <c r="AFG45" s="670"/>
      <c r="AFH45" s="670"/>
      <c r="AFI45" s="670"/>
      <c r="AFJ45" s="670"/>
      <c r="AFK45" s="670"/>
      <c r="AFL45" s="670"/>
      <c r="AFM45" s="670"/>
      <c r="AFN45" s="670"/>
      <c r="AFO45" s="670"/>
      <c r="AFP45" s="670"/>
      <c r="AFQ45" s="670"/>
      <c r="AFR45" s="670"/>
      <c r="AFS45" s="670"/>
      <c r="AFT45" s="670"/>
      <c r="AFU45" s="670"/>
      <c r="AFV45" s="670"/>
      <c r="AFW45" s="670"/>
      <c r="AFX45" s="670"/>
      <c r="AFY45" s="670"/>
      <c r="AFZ45" s="670"/>
      <c r="AGA45" s="670"/>
      <c r="AGB45" s="670"/>
      <c r="AGC45" s="670"/>
      <c r="AGD45" s="670"/>
      <c r="AGE45" s="670"/>
      <c r="AGF45" s="670"/>
      <c r="AGG45" s="670"/>
      <c r="AGH45" s="670"/>
      <c r="AGI45" s="670"/>
      <c r="AGJ45" s="670"/>
      <c r="AGK45" s="670"/>
      <c r="AGL45" s="670"/>
      <c r="AGM45" s="670"/>
      <c r="AGN45" s="670"/>
      <c r="AGO45" s="670"/>
      <c r="AGP45" s="670"/>
      <c r="AGQ45" s="670"/>
      <c r="AGR45" s="670"/>
      <c r="AGS45" s="670"/>
      <c r="AGT45" s="670"/>
      <c r="AGU45" s="670"/>
      <c r="AGV45" s="670"/>
      <c r="AGW45" s="670"/>
      <c r="AGX45" s="670"/>
      <c r="AGY45" s="670"/>
      <c r="AGZ45" s="670"/>
      <c r="AHA45" s="670"/>
      <c r="AHB45" s="670"/>
      <c r="AHC45" s="670"/>
      <c r="AHD45" s="670"/>
      <c r="AHE45" s="670"/>
      <c r="AHF45" s="670"/>
      <c r="AHG45" s="670"/>
      <c r="AHH45" s="670"/>
      <c r="AHI45" s="670"/>
      <c r="AHJ45" s="670"/>
      <c r="AHK45" s="670"/>
      <c r="AHL45" s="670"/>
      <c r="AHM45" s="670"/>
      <c r="AHN45" s="670"/>
      <c r="AHO45" s="670"/>
      <c r="AHP45" s="670"/>
      <c r="AHQ45" s="670"/>
      <c r="AHR45" s="670"/>
      <c r="AHS45" s="670"/>
      <c r="AHT45" s="670"/>
      <c r="AHU45" s="670"/>
      <c r="AHV45" s="670"/>
      <c r="AHW45" s="670"/>
      <c r="AHX45" s="670"/>
      <c r="AHY45" s="670"/>
      <c r="AHZ45" s="670"/>
      <c r="AIA45" s="670"/>
      <c r="AIB45" s="670"/>
      <c r="AIC45" s="670"/>
      <c r="AID45" s="670"/>
      <c r="AIE45" s="670"/>
      <c r="AIF45" s="670"/>
      <c r="AIG45" s="670"/>
      <c r="AIH45" s="670"/>
      <c r="AII45" s="670"/>
      <c r="AIJ45" s="670"/>
      <c r="AIK45" s="670"/>
      <c r="AIL45" s="670"/>
      <c r="AIM45" s="670"/>
      <c r="AIN45" s="670"/>
      <c r="AIO45" s="670"/>
      <c r="AIP45" s="670"/>
      <c r="AIQ45" s="670"/>
      <c r="AIR45" s="670"/>
      <c r="AIS45" s="670"/>
      <c r="AIT45" s="670"/>
      <c r="AIU45" s="670"/>
      <c r="AIV45" s="670"/>
      <c r="AIW45" s="670"/>
      <c r="AIX45" s="670"/>
      <c r="AIY45" s="670"/>
      <c r="AIZ45" s="670"/>
      <c r="AJA45" s="670"/>
      <c r="AJB45" s="670"/>
      <c r="AJC45" s="670"/>
      <c r="AJD45" s="670"/>
      <c r="AJE45" s="670"/>
      <c r="AJF45" s="670"/>
      <c r="AJG45" s="670"/>
      <c r="AJH45" s="670"/>
      <c r="AJI45" s="670"/>
      <c r="AJJ45" s="670"/>
      <c r="AJK45" s="670"/>
      <c r="AJL45" s="670"/>
      <c r="AJM45" s="670"/>
      <c r="AJN45" s="670"/>
      <c r="AJO45" s="670"/>
      <c r="AJP45" s="670"/>
      <c r="AJQ45" s="670"/>
      <c r="AJR45" s="670"/>
      <c r="AJS45" s="670"/>
      <c r="AJT45" s="670"/>
      <c r="AJU45" s="670"/>
      <c r="AJV45" s="670"/>
      <c r="AJW45" s="670"/>
      <c r="AJX45" s="670"/>
      <c r="AJY45" s="670"/>
      <c r="AJZ45" s="670"/>
      <c r="AKA45" s="670"/>
      <c r="AKB45" s="670"/>
      <c r="AKC45" s="670"/>
      <c r="AKD45" s="670"/>
      <c r="AKE45" s="670"/>
      <c r="AKF45" s="670"/>
      <c r="AKG45" s="670"/>
      <c r="AKH45" s="670"/>
      <c r="AKI45" s="670"/>
      <c r="AKJ45" s="670"/>
      <c r="AKK45" s="670"/>
      <c r="AKL45" s="670"/>
      <c r="AKM45" s="670"/>
      <c r="AKN45" s="670"/>
      <c r="AKO45" s="670"/>
      <c r="AKP45" s="670"/>
      <c r="AKQ45" s="670"/>
      <c r="AKR45" s="670"/>
      <c r="AKS45" s="670"/>
      <c r="AKT45" s="670"/>
      <c r="AKU45" s="670"/>
      <c r="AKV45" s="670"/>
      <c r="AKW45" s="670"/>
      <c r="AKX45" s="670"/>
      <c r="AKY45" s="670"/>
      <c r="AKZ45" s="670"/>
      <c r="ALA45" s="670"/>
      <c r="ALB45" s="670"/>
      <c r="ALC45" s="670"/>
      <c r="ALD45" s="670"/>
      <c r="ALE45" s="670"/>
      <c r="ALF45" s="670"/>
      <c r="ALG45" s="670"/>
      <c r="ALH45" s="670"/>
      <c r="ALI45" s="670"/>
      <c r="ALJ45" s="670"/>
      <c r="ALK45" s="670"/>
      <c r="ALL45" s="670"/>
      <c r="ALM45" s="670"/>
      <c r="ALN45" s="670"/>
      <c r="ALO45" s="670"/>
      <c r="ALP45" s="670"/>
      <c r="ALQ45" s="670"/>
      <c r="ALR45" s="670"/>
      <c r="ALS45" s="670"/>
      <c r="ALT45" s="670"/>
      <c r="ALU45" s="670"/>
      <c r="ALV45" s="670"/>
      <c r="ALW45" s="670"/>
      <c r="ALX45" s="670"/>
      <c r="ALY45" s="670"/>
      <c r="ALZ45" s="670"/>
      <c r="AMA45" s="670"/>
      <c r="AMB45" s="670"/>
      <c r="AMC45" s="670"/>
      <c r="AMD45" s="670"/>
      <c r="AME45" s="670"/>
      <c r="AMF45" s="670"/>
      <c r="AMG45" s="670"/>
      <c r="AMH45" s="670"/>
      <c r="AMI45" s="670"/>
      <c r="AMJ45" s="670"/>
      <c r="AMK45" s="670"/>
      <c r="AML45" s="670"/>
      <c r="AMM45" s="670"/>
      <c r="AMN45" s="670"/>
      <c r="AMO45" s="670"/>
      <c r="AMP45" s="670"/>
      <c r="AMQ45" s="670"/>
      <c r="AMR45" s="670"/>
      <c r="AMS45" s="670"/>
      <c r="AMT45" s="670"/>
      <c r="AMU45" s="670"/>
      <c r="AMV45" s="670"/>
      <c r="AMW45" s="670"/>
      <c r="AMX45" s="670"/>
      <c r="AMY45" s="670"/>
      <c r="AMZ45" s="670"/>
      <c r="ANA45" s="670"/>
      <c r="ANB45" s="670"/>
      <c r="ANC45" s="670"/>
      <c r="AND45" s="670"/>
      <c r="ANE45" s="670"/>
      <c r="ANF45" s="670"/>
      <c r="ANG45" s="670"/>
      <c r="ANH45" s="670"/>
      <c r="ANI45" s="670"/>
      <c r="ANJ45" s="670"/>
      <c r="ANK45" s="670"/>
      <c r="ANL45" s="670"/>
      <c r="ANM45" s="670"/>
      <c r="ANN45" s="670"/>
      <c r="ANO45" s="670"/>
      <c r="ANP45" s="670"/>
      <c r="ANQ45" s="670"/>
      <c r="ANR45" s="670"/>
      <c r="ANS45" s="670"/>
      <c r="ANT45" s="670"/>
      <c r="ANU45" s="670"/>
      <c r="ANV45" s="670"/>
      <c r="ANW45" s="670"/>
      <c r="ANX45" s="670"/>
      <c r="ANY45" s="670"/>
      <c r="ANZ45" s="670"/>
      <c r="AOA45" s="670"/>
      <c r="AOB45" s="670"/>
      <c r="AOC45" s="670"/>
      <c r="AOD45" s="670"/>
      <c r="AOE45" s="670"/>
      <c r="AOF45" s="670"/>
      <c r="AOG45" s="670"/>
      <c r="AOH45" s="670"/>
      <c r="AOI45" s="670"/>
      <c r="AOJ45" s="670"/>
      <c r="AOK45" s="670"/>
      <c r="AOL45" s="670"/>
      <c r="AOM45" s="670"/>
      <c r="AON45" s="670"/>
      <c r="AOO45" s="670"/>
      <c r="AOP45" s="670"/>
      <c r="AOQ45" s="670"/>
      <c r="AOR45" s="670"/>
      <c r="AOS45" s="670"/>
      <c r="AOT45" s="670"/>
      <c r="AOU45" s="670"/>
      <c r="AOV45" s="670"/>
      <c r="AOW45" s="670"/>
      <c r="AOX45" s="670"/>
      <c r="AOY45" s="670"/>
      <c r="AOZ45" s="670"/>
      <c r="APA45" s="670"/>
      <c r="APB45" s="670"/>
      <c r="APC45" s="670"/>
      <c r="APD45" s="670"/>
      <c r="APE45" s="670"/>
      <c r="APF45" s="670"/>
      <c r="APG45" s="670"/>
      <c r="APH45" s="670"/>
      <c r="API45" s="670"/>
      <c r="APJ45" s="670"/>
      <c r="APK45" s="670"/>
      <c r="APL45" s="670"/>
      <c r="APM45" s="670"/>
      <c r="APN45" s="670"/>
      <c r="APO45" s="670"/>
      <c r="APP45" s="670"/>
      <c r="APQ45" s="670"/>
      <c r="APR45" s="670"/>
      <c r="APS45" s="670"/>
      <c r="APT45" s="670"/>
      <c r="APU45" s="670"/>
      <c r="APV45" s="670"/>
      <c r="APW45" s="670"/>
      <c r="APX45" s="670"/>
      <c r="APY45" s="670"/>
      <c r="APZ45" s="670"/>
      <c r="AQA45" s="670"/>
      <c r="AQB45" s="670"/>
      <c r="AQC45" s="670"/>
      <c r="AQD45" s="670"/>
      <c r="AQE45" s="670"/>
      <c r="AQF45" s="670"/>
      <c r="AQG45" s="670"/>
      <c r="AQH45" s="670"/>
      <c r="AQI45" s="670"/>
      <c r="AQJ45" s="670"/>
      <c r="AQK45" s="670"/>
      <c r="AQL45" s="670"/>
      <c r="AQM45" s="670"/>
      <c r="AQN45" s="670"/>
      <c r="AQO45" s="670"/>
      <c r="AQP45" s="670"/>
      <c r="AQQ45" s="670"/>
      <c r="AQR45" s="670"/>
      <c r="AQS45" s="670"/>
      <c r="AQT45" s="670"/>
      <c r="AQU45" s="670"/>
      <c r="AQV45" s="670"/>
      <c r="AQW45" s="670"/>
      <c r="AQX45" s="670"/>
      <c r="AQY45" s="670"/>
      <c r="AQZ45" s="670"/>
      <c r="ARA45" s="670"/>
      <c r="ARB45" s="670"/>
      <c r="ARC45" s="670"/>
      <c r="ARD45" s="670"/>
      <c r="ARE45" s="670"/>
      <c r="ARF45" s="670"/>
      <c r="ARG45" s="670"/>
      <c r="ARH45" s="670"/>
      <c r="ARI45" s="670"/>
      <c r="ARJ45" s="670"/>
      <c r="ARK45" s="670"/>
      <c r="ARL45" s="670"/>
      <c r="ARM45" s="670"/>
      <c r="ARN45" s="670"/>
      <c r="ARO45" s="670"/>
      <c r="ARP45" s="670"/>
      <c r="ARQ45" s="670"/>
      <c r="ARR45" s="670"/>
      <c r="ARS45" s="670"/>
      <c r="ART45" s="670"/>
      <c r="ARU45" s="670"/>
      <c r="ARV45" s="670"/>
      <c r="ARW45" s="670"/>
      <c r="ARX45" s="670"/>
      <c r="ARY45" s="670"/>
      <c r="ARZ45" s="670"/>
      <c r="ASA45" s="670"/>
      <c r="ASB45" s="670"/>
      <c r="ASC45" s="670"/>
      <c r="ASD45" s="670"/>
      <c r="ASE45" s="670"/>
      <c r="ASF45" s="670"/>
      <c r="ASG45" s="670"/>
      <c r="ASH45" s="670"/>
      <c r="ASI45" s="670"/>
      <c r="ASJ45" s="670"/>
      <c r="ASK45" s="670"/>
      <c r="ASL45" s="670"/>
      <c r="ASM45" s="670"/>
      <c r="ASN45" s="670"/>
      <c r="ASO45" s="670"/>
      <c r="ASP45" s="670"/>
      <c r="ASQ45" s="670"/>
      <c r="ASR45" s="670"/>
      <c r="ASS45" s="670"/>
      <c r="AST45" s="670"/>
      <c r="ASU45" s="670"/>
      <c r="ASV45" s="670"/>
      <c r="ASW45" s="670"/>
      <c r="ASX45" s="670"/>
      <c r="ASY45" s="670"/>
      <c r="ASZ45" s="670"/>
      <c r="ATA45" s="670"/>
      <c r="ATB45" s="670"/>
      <c r="ATC45" s="670"/>
      <c r="ATD45" s="670"/>
      <c r="ATE45" s="670"/>
      <c r="ATF45" s="670"/>
      <c r="ATG45" s="670"/>
      <c r="ATH45" s="670"/>
      <c r="ATI45" s="670"/>
      <c r="ATJ45" s="670"/>
      <c r="ATK45" s="670"/>
      <c r="ATL45" s="670"/>
      <c r="ATM45" s="670"/>
      <c r="ATN45" s="670"/>
      <c r="ATO45" s="670"/>
      <c r="ATP45" s="670"/>
      <c r="ATQ45" s="670"/>
      <c r="ATR45" s="670"/>
      <c r="ATS45" s="670"/>
      <c r="ATT45" s="670"/>
      <c r="ATU45" s="670"/>
      <c r="ATV45" s="670"/>
      <c r="ATW45" s="670"/>
      <c r="ATX45" s="670"/>
      <c r="ATY45" s="670"/>
      <c r="ATZ45" s="670"/>
      <c r="AUA45" s="670"/>
      <c r="AUB45" s="670"/>
      <c r="AUC45" s="670"/>
      <c r="AUD45" s="670"/>
      <c r="AUE45" s="670"/>
      <c r="AUF45" s="670"/>
      <c r="AUG45" s="670"/>
      <c r="AUH45" s="670"/>
      <c r="AUI45" s="670"/>
      <c r="AUJ45" s="670"/>
      <c r="AUK45" s="670"/>
      <c r="AUL45" s="670"/>
      <c r="AUM45" s="670"/>
      <c r="AUN45" s="670"/>
      <c r="AUO45" s="670"/>
      <c r="AUP45" s="670"/>
      <c r="AUQ45" s="670"/>
      <c r="AUR45" s="670"/>
      <c r="AUS45" s="670"/>
      <c r="AUT45" s="670"/>
      <c r="AUU45" s="670"/>
      <c r="AUV45" s="670"/>
      <c r="AUW45" s="670"/>
      <c r="AUX45" s="670"/>
      <c r="AUY45" s="670"/>
      <c r="AUZ45" s="670"/>
      <c r="AVA45" s="670"/>
      <c r="AVB45" s="670"/>
      <c r="AVC45" s="670"/>
      <c r="AVD45" s="670"/>
      <c r="AVE45" s="670"/>
      <c r="AVF45" s="670"/>
      <c r="AVG45" s="670"/>
      <c r="AVH45" s="670"/>
      <c r="AVI45" s="670"/>
      <c r="AVJ45" s="670"/>
      <c r="AVK45" s="670"/>
      <c r="AVL45" s="670"/>
      <c r="AVM45" s="670"/>
      <c r="AVN45" s="670"/>
      <c r="AVO45" s="670"/>
      <c r="AVP45" s="670"/>
      <c r="AVQ45" s="670"/>
      <c r="AVR45" s="670"/>
      <c r="AVS45" s="670"/>
      <c r="AVT45" s="670"/>
      <c r="AVU45" s="670"/>
      <c r="AVV45" s="670"/>
      <c r="AVW45" s="670"/>
      <c r="AVX45" s="670"/>
      <c r="AVY45" s="670"/>
      <c r="AVZ45" s="670"/>
      <c r="AWA45" s="670"/>
      <c r="AWB45" s="670"/>
      <c r="AWC45" s="670"/>
      <c r="AWD45" s="670"/>
      <c r="AWE45" s="670"/>
      <c r="AWF45" s="670"/>
      <c r="AWG45" s="670"/>
      <c r="AWH45" s="670"/>
      <c r="AWI45" s="670"/>
      <c r="AWJ45" s="670"/>
      <c r="AWK45" s="670"/>
      <c r="AWL45" s="670"/>
      <c r="AWM45" s="670"/>
      <c r="AWN45" s="670"/>
      <c r="AWO45" s="670"/>
      <c r="AWP45" s="670"/>
      <c r="AWQ45" s="670"/>
      <c r="AWR45" s="670"/>
      <c r="AWS45" s="670"/>
      <c r="AWT45" s="670"/>
      <c r="AWU45" s="670"/>
      <c r="AWV45" s="670"/>
      <c r="AWW45" s="670"/>
      <c r="AWX45" s="670"/>
      <c r="AWY45" s="670"/>
      <c r="AWZ45" s="670"/>
      <c r="AXA45" s="670"/>
      <c r="AXB45" s="670"/>
      <c r="AXC45" s="670"/>
      <c r="AXD45" s="670"/>
      <c r="AXE45" s="670"/>
      <c r="AXF45" s="670"/>
      <c r="AXG45" s="670"/>
      <c r="AXH45" s="670"/>
      <c r="AXI45" s="670"/>
      <c r="AXJ45" s="670"/>
      <c r="AXK45" s="670"/>
      <c r="AXL45" s="670"/>
      <c r="AXM45" s="670"/>
      <c r="AXN45" s="670"/>
      <c r="AXO45" s="670"/>
      <c r="AXP45" s="670"/>
      <c r="AXQ45" s="670"/>
      <c r="AXR45" s="670"/>
      <c r="AXS45" s="670"/>
      <c r="AXT45" s="670"/>
      <c r="AXU45" s="670"/>
      <c r="AXV45" s="670"/>
      <c r="AXW45" s="670"/>
      <c r="AXX45" s="670"/>
      <c r="AXY45" s="670"/>
      <c r="AXZ45" s="670"/>
      <c r="AYA45" s="670"/>
      <c r="AYB45" s="670"/>
      <c r="AYC45" s="670"/>
      <c r="AYD45" s="670"/>
      <c r="AYE45" s="670"/>
      <c r="AYF45" s="670"/>
      <c r="AYG45" s="670"/>
      <c r="AYH45" s="670"/>
      <c r="AYI45" s="670"/>
      <c r="AYJ45" s="670"/>
      <c r="AYK45" s="670"/>
      <c r="AYL45" s="670"/>
      <c r="AYM45" s="670"/>
      <c r="AYN45" s="670"/>
      <c r="AYO45" s="670"/>
      <c r="AYP45" s="670"/>
      <c r="AYQ45" s="670"/>
      <c r="AYR45" s="670"/>
      <c r="AYS45" s="670"/>
      <c r="AYT45" s="670"/>
      <c r="AYU45" s="670"/>
      <c r="AYV45" s="670"/>
      <c r="AYW45" s="670"/>
      <c r="AYX45" s="670"/>
      <c r="AYY45" s="670"/>
      <c r="AYZ45" s="670"/>
      <c r="AZA45" s="670"/>
      <c r="AZB45" s="670"/>
      <c r="AZC45" s="670"/>
      <c r="AZD45" s="670"/>
      <c r="AZE45" s="670"/>
      <c r="AZF45" s="670"/>
      <c r="AZG45" s="670"/>
      <c r="AZH45" s="670"/>
      <c r="AZI45" s="670"/>
      <c r="AZJ45" s="670"/>
      <c r="AZK45" s="670"/>
      <c r="AZL45" s="670"/>
      <c r="AZM45" s="670"/>
      <c r="AZN45" s="670"/>
      <c r="AZO45" s="670"/>
      <c r="AZP45" s="670"/>
      <c r="AZQ45" s="670"/>
      <c r="AZR45" s="670"/>
      <c r="AZS45" s="670"/>
      <c r="AZT45" s="670"/>
      <c r="AZU45" s="670"/>
      <c r="AZV45" s="670"/>
      <c r="AZW45" s="670"/>
      <c r="AZX45" s="670"/>
      <c r="AZY45" s="670"/>
      <c r="AZZ45" s="670"/>
      <c r="BAA45" s="670"/>
      <c r="BAB45" s="670"/>
      <c r="BAC45" s="670"/>
      <c r="BAD45" s="670"/>
      <c r="BAE45" s="670"/>
      <c r="BAF45" s="670"/>
      <c r="BAG45" s="670"/>
      <c r="BAH45" s="670"/>
      <c r="BAI45" s="670"/>
      <c r="BAJ45" s="670"/>
      <c r="BAK45" s="670"/>
      <c r="BAL45" s="670"/>
      <c r="BAM45" s="670"/>
      <c r="BAN45" s="670"/>
      <c r="BAO45" s="670"/>
      <c r="BAP45" s="670"/>
      <c r="BAQ45" s="670"/>
      <c r="BAR45" s="670"/>
      <c r="BAS45" s="670"/>
      <c r="BAT45" s="670"/>
      <c r="BAU45" s="670"/>
      <c r="BAV45" s="670"/>
      <c r="BAW45" s="670"/>
      <c r="BAX45" s="670"/>
      <c r="BAY45" s="670"/>
      <c r="BAZ45" s="670"/>
      <c r="BBA45" s="670"/>
      <c r="BBB45" s="670"/>
      <c r="BBC45" s="670"/>
      <c r="BBD45" s="670"/>
      <c r="BBE45" s="670"/>
      <c r="BBF45" s="670"/>
      <c r="BBG45" s="670"/>
      <c r="BBH45" s="670"/>
      <c r="BBI45" s="670"/>
      <c r="BBJ45" s="670"/>
      <c r="BBK45" s="670"/>
      <c r="BBL45" s="670"/>
      <c r="BBM45" s="670"/>
      <c r="BBN45" s="670"/>
      <c r="BBO45" s="670"/>
      <c r="BBP45" s="670"/>
      <c r="BBQ45" s="670"/>
      <c r="BBR45" s="670"/>
      <c r="BBS45" s="670"/>
      <c r="BBT45" s="670"/>
      <c r="BBU45" s="670"/>
      <c r="BBV45" s="670"/>
      <c r="BBW45" s="670"/>
      <c r="BBX45" s="670"/>
      <c r="BBY45" s="670"/>
      <c r="BBZ45" s="670"/>
      <c r="BCA45" s="670"/>
      <c r="BCB45" s="670"/>
      <c r="BCC45" s="670"/>
      <c r="BCD45" s="670"/>
      <c r="BCE45" s="670"/>
      <c r="BCF45" s="670"/>
      <c r="BCG45" s="670"/>
      <c r="BCH45" s="670"/>
      <c r="BCI45" s="670"/>
      <c r="BCJ45" s="670"/>
      <c r="BCK45" s="670"/>
      <c r="BCL45" s="670"/>
      <c r="BCM45" s="670"/>
      <c r="BCN45" s="670"/>
      <c r="BCO45" s="670"/>
      <c r="BCP45" s="670"/>
      <c r="BCQ45" s="670"/>
      <c r="BCR45" s="670"/>
      <c r="BCS45" s="670"/>
      <c r="BCT45" s="670"/>
      <c r="BCU45" s="670"/>
      <c r="BCV45" s="670"/>
      <c r="BCW45" s="670"/>
      <c r="BCX45" s="670"/>
      <c r="BCY45" s="670"/>
      <c r="BCZ45" s="670"/>
      <c r="BDA45" s="670"/>
      <c r="BDB45" s="670"/>
      <c r="BDC45" s="670"/>
      <c r="BDD45" s="670"/>
      <c r="BDE45" s="670"/>
      <c r="BDF45" s="670"/>
      <c r="BDG45" s="670"/>
      <c r="BDH45" s="670"/>
      <c r="BDI45" s="670"/>
      <c r="BDJ45" s="670"/>
      <c r="BDK45" s="670"/>
      <c r="BDL45" s="670"/>
      <c r="BDM45" s="670"/>
      <c r="BDN45" s="670"/>
      <c r="BDO45" s="670"/>
      <c r="BDP45" s="670"/>
      <c r="BDQ45" s="670"/>
      <c r="BDR45" s="670"/>
      <c r="BDS45" s="670"/>
      <c r="BDT45" s="670"/>
      <c r="BDU45" s="670"/>
      <c r="BDV45" s="670"/>
      <c r="BDW45" s="670"/>
      <c r="BDX45" s="670"/>
      <c r="BDY45" s="670"/>
      <c r="BDZ45" s="670"/>
      <c r="BEA45" s="670"/>
      <c r="BEB45" s="670"/>
      <c r="BEC45" s="670"/>
      <c r="BED45" s="670"/>
      <c r="BEE45" s="670"/>
      <c r="BEF45" s="670"/>
      <c r="BEG45" s="670"/>
      <c r="BEH45" s="670"/>
      <c r="BEI45" s="670"/>
      <c r="BEJ45" s="670"/>
      <c r="BEK45" s="670"/>
      <c r="BEL45" s="670"/>
      <c r="BEM45" s="670"/>
      <c r="BEN45" s="670"/>
      <c r="BEO45" s="670"/>
      <c r="BEP45" s="670"/>
      <c r="BEQ45" s="670"/>
      <c r="BER45" s="670"/>
      <c r="BES45" s="670"/>
      <c r="BET45" s="670"/>
      <c r="BEU45" s="670"/>
      <c r="BEV45" s="670"/>
      <c r="BEW45" s="670"/>
      <c r="BEX45" s="670"/>
      <c r="BEY45" s="670"/>
      <c r="BEZ45" s="670"/>
      <c r="BFA45" s="670"/>
      <c r="BFB45" s="670"/>
      <c r="BFC45" s="670"/>
      <c r="BFD45" s="670"/>
      <c r="BFE45" s="670"/>
      <c r="BFF45" s="670"/>
      <c r="BFG45" s="670"/>
      <c r="BFH45" s="670"/>
      <c r="BFI45" s="670"/>
      <c r="BFJ45" s="670"/>
      <c r="BFK45" s="670"/>
      <c r="BFL45" s="670"/>
      <c r="BFM45" s="670"/>
      <c r="BFN45" s="670"/>
      <c r="BFO45" s="670"/>
      <c r="BFP45" s="670"/>
      <c r="BFQ45" s="670"/>
      <c r="BFR45" s="670"/>
      <c r="BFS45" s="670"/>
      <c r="BFT45" s="670"/>
      <c r="BFU45" s="670"/>
      <c r="BFV45" s="670"/>
      <c r="BFW45" s="670"/>
      <c r="BFX45" s="670"/>
      <c r="BFY45" s="670"/>
      <c r="BFZ45" s="670"/>
      <c r="BGA45" s="670"/>
      <c r="BGB45" s="670"/>
      <c r="BGC45" s="670"/>
      <c r="BGD45" s="670"/>
      <c r="BGE45" s="670"/>
      <c r="BGF45" s="670"/>
      <c r="BGG45" s="670"/>
      <c r="BGH45" s="670"/>
      <c r="BGI45" s="670"/>
      <c r="BGJ45" s="670"/>
      <c r="BGK45" s="670"/>
      <c r="BGL45" s="670"/>
      <c r="BGM45" s="670"/>
      <c r="BGN45" s="670"/>
      <c r="BGO45" s="670"/>
      <c r="BGP45" s="670"/>
      <c r="BGQ45" s="670"/>
      <c r="BGR45" s="670"/>
      <c r="BGS45" s="670"/>
      <c r="BGT45" s="670"/>
      <c r="BGU45" s="670"/>
      <c r="BGV45" s="670"/>
      <c r="BGW45" s="670"/>
      <c r="BGX45" s="670"/>
      <c r="BGY45" s="670"/>
      <c r="BGZ45" s="670"/>
      <c r="BHA45" s="670"/>
      <c r="BHB45" s="670"/>
      <c r="BHC45" s="670"/>
      <c r="BHD45" s="670"/>
      <c r="BHE45" s="670"/>
      <c r="BHF45" s="670"/>
      <c r="BHG45" s="670"/>
      <c r="BHH45" s="670"/>
      <c r="BHI45" s="670"/>
      <c r="BHJ45" s="670"/>
      <c r="BHK45" s="670"/>
      <c r="BHL45" s="670"/>
      <c r="BHM45" s="670"/>
      <c r="BHN45" s="670"/>
      <c r="BHO45" s="670"/>
      <c r="BHP45" s="670"/>
      <c r="BHQ45" s="670"/>
      <c r="BHR45" s="670"/>
      <c r="BHS45" s="670"/>
      <c r="BHT45" s="670"/>
      <c r="BHU45" s="670"/>
      <c r="BHV45" s="670"/>
      <c r="BHW45" s="670"/>
      <c r="BHX45" s="670"/>
      <c r="BHY45" s="670"/>
      <c r="BHZ45" s="670"/>
      <c r="BIA45" s="670"/>
      <c r="BIB45" s="670"/>
      <c r="BIC45" s="670"/>
      <c r="BID45" s="670"/>
      <c r="BIE45" s="670"/>
      <c r="BIF45" s="670"/>
      <c r="BIG45" s="670"/>
      <c r="BIH45" s="670"/>
      <c r="BII45" s="670"/>
      <c r="BIJ45" s="670"/>
      <c r="BIK45" s="670"/>
      <c r="BIL45" s="670"/>
      <c r="BIM45" s="670"/>
      <c r="BIN45" s="670"/>
      <c r="BIO45" s="670"/>
      <c r="BIP45" s="670"/>
      <c r="BIQ45" s="670"/>
      <c r="BIR45" s="670"/>
      <c r="BIS45" s="670"/>
      <c r="BIT45" s="670"/>
      <c r="BIU45" s="670"/>
      <c r="BIV45" s="670"/>
      <c r="BIW45" s="670"/>
      <c r="BIX45" s="670"/>
      <c r="BIY45" s="670"/>
      <c r="BIZ45" s="670"/>
      <c r="BJA45" s="670"/>
      <c r="BJB45" s="670"/>
      <c r="BJC45" s="670"/>
      <c r="BJD45" s="670"/>
      <c r="BJE45" s="670"/>
      <c r="BJF45" s="670"/>
      <c r="BJG45" s="670"/>
      <c r="BJH45" s="670"/>
      <c r="BJI45" s="670"/>
      <c r="BJJ45" s="670"/>
      <c r="BJK45" s="670"/>
      <c r="BJL45" s="670"/>
      <c r="BJM45" s="670"/>
      <c r="BJN45" s="670"/>
      <c r="BJO45" s="670"/>
      <c r="BJP45" s="670"/>
      <c r="BJQ45" s="670"/>
      <c r="BJR45" s="670"/>
      <c r="BJS45" s="670"/>
      <c r="BJT45" s="670"/>
      <c r="BJU45" s="670"/>
      <c r="BJV45" s="670"/>
      <c r="BJW45" s="670"/>
      <c r="BJX45" s="670"/>
      <c r="BJY45" s="670"/>
      <c r="BJZ45" s="670"/>
      <c r="BKA45" s="670"/>
      <c r="BKB45" s="670"/>
      <c r="BKC45" s="670"/>
      <c r="BKD45" s="670"/>
      <c r="BKE45" s="670"/>
      <c r="BKF45" s="670"/>
      <c r="BKG45" s="670"/>
      <c r="BKH45" s="670"/>
      <c r="BKI45" s="670"/>
      <c r="BKJ45" s="670"/>
      <c r="BKK45" s="670"/>
      <c r="BKL45" s="670"/>
      <c r="BKM45" s="670"/>
      <c r="BKN45" s="670"/>
      <c r="BKO45" s="670"/>
      <c r="BKP45" s="670"/>
      <c r="BKQ45" s="670"/>
      <c r="BKR45" s="670"/>
      <c r="BKS45" s="670"/>
      <c r="BKT45" s="670"/>
      <c r="BKU45" s="670"/>
      <c r="BKV45" s="670"/>
      <c r="BKW45" s="670"/>
      <c r="BKX45" s="670"/>
      <c r="BKY45" s="670"/>
      <c r="BKZ45" s="670"/>
      <c r="BLA45" s="670"/>
      <c r="BLB45" s="670"/>
      <c r="BLC45" s="670"/>
      <c r="BLD45" s="670"/>
      <c r="BLE45" s="670"/>
      <c r="BLF45" s="670"/>
      <c r="BLG45" s="670"/>
      <c r="BLH45" s="670"/>
      <c r="BLI45" s="670"/>
      <c r="BLJ45" s="670"/>
      <c r="BLK45" s="670"/>
      <c r="BLL45" s="670"/>
      <c r="BLM45" s="670"/>
      <c r="BLN45" s="670"/>
      <c r="BLO45" s="670"/>
      <c r="BLP45" s="670"/>
      <c r="BLQ45" s="670"/>
      <c r="BLR45" s="670"/>
      <c r="BLS45" s="670"/>
      <c r="BLT45" s="670"/>
      <c r="BLU45" s="670"/>
      <c r="BLV45" s="670"/>
      <c r="BLW45" s="670"/>
      <c r="BLX45" s="670"/>
      <c r="BLY45" s="670"/>
      <c r="BLZ45" s="670"/>
      <c r="BMA45" s="670"/>
      <c r="BMB45" s="670"/>
      <c r="BMC45" s="670"/>
      <c r="BMD45" s="670"/>
      <c r="BME45" s="670"/>
      <c r="BMF45" s="670"/>
      <c r="BMG45" s="670"/>
      <c r="BMH45" s="670"/>
      <c r="BMI45" s="670"/>
      <c r="BMJ45" s="670"/>
      <c r="BMK45" s="670"/>
      <c r="BML45" s="670"/>
      <c r="BMM45" s="670"/>
      <c r="BMN45" s="670"/>
      <c r="BMO45" s="670"/>
      <c r="BMP45" s="670"/>
      <c r="BMQ45" s="670"/>
      <c r="BMR45" s="670"/>
      <c r="BMS45" s="670"/>
      <c r="BMT45" s="670"/>
      <c r="BMU45" s="670"/>
      <c r="BMV45" s="670"/>
      <c r="BMW45" s="670"/>
      <c r="BMX45" s="670"/>
      <c r="BMY45" s="670"/>
      <c r="BMZ45" s="670"/>
      <c r="BNA45" s="670"/>
      <c r="BNB45" s="670"/>
      <c r="BNC45" s="670"/>
      <c r="BND45" s="670"/>
      <c r="BNE45" s="670"/>
      <c r="BNF45" s="670"/>
      <c r="BNG45" s="670"/>
      <c r="BNH45" s="670"/>
      <c r="BNI45" s="670"/>
      <c r="BNJ45" s="670"/>
      <c r="BNK45" s="670"/>
      <c r="BNL45" s="670"/>
      <c r="BNM45" s="670"/>
      <c r="BNN45" s="670"/>
      <c r="BNO45" s="670"/>
      <c r="BNP45" s="670"/>
      <c r="BNQ45" s="670"/>
      <c r="BNR45" s="670"/>
      <c r="BNS45" s="670"/>
      <c r="BNT45" s="670"/>
      <c r="BNU45" s="670"/>
      <c r="BNV45" s="670"/>
      <c r="BNW45" s="670"/>
      <c r="BNX45" s="670"/>
      <c r="BNY45" s="670"/>
      <c r="BNZ45" s="670"/>
      <c r="BOA45" s="670"/>
      <c r="BOB45" s="670"/>
      <c r="BOC45" s="670"/>
      <c r="BOD45" s="670"/>
      <c r="BOE45" s="670"/>
      <c r="BOF45" s="670"/>
      <c r="BOG45" s="670"/>
      <c r="BOH45" s="670"/>
      <c r="BOI45" s="670"/>
      <c r="BOJ45" s="670"/>
      <c r="BOK45" s="670"/>
      <c r="BOL45" s="670"/>
      <c r="BOM45" s="670"/>
      <c r="BON45" s="670"/>
      <c r="BOO45" s="670"/>
      <c r="BOP45" s="670"/>
      <c r="BOQ45" s="670"/>
      <c r="BOR45" s="670"/>
      <c r="BOS45" s="670"/>
      <c r="BOT45" s="670"/>
      <c r="BOU45" s="670"/>
      <c r="BOV45" s="670"/>
      <c r="BOW45" s="670"/>
      <c r="BOX45" s="670"/>
      <c r="BOY45" s="670"/>
      <c r="BOZ45" s="670"/>
      <c r="BPA45" s="670"/>
      <c r="BPB45" s="670"/>
      <c r="BPC45" s="670"/>
      <c r="BPD45" s="670"/>
      <c r="BPE45" s="670"/>
      <c r="BPF45" s="670"/>
      <c r="BPG45" s="670"/>
      <c r="BPH45" s="670"/>
      <c r="BPI45" s="670"/>
      <c r="BPJ45" s="670"/>
      <c r="BPK45" s="670"/>
      <c r="BPL45" s="670"/>
      <c r="BPM45" s="670"/>
      <c r="BPN45" s="670"/>
      <c r="BPO45" s="670"/>
      <c r="BPP45" s="670"/>
      <c r="BPQ45" s="670"/>
      <c r="BPR45" s="670"/>
      <c r="BPS45" s="670"/>
      <c r="BPT45" s="670"/>
      <c r="BPU45" s="670"/>
      <c r="BPV45" s="670"/>
      <c r="BPW45" s="670"/>
      <c r="BPX45" s="670"/>
      <c r="BPY45" s="670"/>
      <c r="BPZ45" s="670"/>
      <c r="BQA45" s="670"/>
      <c r="BQB45" s="670"/>
      <c r="BQC45" s="670"/>
      <c r="BQD45" s="670"/>
      <c r="BQE45" s="670"/>
      <c r="BQF45" s="670"/>
      <c r="BQG45" s="670"/>
      <c r="BQH45" s="670"/>
      <c r="BQI45" s="670"/>
      <c r="BQJ45" s="670"/>
      <c r="BQK45" s="670"/>
      <c r="BQL45" s="670"/>
      <c r="BQM45" s="670"/>
      <c r="BQN45" s="670"/>
      <c r="BQO45" s="670"/>
      <c r="BQP45" s="670"/>
      <c r="BQQ45" s="670"/>
      <c r="BQR45" s="670"/>
      <c r="BQS45" s="670"/>
      <c r="BQT45" s="670"/>
      <c r="BQU45" s="670"/>
      <c r="BQV45" s="670"/>
      <c r="BQW45" s="670"/>
      <c r="BQX45" s="670"/>
      <c r="BQY45" s="670"/>
      <c r="BQZ45" s="670"/>
      <c r="BRA45" s="670"/>
      <c r="BRB45" s="670"/>
      <c r="BRC45" s="670"/>
      <c r="BRD45" s="670"/>
      <c r="BRE45" s="670"/>
      <c r="BRF45" s="670"/>
      <c r="BRG45" s="670"/>
      <c r="BRH45" s="670"/>
      <c r="BRI45" s="670"/>
      <c r="BRJ45" s="670"/>
      <c r="BRK45" s="670"/>
      <c r="BRL45" s="670"/>
      <c r="BRM45" s="670"/>
      <c r="BRN45" s="670"/>
      <c r="BRO45" s="670"/>
      <c r="BRP45" s="670"/>
      <c r="BRQ45" s="670"/>
      <c r="BRR45" s="670"/>
      <c r="BRS45" s="670"/>
      <c r="BRT45" s="670"/>
      <c r="BRU45" s="670"/>
      <c r="BRV45" s="670"/>
      <c r="BRW45" s="670"/>
      <c r="BRX45" s="670"/>
      <c r="BRY45" s="670"/>
      <c r="BRZ45" s="670"/>
      <c r="BSA45" s="670"/>
      <c r="BSB45" s="670"/>
      <c r="BSC45" s="670"/>
      <c r="BSD45" s="670"/>
      <c r="BSE45" s="670"/>
      <c r="BSF45" s="670"/>
      <c r="BSG45" s="670"/>
      <c r="BSH45" s="670"/>
      <c r="BSI45" s="670"/>
      <c r="BSJ45" s="670"/>
      <c r="BSK45" s="670"/>
      <c r="BSL45" s="670"/>
      <c r="BSM45" s="670"/>
      <c r="BSN45" s="670"/>
      <c r="BSO45" s="670"/>
      <c r="BSP45" s="670"/>
      <c r="BSQ45" s="670"/>
      <c r="BSR45" s="670"/>
      <c r="BSS45" s="670"/>
      <c r="BST45" s="670"/>
      <c r="BSU45" s="670"/>
      <c r="BSV45" s="670"/>
      <c r="BSW45" s="670"/>
      <c r="BSX45" s="670"/>
      <c r="BSY45" s="670"/>
      <c r="BSZ45" s="670"/>
      <c r="BTA45" s="670"/>
      <c r="BTB45" s="670"/>
      <c r="BTC45" s="670"/>
      <c r="BTD45" s="670"/>
      <c r="BTE45" s="670"/>
      <c r="BTF45" s="670"/>
      <c r="BTG45" s="670"/>
      <c r="BTH45" s="670"/>
      <c r="BTI45" s="670"/>
      <c r="BTJ45" s="670"/>
      <c r="BTK45" s="670"/>
      <c r="BTL45" s="670"/>
      <c r="BTM45" s="670"/>
      <c r="BTN45" s="670"/>
      <c r="BTO45" s="670"/>
      <c r="BTP45" s="670"/>
      <c r="BTQ45" s="670"/>
      <c r="BTR45" s="670"/>
      <c r="BTS45" s="670"/>
      <c r="BTT45" s="670"/>
      <c r="BTU45" s="670"/>
      <c r="BTV45" s="670"/>
      <c r="BTW45" s="670"/>
      <c r="BTX45" s="670"/>
      <c r="BTY45" s="670"/>
      <c r="BTZ45" s="670"/>
      <c r="BUA45" s="670"/>
      <c r="BUB45" s="670"/>
      <c r="BUC45" s="670"/>
      <c r="BUD45" s="670"/>
      <c r="BUE45" s="670"/>
      <c r="BUF45" s="670"/>
      <c r="BUG45" s="670"/>
      <c r="BUH45" s="670"/>
      <c r="BUI45" s="670"/>
      <c r="BUJ45" s="670"/>
      <c r="BUK45" s="670"/>
      <c r="BUL45" s="670"/>
      <c r="BUM45" s="670"/>
      <c r="BUN45" s="670"/>
      <c r="BUO45" s="670"/>
      <c r="BUP45" s="670"/>
      <c r="BUQ45" s="670"/>
      <c r="BUR45" s="670"/>
      <c r="BUS45" s="670"/>
      <c r="BUT45" s="670"/>
      <c r="BUU45" s="670"/>
      <c r="BUV45" s="670"/>
      <c r="BUW45" s="670"/>
      <c r="BUX45" s="670"/>
      <c r="BUY45" s="670"/>
      <c r="BUZ45" s="670"/>
      <c r="BVA45" s="670"/>
      <c r="BVB45" s="670"/>
      <c r="BVC45" s="670"/>
      <c r="BVD45" s="670"/>
      <c r="BVE45" s="670"/>
      <c r="BVF45" s="670"/>
      <c r="BVG45" s="670"/>
      <c r="BVH45" s="670"/>
      <c r="BVI45" s="670"/>
      <c r="BVJ45" s="670"/>
      <c r="BVK45" s="670"/>
      <c r="BVL45" s="670"/>
      <c r="BVM45" s="670"/>
      <c r="BVN45" s="670"/>
      <c r="BVO45" s="670"/>
      <c r="BVP45" s="670"/>
      <c r="BVQ45" s="670"/>
      <c r="BVR45" s="670"/>
      <c r="BVS45" s="670"/>
      <c r="BVT45" s="670"/>
      <c r="BVU45" s="670"/>
      <c r="BVV45" s="670"/>
      <c r="BVW45" s="670"/>
      <c r="BVX45" s="670"/>
      <c r="BVY45" s="670"/>
      <c r="BVZ45" s="670"/>
      <c r="BWA45" s="670"/>
      <c r="BWB45" s="670"/>
      <c r="BWC45" s="670"/>
      <c r="BWD45" s="670"/>
      <c r="BWE45" s="670"/>
      <c r="BWF45" s="670"/>
      <c r="BWG45" s="670"/>
      <c r="BWH45" s="670"/>
      <c r="BWI45" s="670"/>
      <c r="BWJ45" s="670"/>
      <c r="BWK45" s="670"/>
      <c r="BWL45" s="670"/>
      <c r="BWM45" s="670"/>
      <c r="BWN45" s="670"/>
      <c r="BWO45" s="670"/>
      <c r="BWP45" s="670"/>
      <c r="BWQ45" s="670"/>
      <c r="BWR45" s="670"/>
      <c r="BWS45" s="670"/>
      <c r="BWT45" s="670"/>
      <c r="BWU45" s="670"/>
      <c r="BWV45" s="670"/>
      <c r="BWW45" s="670"/>
      <c r="BWX45" s="670"/>
      <c r="BWY45" s="670"/>
      <c r="BWZ45" s="670"/>
      <c r="BXA45" s="670"/>
      <c r="BXB45" s="670"/>
      <c r="BXC45" s="670"/>
      <c r="BXD45" s="670"/>
      <c r="BXE45" s="670"/>
      <c r="BXF45" s="670"/>
      <c r="BXG45" s="670"/>
      <c r="BXH45" s="670"/>
      <c r="BXI45" s="670"/>
      <c r="BXJ45" s="670"/>
      <c r="BXK45" s="670"/>
      <c r="BXL45" s="670"/>
      <c r="BXM45" s="670"/>
      <c r="BXN45" s="670"/>
      <c r="BXO45" s="670"/>
      <c r="BXP45" s="670"/>
      <c r="BXQ45" s="670"/>
      <c r="BXR45" s="670"/>
      <c r="BXS45" s="670"/>
      <c r="BXT45" s="670"/>
      <c r="BXU45" s="670"/>
      <c r="BXV45" s="670"/>
      <c r="BXW45" s="670"/>
      <c r="BXX45" s="670"/>
      <c r="BXY45" s="670"/>
      <c r="BXZ45" s="670"/>
      <c r="BYA45" s="670"/>
      <c r="BYB45" s="670"/>
      <c r="BYC45" s="670"/>
      <c r="BYD45" s="670"/>
      <c r="BYE45" s="670"/>
      <c r="BYF45" s="670"/>
      <c r="BYG45" s="670"/>
      <c r="BYH45" s="670"/>
      <c r="BYI45" s="670"/>
      <c r="BYJ45" s="670"/>
      <c r="BYK45" s="670"/>
      <c r="BYL45" s="670"/>
      <c r="BYM45" s="670"/>
      <c r="BYN45" s="670"/>
      <c r="BYO45" s="670"/>
      <c r="BYP45" s="670"/>
      <c r="BYQ45" s="670"/>
      <c r="BYR45" s="670"/>
      <c r="BYS45" s="670"/>
      <c r="BYT45" s="670"/>
      <c r="BYU45" s="670"/>
      <c r="BYV45" s="670"/>
      <c r="BYW45" s="670"/>
      <c r="BYX45" s="670"/>
      <c r="BYY45" s="670"/>
      <c r="BYZ45" s="670"/>
      <c r="BZA45" s="670"/>
      <c r="BZB45" s="670"/>
      <c r="BZC45" s="670"/>
      <c r="BZD45" s="670"/>
      <c r="BZE45" s="670"/>
      <c r="BZF45" s="670"/>
      <c r="BZG45" s="670"/>
      <c r="BZH45" s="670"/>
      <c r="BZI45" s="670"/>
      <c r="BZJ45" s="670"/>
      <c r="BZK45" s="670"/>
      <c r="BZL45" s="670"/>
      <c r="BZM45" s="670"/>
      <c r="BZN45" s="670"/>
      <c r="BZO45" s="670"/>
      <c r="BZP45" s="670"/>
      <c r="BZQ45" s="670"/>
      <c r="BZR45" s="670"/>
      <c r="BZS45" s="670"/>
      <c r="BZT45" s="670"/>
      <c r="BZU45" s="670"/>
      <c r="BZV45" s="670"/>
      <c r="BZW45" s="670"/>
      <c r="BZX45" s="670"/>
      <c r="BZY45" s="670"/>
      <c r="BZZ45" s="670"/>
      <c r="CAA45" s="670"/>
      <c r="CAB45" s="670"/>
      <c r="CAC45" s="670"/>
      <c r="CAD45" s="670"/>
      <c r="CAE45" s="670"/>
      <c r="CAF45" s="670"/>
      <c r="CAG45" s="670"/>
      <c r="CAH45" s="670"/>
      <c r="CAI45" s="670"/>
      <c r="CAJ45" s="670"/>
      <c r="CAK45" s="670"/>
      <c r="CAL45" s="670"/>
      <c r="CAM45" s="670"/>
      <c r="CAN45" s="670"/>
      <c r="CAO45" s="670"/>
      <c r="CAP45" s="670"/>
      <c r="CAQ45" s="670"/>
      <c r="CAR45" s="670"/>
      <c r="CAS45" s="670"/>
      <c r="CAT45" s="670"/>
      <c r="CAU45" s="670"/>
      <c r="CAV45" s="670"/>
      <c r="CAW45" s="670"/>
      <c r="CAX45" s="670"/>
      <c r="CAY45" s="670"/>
      <c r="CAZ45" s="670"/>
      <c r="CBA45" s="670"/>
      <c r="CBB45" s="670"/>
      <c r="CBC45" s="670"/>
      <c r="CBD45" s="670"/>
      <c r="CBE45" s="670"/>
      <c r="CBF45" s="670"/>
      <c r="CBG45" s="670"/>
      <c r="CBH45" s="670"/>
      <c r="CBI45" s="670"/>
      <c r="CBJ45" s="670"/>
      <c r="CBK45" s="670"/>
      <c r="CBL45" s="670"/>
      <c r="CBM45" s="670"/>
      <c r="CBN45" s="670"/>
      <c r="CBO45" s="670"/>
      <c r="CBP45" s="670"/>
      <c r="CBQ45" s="670"/>
      <c r="CBR45" s="670"/>
      <c r="CBS45" s="670"/>
      <c r="CBT45" s="670"/>
      <c r="CBU45" s="670"/>
      <c r="CBV45" s="670"/>
      <c r="CBW45" s="670"/>
      <c r="CBX45" s="670"/>
      <c r="CBY45" s="670"/>
      <c r="CBZ45" s="670"/>
      <c r="CCA45" s="670"/>
      <c r="CCB45" s="670"/>
      <c r="CCC45" s="670"/>
      <c r="CCD45" s="670"/>
      <c r="CCE45" s="670"/>
      <c r="CCF45" s="670"/>
      <c r="CCG45" s="670"/>
      <c r="CCH45" s="670"/>
      <c r="CCI45" s="670"/>
      <c r="CCJ45" s="670"/>
      <c r="CCK45" s="670"/>
      <c r="CCL45" s="670"/>
      <c r="CCM45" s="670"/>
      <c r="CCN45" s="670"/>
      <c r="CCO45" s="670"/>
      <c r="CCP45" s="670"/>
      <c r="CCQ45" s="670"/>
      <c r="CCR45" s="670"/>
      <c r="CCS45" s="670"/>
      <c r="CCT45" s="670"/>
      <c r="CCU45" s="670"/>
      <c r="CCV45" s="670"/>
      <c r="CCW45" s="670"/>
      <c r="CCX45" s="670"/>
      <c r="CCY45" s="670"/>
      <c r="CCZ45" s="670"/>
      <c r="CDA45" s="670"/>
      <c r="CDB45" s="670"/>
      <c r="CDC45" s="670"/>
      <c r="CDD45" s="670"/>
      <c r="CDE45" s="670"/>
      <c r="CDF45" s="670"/>
      <c r="CDG45" s="670"/>
      <c r="CDH45" s="670"/>
      <c r="CDI45" s="670"/>
      <c r="CDJ45" s="670"/>
      <c r="CDK45" s="670"/>
      <c r="CDL45" s="670"/>
      <c r="CDM45" s="670"/>
      <c r="CDN45" s="670"/>
      <c r="CDO45" s="670"/>
      <c r="CDP45" s="670"/>
      <c r="CDQ45" s="670"/>
      <c r="CDR45" s="670"/>
      <c r="CDS45" s="670"/>
      <c r="CDT45" s="670"/>
      <c r="CDU45" s="670"/>
      <c r="CDV45" s="670"/>
      <c r="CDW45" s="670"/>
      <c r="CDX45" s="670"/>
      <c r="CDY45" s="670"/>
      <c r="CDZ45" s="670"/>
      <c r="CEA45" s="670"/>
      <c r="CEB45" s="670"/>
      <c r="CEC45" s="670"/>
      <c r="CED45" s="670"/>
      <c r="CEE45" s="670"/>
      <c r="CEF45" s="670"/>
      <c r="CEG45" s="670"/>
      <c r="CEH45" s="670"/>
      <c r="CEI45" s="670"/>
      <c r="CEJ45" s="670"/>
      <c r="CEK45" s="670"/>
      <c r="CEL45" s="670"/>
      <c r="CEM45" s="670"/>
      <c r="CEN45" s="670"/>
      <c r="CEO45" s="670"/>
      <c r="CEP45" s="670"/>
      <c r="CEQ45" s="670"/>
      <c r="CER45" s="670"/>
      <c r="CES45" s="670"/>
      <c r="CET45" s="670"/>
      <c r="CEU45" s="670"/>
      <c r="CEV45" s="670"/>
      <c r="CEW45" s="670"/>
      <c r="CEX45" s="670"/>
      <c r="CEY45" s="670"/>
      <c r="CEZ45" s="670"/>
      <c r="CFA45" s="670"/>
      <c r="CFB45" s="670"/>
      <c r="CFC45" s="670"/>
      <c r="CFD45" s="670"/>
      <c r="CFE45" s="670"/>
      <c r="CFF45" s="670"/>
      <c r="CFG45" s="670"/>
      <c r="CFH45" s="670"/>
      <c r="CFI45" s="670"/>
      <c r="CFJ45" s="670"/>
      <c r="CFK45" s="670"/>
      <c r="CFL45" s="670"/>
      <c r="CFM45" s="670"/>
      <c r="CFN45" s="670"/>
      <c r="CFO45" s="670"/>
      <c r="CFP45" s="670"/>
      <c r="CFQ45" s="670"/>
      <c r="CFR45" s="670"/>
      <c r="CFS45" s="670"/>
      <c r="CFT45" s="670"/>
      <c r="CFU45" s="670"/>
      <c r="CFV45" s="670"/>
      <c r="CFW45" s="670"/>
      <c r="CFX45" s="670"/>
      <c r="CFY45" s="670"/>
      <c r="CFZ45" s="670"/>
      <c r="CGA45" s="670"/>
      <c r="CGB45" s="670"/>
      <c r="CGC45" s="670"/>
      <c r="CGD45" s="670"/>
      <c r="CGE45" s="670"/>
      <c r="CGF45" s="670"/>
      <c r="CGG45" s="670"/>
      <c r="CGH45" s="670"/>
      <c r="CGI45" s="670"/>
      <c r="CGJ45" s="670"/>
      <c r="CGK45" s="670"/>
      <c r="CGL45" s="670"/>
      <c r="CGM45" s="670"/>
      <c r="CGN45" s="670"/>
      <c r="CGO45" s="670"/>
      <c r="CGP45" s="670"/>
      <c r="CGQ45" s="670"/>
      <c r="CGR45" s="670"/>
      <c r="CGS45" s="670"/>
      <c r="CGT45" s="670"/>
      <c r="CGU45" s="670"/>
      <c r="CGV45" s="670"/>
      <c r="CGW45" s="670"/>
      <c r="CGX45" s="670"/>
      <c r="CGY45" s="670"/>
      <c r="CGZ45" s="670"/>
      <c r="CHA45" s="670"/>
      <c r="CHB45" s="670"/>
      <c r="CHC45" s="670"/>
      <c r="CHD45" s="670"/>
      <c r="CHE45" s="670"/>
      <c r="CHF45" s="670"/>
      <c r="CHG45" s="670"/>
      <c r="CHH45" s="670"/>
      <c r="CHI45" s="670"/>
      <c r="CHJ45" s="670"/>
      <c r="CHK45" s="670"/>
      <c r="CHL45" s="670"/>
      <c r="CHM45" s="670"/>
      <c r="CHN45" s="670"/>
      <c r="CHO45" s="670"/>
      <c r="CHP45" s="670"/>
      <c r="CHQ45" s="670"/>
      <c r="CHR45" s="670"/>
      <c r="CHS45" s="670"/>
      <c r="CHT45" s="670"/>
      <c r="CHU45" s="670"/>
      <c r="CHV45" s="670"/>
      <c r="CHW45" s="670"/>
      <c r="CHX45" s="670"/>
      <c r="CHY45" s="670"/>
      <c r="CHZ45" s="670"/>
      <c r="CIA45" s="670"/>
      <c r="CIB45" s="670"/>
      <c r="CIC45" s="670"/>
      <c r="CID45" s="670"/>
      <c r="CIE45" s="670"/>
      <c r="CIF45" s="670"/>
      <c r="CIG45" s="670"/>
      <c r="CIH45" s="670"/>
      <c r="CII45" s="670"/>
      <c r="CIJ45" s="670"/>
      <c r="CIK45" s="670"/>
      <c r="CIL45" s="670"/>
      <c r="CIM45" s="670"/>
      <c r="CIN45" s="670"/>
      <c r="CIO45" s="670"/>
      <c r="CIP45" s="670"/>
      <c r="CIQ45" s="670"/>
      <c r="CIR45" s="670"/>
      <c r="CIS45" s="670"/>
      <c r="CIT45" s="670"/>
      <c r="CIU45" s="670"/>
      <c r="CIV45" s="670"/>
      <c r="CIW45" s="670"/>
      <c r="CIX45" s="670"/>
      <c r="CIY45" s="670"/>
      <c r="CIZ45" s="670"/>
      <c r="CJA45" s="670"/>
      <c r="CJB45" s="670"/>
      <c r="CJC45" s="670"/>
      <c r="CJD45" s="670"/>
      <c r="CJE45" s="670"/>
      <c r="CJF45" s="670"/>
      <c r="CJG45" s="670"/>
      <c r="CJH45" s="670"/>
      <c r="CJI45" s="670"/>
      <c r="CJJ45" s="670"/>
      <c r="CJK45" s="670"/>
      <c r="CJL45" s="670"/>
      <c r="CJM45" s="670"/>
      <c r="CJN45" s="670"/>
      <c r="CJO45" s="670"/>
      <c r="CJP45" s="670"/>
      <c r="CJQ45" s="670"/>
      <c r="CJR45" s="670"/>
      <c r="CJS45" s="670"/>
      <c r="CJT45" s="670"/>
      <c r="CJU45" s="670"/>
      <c r="CJV45" s="670"/>
      <c r="CJW45" s="670"/>
      <c r="CJX45" s="670"/>
      <c r="CJY45" s="670"/>
      <c r="CJZ45" s="670"/>
      <c r="CKA45" s="670"/>
      <c r="CKB45" s="670"/>
      <c r="CKC45" s="670"/>
      <c r="CKD45" s="670"/>
      <c r="CKE45" s="670"/>
      <c r="CKF45" s="670"/>
      <c r="CKG45" s="670"/>
      <c r="CKH45" s="670"/>
      <c r="CKI45" s="670"/>
      <c r="CKJ45" s="670"/>
      <c r="CKK45" s="670"/>
      <c r="CKL45" s="670"/>
      <c r="CKM45" s="670"/>
      <c r="CKN45" s="670"/>
      <c r="CKO45" s="670"/>
      <c r="CKP45" s="670"/>
      <c r="CKQ45" s="670"/>
      <c r="CKR45" s="670"/>
      <c r="CKS45" s="670"/>
      <c r="CKT45" s="670"/>
      <c r="CKU45" s="670"/>
      <c r="CKV45" s="670"/>
      <c r="CKW45" s="670"/>
      <c r="CKX45" s="670"/>
      <c r="CKY45" s="670"/>
      <c r="CKZ45" s="670"/>
      <c r="CLA45" s="670"/>
      <c r="CLB45" s="670"/>
      <c r="CLC45" s="670"/>
      <c r="CLD45" s="670"/>
      <c r="CLE45" s="670"/>
      <c r="CLF45" s="670"/>
      <c r="CLG45" s="670"/>
      <c r="CLH45" s="670"/>
      <c r="CLI45" s="670"/>
      <c r="CLJ45" s="670"/>
      <c r="CLK45" s="670"/>
      <c r="CLL45" s="670"/>
      <c r="CLM45" s="670"/>
      <c r="CLN45" s="670"/>
      <c r="CLO45" s="670"/>
      <c r="CLP45" s="670"/>
      <c r="CLQ45" s="670"/>
      <c r="CLR45" s="670"/>
      <c r="CLS45" s="670"/>
      <c r="CLT45" s="670"/>
      <c r="CLU45" s="670"/>
      <c r="CLV45" s="670"/>
      <c r="CLW45" s="670"/>
      <c r="CLX45" s="670"/>
      <c r="CLY45" s="670"/>
      <c r="CLZ45" s="670"/>
      <c r="CMA45" s="670"/>
      <c r="CMB45" s="670"/>
      <c r="CMC45" s="670"/>
      <c r="CMD45" s="670"/>
      <c r="CME45" s="670"/>
      <c r="CMF45" s="670"/>
      <c r="CMG45" s="670"/>
      <c r="CMH45" s="670"/>
      <c r="CMI45" s="670"/>
      <c r="CMJ45" s="670"/>
      <c r="CMK45" s="670"/>
      <c r="CML45" s="670"/>
      <c r="CMM45" s="670"/>
      <c r="CMN45" s="670"/>
      <c r="CMO45" s="670"/>
      <c r="CMP45" s="670"/>
      <c r="CMQ45" s="670"/>
      <c r="CMR45" s="670"/>
      <c r="CMS45" s="670"/>
      <c r="CMT45" s="670"/>
      <c r="CMU45" s="670"/>
      <c r="CMV45" s="670"/>
      <c r="CMW45" s="670"/>
      <c r="CMX45" s="670"/>
      <c r="CMY45" s="670"/>
      <c r="CMZ45" s="670"/>
      <c r="CNA45" s="670"/>
      <c r="CNB45" s="670"/>
      <c r="CNC45" s="670"/>
      <c r="CND45" s="670"/>
      <c r="CNE45" s="670"/>
      <c r="CNF45" s="670"/>
      <c r="CNG45" s="670"/>
      <c r="CNH45" s="670"/>
      <c r="CNI45" s="670"/>
      <c r="CNJ45" s="670"/>
      <c r="CNK45" s="670"/>
      <c r="CNL45" s="670"/>
      <c r="CNM45" s="670"/>
      <c r="CNN45" s="670"/>
      <c r="CNO45" s="670"/>
      <c r="CNP45" s="670"/>
      <c r="CNQ45" s="670"/>
      <c r="CNR45" s="670"/>
      <c r="CNS45" s="670"/>
      <c r="CNT45" s="670"/>
      <c r="CNU45" s="670"/>
      <c r="CNV45" s="670"/>
      <c r="CNW45" s="670"/>
      <c r="CNX45" s="670"/>
      <c r="CNY45" s="670"/>
      <c r="CNZ45" s="670"/>
      <c r="COA45" s="670"/>
      <c r="COB45" s="670"/>
      <c r="COC45" s="670"/>
      <c r="COD45" s="670"/>
      <c r="COE45" s="670"/>
      <c r="COF45" s="670"/>
      <c r="COG45" s="670"/>
      <c r="COH45" s="670"/>
      <c r="COI45" s="670"/>
      <c r="COJ45" s="670"/>
      <c r="COK45" s="670"/>
      <c r="COL45" s="670"/>
      <c r="COM45" s="670"/>
      <c r="CON45" s="670"/>
      <c r="COO45" s="670"/>
      <c r="COP45" s="670"/>
      <c r="COQ45" s="670"/>
      <c r="COR45" s="670"/>
      <c r="COS45" s="670"/>
      <c r="COT45" s="670"/>
      <c r="COU45" s="670"/>
      <c r="COV45" s="670"/>
      <c r="COW45" s="670"/>
      <c r="COX45" s="670"/>
      <c r="COY45" s="670"/>
      <c r="COZ45" s="670"/>
      <c r="CPA45" s="670"/>
      <c r="CPB45" s="670"/>
      <c r="CPC45" s="670"/>
      <c r="CPD45" s="670"/>
      <c r="CPE45" s="670"/>
      <c r="CPF45" s="670"/>
      <c r="CPG45" s="670"/>
      <c r="CPH45" s="670"/>
      <c r="CPI45" s="670"/>
      <c r="CPJ45" s="670"/>
      <c r="CPK45" s="670"/>
      <c r="CPL45" s="670"/>
      <c r="CPM45" s="670"/>
      <c r="CPN45" s="670"/>
      <c r="CPO45" s="670"/>
      <c r="CPP45" s="670"/>
      <c r="CPQ45" s="670"/>
      <c r="CPR45" s="670"/>
      <c r="CPS45" s="670"/>
      <c r="CPT45" s="670"/>
      <c r="CPU45" s="670"/>
      <c r="CPV45" s="670"/>
      <c r="CPW45" s="670"/>
      <c r="CPX45" s="670"/>
      <c r="CPY45" s="670"/>
      <c r="CPZ45" s="670"/>
      <c r="CQA45" s="670"/>
      <c r="CQB45" s="670"/>
      <c r="CQC45" s="670"/>
      <c r="CQD45" s="670"/>
      <c r="CQE45" s="670"/>
      <c r="CQF45" s="670"/>
      <c r="CQG45" s="670"/>
      <c r="CQH45" s="670"/>
      <c r="CQI45" s="670"/>
      <c r="CQJ45" s="670"/>
      <c r="CQK45" s="670"/>
      <c r="CQL45" s="670"/>
      <c r="CQM45" s="670"/>
      <c r="CQN45" s="670"/>
      <c r="CQO45" s="670"/>
      <c r="CQP45" s="670"/>
      <c r="CQQ45" s="670"/>
      <c r="CQR45" s="670"/>
      <c r="CQS45" s="670"/>
      <c r="CQT45" s="670"/>
      <c r="CQU45" s="670"/>
      <c r="CQV45" s="670"/>
      <c r="CQW45" s="670"/>
      <c r="CQX45" s="670"/>
      <c r="CQY45" s="670"/>
      <c r="CQZ45" s="670"/>
      <c r="CRA45" s="670"/>
      <c r="CRB45" s="670"/>
      <c r="CRC45" s="670"/>
      <c r="CRD45" s="670"/>
      <c r="CRE45" s="670"/>
      <c r="CRF45" s="670"/>
      <c r="CRG45" s="670"/>
      <c r="CRH45" s="670"/>
      <c r="CRI45" s="670"/>
      <c r="CRJ45" s="670"/>
      <c r="CRK45" s="670"/>
      <c r="CRL45" s="670"/>
      <c r="CRM45" s="670"/>
      <c r="CRN45" s="670"/>
      <c r="CRO45" s="670"/>
      <c r="CRP45" s="670"/>
      <c r="CRQ45" s="670"/>
      <c r="CRR45" s="670"/>
      <c r="CRS45" s="670"/>
      <c r="CRT45" s="670"/>
      <c r="CRU45" s="670"/>
      <c r="CRV45" s="670"/>
      <c r="CRW45" s="670"/>
      <c r="CRX45" s="670"/>
      <c r="CRY45" s="670"/>
      <c r="CRZ45" s="670"/>
      <c r="CSA45" s="670"/>
      <c r="CSB45" s="670"/>
      <c r="CSC45" s="670"/>
      <c r="CSD45" s="670"/>
      <c r="CSE45" s="670"/>
      <c r="CSF45" s="670"/>
      <c r="CSG45" s="670"/>
      <c r="CSH45" s="670"/>
      <c r="CSI45" s="670"/>
      <c r="CSJ45" s="670"/>
      <c r="CSK45" s="670"/>
      <c r="CSL45" s="670"/>
      <c r="CSM45" s="670"/>
      <c r="CSN45" s="670"/>
      <c r="CSO45" s="670"/>
      <c r="CSP45" s="670"/>
      <c r="CSQ45" s="670"/>
      <c r="CSR45" s="670"/>
      <c r="CSS45" s="670"/>
      <c r="CST45" s="670"/>
      <c r="CSU45" s="670"/>
      <c r="CSV45" s="670"/>
      <c r="CSW45" s="670"/>
      <c r="CSX45" s="670"/>
      <c r="CSY45" s="670"/>
      <c r="CSZ45" s="670"/>
      <c r="CTA45" s="670"/>
      <c r="CTB45" s="670"/>
      <c r="CTC45" s="670"/>
      <c r="CTD45" s="670"/>
      <c r="CTE45" s="670"/>
      <c r="CTF45" s="670"/>
      <c r="CTG45" s="670"/>
      <c r="CTH45" s="670"/>
      <c r="CTI45" s="670"/>
      <c r="CTJ45" s="670"/>
      <c r="CTK45" s="670"/>
      <c r="CTL45" s="670"/>
      <c r="CTM45" s="670"/>
      <c r="CTN45" s="670"/>
      <c r="CTO45" s="670"/>
      <c r="CTP45" s="670"/>
      <c r="CTQ45" s="670"/>
      <c r="CTR45" s="670"/>
      <c r="CTS45" s="670"/>
      <c r="CTT45" s="670"/>
      <c r="CTU45" s="670"/>
      <c r="CTV45" s="670"/>
      <c r="CTW45" s="670"/>
      <c r="CTX45" s="670"/>
      <c r="CTY45" s="670"/>
      <c r="CTZ45" s="670"/>
      <c r="CUA45" s="670"/>
      <c r="CUB45" s="670"/>
      <c r="CUC45" s="670"/>
      <c r="CUD45" s="670"/>
      <c r="CUE45" s="670"/>
      <c r="CUF45" s="670"/>
      <c r="CUG45" s="670"/>
      <c r="CUH45" s="670"/>
      <c r="CUI45" s="670"/>
      <c r="CUJ45" s="670"/>
      <c r="CUK45" s="670"/>
      <c r="CUL45" s="670"/>
      <c r="CUM45" s="670"/>
      <c r="CUN45" s="670"/>
      <c r="CUO45" s="670"/>
      <c r="CUP45" s="670"/>
      <c r="CUQ45" s="670"/>
      <c r="CUR45" s="670"/>
      <c r="CUS45" s="670"/>
      <c r="CUT45" s="670"/>
      <c r="CUU45" s="670"/>
      <c r="CUV45" s="670"/>
      <c r="CUW45" s="670"/>
      <c r="CUX45" s="670"/>
      <c r="CUY45" s="670"/>
      <c r="CUZ45" s="670"/>
      <c r="CVA45" s="670"/>
      <c r="CVB45" s="670"/>
      <c r="CVC45" s="670"/>
      <c r="CVD45" s="670"/>
      <c r="CVE45" s="670"/>
      <c r="CVF45" s="670"/>
      <c r="CVG45" s="670"/>
      <c r="CVH45" s="670"/>
      <c r="CVI45" s="670"/>
      <c r="CVJ45" s="670"/>
      <c r="CVK45" s="670"/>
      <c r="CVL45" s="670"/>
      <c r="CVM45" s="670"/>
      <c r="CVN45" s="670"/>
      <c r="CVO45" s="670"/>
      <c r="CVP45" s="670"/>
      <c r="CVQ45" s="670"/>
      <c r="CVR45" s="670"/>
      <c r="CVS45" s="670"/>
      <c r="CVT45" s="670"/>
      <c r="CVU45" s="670"/>
      <c r="CVV45" s="670"/>
      <c r="CVW45" s="670"/>
      <c r="CVX45" s="670"/>
      <c r="CVY45" s="670"/>
      <c r="CVZ45" s="670"/>
      <c r="CWA45" s="670"/>
      <c r="CWB45" s="670"/>
      <c r="CWC45" s="670"/>
      <c r="CWD45" s="670"/>
      <c r="CWE45" s="670"/>
      <c r="CWF45" s="670"/>
      <c r="CWG45" s="670"/>
      <c r="CWH45" s="670"/>
      <c r="CWI45" s="670"/>
      <c r="CWJ45" s="670"/>
      <c r="CWK45" s="670"/>
      <c r="CWL45" s="670"/>
      <c r="CWM45" s="670"/>
      <c r="CWN45" s="670"/>
      <c r="CWO45" s="670"/>
      <c r="CWP45" s="670"/>
      <c r="CWQ45" s="670"/>
      <c r="CWR45" s="670"/>
      <c r="CWS45" s="670"/>
      <c r="CWT45" s="670"/>
      <c r="CWU45" s="670"/>
      <c r="CWV45" s="670"/>
      <c r="CWW45" s="670"/>
      <c r="CWX45" s="670"/>
      <c r="CWY45" s="670"/>
      <c r="CWZ45" s="670"/>
      <c r="CXA45" s="670"/>
      <c r="CXB45" s="670"/>
      <c r="CXC45" s="670"/>
      <c r="CXD45" s="670"/>
      <c r="CXE45" s="670"/>
      <c r="CXF45" s="670"/>
      <c r="CXG45" s="670"/>
      <c r="CXH45" s="670"/>
      <c r="CXI45" s="670"/>
      <c r="CXJ45" s="670"/>
      <c r="CXK45" s="670"/>
      <c r="CXL45" s="670"/>
      <c r="CXM45" s="670"/>
      <c r="CXN45" s="670"/>
      <c r="CXO45" s="670"/>
      <c r="CXP45" s="670"/>
      <c r="CXQ45" s="670"/>
      <c r="CXR45" s="670"/>
      <c r="CXS45" s="670"/>
      <c r="CXT45" s="670"/>
      <c r="CXU45" s="670"/>
      <c r="CXV45" s="670"/>
      <c r="CXW45" s="670"/>
      <c r="CXX45" s="670"/>
      <c r="CXY45" s="670"/>
      <c r="CXZ45" s="670"/>
      <c r="CYA45" s="670"/>
      <c r="CYB45" s="670"/>
      <c r="CYC45" s="670"/>
      <c r="CYD45" s="670"/>
      <c r="CYE45" s="670"/>
      <c r="CYF45" s="670"/>
      <c r="CYG45" s="670"/>
      <c r="CYH45" s="670"/>
      <c r="CYI45" s="670"/>
      <c r="CYJ45" s="670"/>
      <c r="CYK45" s="670"/>
      <c r="CYL45" s="670"/>
      <c r="CYM45" s="670"/>
      <c r="CYN45" s="670"/>
      <c r="CYO45" s="670"/>
      <c r="CYP45" s="670"/>
      <c r="CYQ45" s="670"/>
      <c r="CYR45" s="670"/>
      <c r="CYS45" s="670"/>
      <c r="CYT45" s="670"/>
      <c r="CYU45" s="670"/>
      <c r="CYV45" s="670"/>
      <c r="CYW45" s="670"/>
      <c r="CYX45" s="670"/>
      <c r="CYY45" s="670"/>
      <c r="CYZ45" s="670"/>
      <c r="CZA45" s="670"/>
      <c r="CZB45" s="670"/>
      <c r="CZC45" s="670"/>
      <c r="CZD45" s="670"/>
      <c r="CZE45" s="670"/>
      <c r="CZF45" s="670"/>
      <c r="CZG45" s="670"/>
      <c r="CZH45" s="670"/>
      <c r="CZI45" s="670"/>
      <c r="CZJ45" s="670"/>
      <c r="CZK45" s="670"/>
      <c r="CZL45" s="670"/>
      <c r="CZM45" s="670"/>
      <c r="CZN45" s="670"/>
      <c r="CZO45" s="670"/>
      <c r="CZP45" s="670"/>
      <c r="CZQ45" s="670"/>
      <c r="CZR45" s="670"/>
      <c r="CZS45" s="670"/>
      <c r="CZT45" s="670"/>
      <c r="CZU45" s="670"/>
      <c r="CZV45" s="670"/>
      <c r="CZW45" s="670"/>
      <c r="CZX45" s="670"/>
      <c r="CZY45" s="670"/>
      <c r="CZZ45" s="670"/>
      <c r="DAA45" s="670"/>
      <c r="DAB45" s="670"/>
      <c r="DAC45" s="670"/>
      <c r="DAD45" s="670"/>
      <c r="DAE45" s="670"/>
      <c r="DAF45" s="670"/>
      <c r="DAG45" s="670"/>
      <c r="DAH45" s="670"/>
      <c r="DAI45" s="670"/>
      <c r="DAJ45" s="670"/>
      <c r="DAK45" s="670"/>
      <c r="DAL45" s="670"/>
      <c r="DAM45" s="670"/>
      <c r="DAN45" s="670"/>
      <c r="DAO45" s="670"/>
      <c r="DAP45" s="670"/>
      <c r="DAQ45" s="670"/>
      <c r="DAR45" s="670"/>
      <c r="DAS45" s="670"/>
      <c r="DAT45" s="670"/>
      <c r="DAU45" s="670"/>
      <c r="DAV45" s="670"/>
      <c r="DAW45" s="670"/>
      <c r="DAX45" s="670"/>
      <c r="DAY45" s="670"/>
      <c r="DAZ45" s="670"/>
      <c r="DBA45" s="670"/>
      <c r="DBB45" s="670"/>
      <c r="DBC45" s="670"/>
      <c r="DBD45" s="670"/>
      <c r="DBE45" s="670"/>
      <c r="DBF45" s="670"/>
      <c r="DBG45" s="670"/>
      <c r="DBH45" s="670"/>
      <c r="DBI45" s="670"/>
      <c r="DBJ45" s="670"/>
      <c r="DBK45" s="670"/>
      <c r="DBL45" s="670"/>
      <c r="DBM45" s="670"/>
      <c r="DBN45" s="670"/>
      <c r="DBO45" s="670"/>
      <c r="DBP45" s="670"/>
      <c r="DBQ45" s="670"/>
      <c r="DBR45" s="670"/>
      <c r="DBS45" s="670"/>
      <c r="DBT45" s="670"/>
      <c r="DBU45" s="670"/>
      <c r="DBV45" s="670"/>
      <c r="DBW45" s="670"/>
      <c r="DBX45" s="670"/>
      <c r="DBY45" s="670"/>
      <c r="DBZ45" s="670"/>
      <c r="DCA45" s="670"/>
      <c r="DCB45" s="670"/>
      <c r="DCC45" s="670"/>
      <c r="DCD45" s="670"/>
      <c r="DCE45" s="670"/>
      <c r="DCF45" s="670"/>
      <c r="DCG45" s="670"/>
      <c r="DCH45" s="670"/>
      <c r="DCI45" s="670"/>
      <c r="DCJ45" s="670"/>
      <c r="DCK45" s="670"/>
      <c r="DCL45" s="670"/>
      <c r="DCM45" s="670"/>
      <c r="DCN45" s="670"/>
      <c r="DCO45" s="670"/>
      <c r="DCP45" s="670"/>
      <c r="DCQ45" s="670"/>
      <c r="DCR45" s="670"/>
      <c r="DCS45" s="670"/>
      <c r="DCT45" s="670"/>
      <c r="DCU45" s="670"/>
      <c r="DCV45" s="670"/>
      <c r="DCW45" s="670"/>
      <c r="DCX45" s="670"/>
      <c r="DCY45" s="670"/>
      <c r="DCZ45" s="670"/>
      <c r="DDA45" s="670"/>
      <c r="DDB45" s="670"/>
      <c r="DDC45" s="670"/>
      <c r="DDD45" s="670"/>
      <c r="DDE45" s="670"/>
      <c r="DDF45" s="670"/>
      <c r="DDG45" s="670"/>
      <c r="DDH45" s="670"/>
      <c r="DDI45" s="670"/>
      <c r="DDJ45" s="670"/>
      <c r="DDK45" s="670"/>
      <c r="DDL45" s="670"/>
      <c r="DDM45" s="670"/>
      <c r="DDN45" s="670"/>
      <c r="DDO45" s="670"/>
      <c r="DDP45" s="670"/>
      <c r="DDQ45" s="670"/>
      <c r="DDR45" s="670"/>
      <c r="DDS45" s="670"/>
      <c r="DDT45" s="670"/>
      <c r="DDU45" s="670"/>
      <c r="DDV45" s="670"/>
      <c r="DDW45" s="670"/>
      <c r="DDX45" s="670"/>
      <c r="DDY45" s="670"/>
      <c r="DDZ45" s="670"/>
      <c r="DEA45" s="670"/>
      <c r="DEB45" s="670"/>
      <c r="DEC45" s="670"/>
      <c r="DED45" s="670"/>
      <c r="DEE45" s="670"/>
      <c r="DEF45" s="670"/>
      <c r="DEG45" s="670"/>
      <c r="DEH45" s="670"/>
      <c r="DEI45" s="670"/>
      <c r="DEJ45" s="670"/>
      <c r="DEK45" s="670"/>
      <c r="DEL45" s="670"/>
      <c r="DEM45" s="670"/>
      <c r="DEN45" s="670"/>
      <c r="DEO45" s="670"/>
      <c r="DEP45" s="670"/>
      <c r="DEQ45" s="670"/>
      <c r="DER45" s="670"/>
      <c r="DES45" s="670"/>
      <c r="DET45" s="670"/>
      <c r="DEU45" s="670"/>
      <c r="DEV45" s="670"/>
      <c r="DEW45" s="670"/>
      <c r="DEX45" s="670"/>
      <c r="DEY45" s="670"/>
      <c r="DEZ45" s="670"/>
      <c r="DFA45" s="670"/>
      <c r="DFB45" s="670"/>
      <c r="DFC45" s="670"/>
      <c r="DFD45" s="670"/>
      <c r="DFE45" s="670"/>
      <c r="DFF45" s="670"/>
      <c r="DFG45" s="670"/>
      <c r="DFH45" s="670"/>
      <c r="DFI45" s="670"/>
      <c r="DFJ45" s="670"/>
      <c r="DFK45" s="670"/>
      <c r="DFL45" s="670"/>
      <c r="DFM45" s="670"/>
      <c r="DFN45" s="670"/>
      <c r="DFO45" s="670"/>
      <c r="DFP45" s="670"/>
      <c r="DFQ45" s="670"/>
      <c r="DFR45" s="670"/>
      <c r="DFS45" s="670"/>
      <c r="DFT45" s="670"/>
      <c r="DFU45" s="670"/>
      <c r="DFV45" s="670"/>
      <c r="DFW45" s="670"/>
      <c r="DFX45" s="670"/>
      <c r="DFY45" s="670"/>
      <c r="DFZ45" s="670"/>
      <c r="DGA45" s="670"/>
      <c r="DGB45" s="670"/>
      <c r="DGC45" s="670"/>
      <c r="DGD45" s="670"/>
      <c r="DGE45" s="670"/>
      <c r="DGF45" s="670"/>
      <c r="DGG45" s="670"/>
      <c r="DGH45" s="670"/>
      <c r="DGI45" s="670"/>
      <c r="DGJ45" s="670"/>
      <c r="DGK45" s="670"/>
      <c r="DGL45" s="670"/>
      <c r="DGM45" s="670"/>
      <c r="DGN45" s="670"/>
      <c r="DGO45" s="670"/>
      <c r="DGP45" s="670"/>
      <c r="DGQ45" s="670"/>
      <c r="DGR45" s="670"/>
      <c r="DGS45" s="670"/>
      <c r="DGT45" s="670"/>
      <c r="DGU45" s="670"/>
      <c r="DGV45" s="670"/>
      <c r="DGW45" s="670"/>
      <c r="DGX45" s="670"/>
      <c r="DGY45" s="670"/>
      <c r="DGZ45" s="670"/>
      <c r="DHA45" s="670"/>
      <c r="DHB45" s="670"/>
      <c r="DHC45" s="670"/>
      <c r="DHD45" s="670"/>
      <c r="DHE45" s="670"/>
      <c r="DHF45" s="670"/>
      <c r="DHG45" s="670"/>
      <c r="DHH45" s="670"/>
      <c r="DHI45" s="670"/>
      <c r="DHJ45" s="670"/>
      <c r="DHK45" s="670"/>
      <c r="DHL45" s="670"/>
      <c r="DHM45" s="670"/>
      <c r="DHN45" s="670"/>
      <c r="DHO45" s="670"/>
      <c r="DHP45" s="670"/>
      <c r="DHQ45" s="670"/>
      <c r="DHR45" s="670"/>
      <c r="DHS45" s="670"/>
      <c r="DHT45" s="670"/>
      <c r="DHU45" s="670"/>
      <c r="DHV45" s="670"/>
      <c r="DHW45" s="670"/>
      <c r="DHX45" s="670"/>
      <c r="DHY45" s="670"/>
      <c r="DHZ45" s="670"/>
      <c r="DIA45" s="670"/>
      <c r="DIB45" s="670"/>
      <c r="DIC45" s="670"/>
      <c r="DID45" s="670"/>
      <c r="DIE45" s="670"/>
      <c r="DIF45" s="670"/>
      <c r="DIG45" s="670"/>
      <c r="DIH45" s="670"/>
      <c r="DII45" s="670"/>
      <c r="DIJ45" s="670"/>
      <c r="DIK45" s="670"/>
      <c r="DIL45" s="670"/>
      <c r="DIM45" s="670"/>
      <c r="DIN45" s="670"/>
      <c r="DIO45" s="670"/>
      <c r="DIP45" s="670"/>
      <c r="DIQ45" s="670"/>
      <c r="DIR45" s="670"/>
      <c r="DIS45" s="670"/>
      <c r="DIT45" s="670"/>
      <c r="DIU45" s="670"/>
      <c r="DIV45" s="670"/>
      <c r="DIW45" s="670"/>
      <c r="DIX45" s="670"/>
      <c r="DIY45" s="670"/>
      <c r="DIZ45" s="670"/>
      <c r="DJA45" s="670"/>
      <c r="DJB45" s="670"/>
      <c r="DJC45" s="670"/>
      <c r="DJD45" s="670"/>
      <c r="DJE45" s="670"/>
      <c r="DJF45" s="670"/>
      <c r="DJG45" s="670"/>
      <c r="DJH45" s="670"/>
      <c r="DJI45" s="670"/>
      <c r="DJJ45" s="670"/>
      <c r="DJK45" s="670"/>
      <c r="DJL45" s="670"/>
      <c r="DJM45" s="670"/>
      <c r="DJN45" s="670"/>
      <c r="DJO45" s="670"/>
      <c r="DJP45" s="670"/>
      <c r="DJQ45" s="670"/>
      <c r="DJR45" s="670"/>
      <c r="DJS45" s="670"/>
      <c r="DJT45" s="670"/>
      <c r="DJU45" s="670"/>
      <c r="DJV45" s="670"/>
      <c r="DJW45" s="670"/>
      <c r="DJX45" s="670"/>
      <c r="DJY45" s="670"/>
      <c r="DJZ45" s="670"/>
      <c r="DKA45" s="670"/>
      <c r="DKB45" s="670"/>
      <c r="DKC45" s="670"/>
      <c r="DKD45" s="670"/>
      <c r="DKE45" s="670"/>
      <c r="DKF45" s="670"/>
      <c r="DKG45" s="670"/>
      <c r="DKH45" s="670"/>
      <c r="DKI45" s="670"/>
      <c r="DKJ45" s="670"/>
      <c r="DKK45" s="670"/>
      <c r="DKL45" s="670"/>
      <c r="DKM45" s="670"/>
      <c r="DKN45" s="670"/>
      <c r="DKO45" s="670"/>
      <c r="DKP45" s="670"/>
      <c r="DKQ45" s="670"/>
      <c r="DKR45" s="670"/>
      <c r="DKS45" s="670"/>
      <c r="DKT45" s="670"/>
      <c r="DKU45" s="670"/>
      <c r="DKV45" s="670"/>
      <c r="DKW45" s="670"/>
      <c r="DKX45" s="670"/>
      <c r="DKY45" s="670"/>
      <c r="DKZ45" s="670"/>
      <c r="DLA45" s="670"/>
      <c r="DLB45" s="670"/>
      <c r="DLC45" s="670"/>
      <c r="DLD45" s="670"/>
      <c r="DLE45" s="670"/>
      <c r="DLF45" s="670"/>
      <c r="DLG45" s="670"/>
      <c r="DLH45" s="670"/>
      <c r="DLI45" s="670"/>
      <c r="DLJ45" s="670"/>
      <c r="DLK45" s="670"/>
      <c r="DLL45" s="670"/>
      <c r="DLM45" s="670"/>
      <c r="DLN45" s="670"/>
      <c r="DLO45" s="670"/>
      <c r="DLP45" s="670"/>
      <c r="DLQ45" s="670"/>
      <c r="DLR45" s="670"/>
      <c r="DLS45" s="670"/>
      <c r="DLT45" s="670"/>
      <c r="DLU45" s="670"/>
      <c r="DLV45" s="670"/>
      <c r="DLW45" s="670"/>
      <c r="DLX45" s="670"/>
      <c r="DLY45" s="670"/>
      <c r="DLZ45" s="670"/>
      <c r="DMA45" s="670"/>
      <c r="DMB45" s="670"/>
      <c r="DMC45" s="670"/>
      <c r="DMD45" s="670"/>
      <c r="DME45" s="670"/>
      <c r="DMF45" s="670"/>
      <c r="DMG45" s="670"/>
      <c r="DMH45" s="670"/>
      <c r="DMI45" s="670"/>
      <c r="DMJ45" s="670"/>
      <c r="DMK45" s="670"/>
      <c r="DML45" s="670"/>
      <c r="DMM45" s="670"/>
      <c r="DMN45" s="670"/>
      <c r="DMO45" s="670"/>
      <c r="DMP45" s="670"/>
      <c r="DMQ45" s="670"/>
      <c r="DMR45" s="670"/>
      <c r="DMS45" s="670"/>
      <c r="DMT45" s="670"/>
      <c r="DMU45" s="670"/>
      <c r="DMV45" s="670"/>
      <c r="DMW45" s="670"/>
      <c r="DMX45" s="670"/>
      <c r="DMY45" s="670"/>
      <c r="DMZ45" s="670"/>
      <c r="DNA45" s="670"/>
      <c r="DNB45" s="670"/>
      <c r="DNC45" s="670"/>
      <c r="DND45" s="670"/>
      <c r="DNE45" s="670"/>
      <c r="DNF45" s="670"/>
      <c r="DNG45" s="670"/>
      <c r="DNH45" s="670"/>
      <c r="DNI45" s="670"/>
      <c r="DNJ45" s="670"/>
      <c r="DNK45" s="670"/>
      <c r="DNL45" s="670"/>
      <c r="DNM45" s="670"/>
      <c r="DNN45" s="670"/>
      <c r="DNO45" s="670"/>
      <c r="DNP45" s="670"/>
      <c r="DNQ45" s="670"/>
      <c r="DNR45" s="670"/>
      <c r="DNS45" s="670"/>
      <c r="DNT45" s="670"/>
      <c r="DNU45" s="670"/>
      <c r="DNV45" s="670"/>
      <c r="DNW45" s="670"/>
      <c r="DNX45" s="670"/>
      <c r="DNY45" s="670"/>
      <c r="DNZ45" s="670"/>
      <c r="DOA45" s="670"/>
      <c r="DOB45" s="670"/>
      <c r="DOC45" s="670"/>
      <c r="DOD45" s="670"/>
      <c r="DOE45" s="670"/>
      <c r="DOF45" s="670"/>
      <c r="DOG45" s="670"/>
      <c r="DOH45" s="670"/>
      <c r="DOI45" s="670"/>
      <c r="DOJ45" s="670"/>
      <c r="DOK45" s="670"/>
      <c r="DOL45" s="670"/>
      <c r="DOM45" s="670"/>
      <c r="DON45" s="670"/>
      <c r="DOO45" s="670"/>
      <c r="DOP45" s="670"/>
      <c r="DOQ45" s="670"/>
      <c r="DOR45" s="670"/>
      <c r="DOS45" s="670"/>
      <c r="DOT45" s="670"/>
      <c r="DOU45" s="670"/>
      <c r="DOV45" s="670"/>
      <c r="DOW45" s="670"/>
      <c r="DOX45" s="670"/>
      <c r="DOY45" s="670"/>
      <c r="DOZ45" s="670"/>
      <c r="DPA45" s="670"/>
      <c r="DPB45" s="670"/>
      <c r="DPC45" s="670"/>
      <c r="DPD45" s="670"/>
      <c r="DPE45" s="670"/>
      <c r="DPF45" s="670"/>
      <c r="DPG45" s="670"/>
      <c r="DPH45" s="670"/>
      <c r="DPI45" s="670"/>
      <c r="DPJ45" s="670"/>
      <c r="DPK45" s="670"/>
      <c r="DPL45" s="670"/>
      <c r="DPM45" s="670"/>
      <c r="DPN45" s="670"/>
      <c r="DPO45" s="670"/>
      <c r="DPP45" s="670"/>
      <c r="DPQ45" s="670"/>
      <c r="DPR45" s="670"/>
      <c r="DPS45" s="670"/>
      <c r="DPT45" s="670"/>
      <c r="DPU45" s="670"/>
      <c r="DPV45" s="670"/>
      <c r="DPW45" s="670"/>
      <c r="DPX45" s="670"/>
      <c r="DPY45" s="670"/>
      <c r="DPZ45" s="670"/>
      <c r="DQA45" s="670"/>
      <c r="DQB45" s="670"/>
      <c r="DQC45" s="670"/>
      <c r="DQD45" s="670"/>
      <c r="DQE45" s="670"/>
      <c r="DQF45" s="670"/>
      <c r="DQG45" s="670"/>
      <c r="DQH45" s="670"/>
      <c r="DQI45" s="670"/>
      <c r="DQJ45" s="670"/>
      <c r="DQK45" s="670"/>
      <c r="DQL45" s="670"/>
      <c r="DQM45" s="670"/>
      <c r="DQN45" s="670"/>
      <c r="DQO45" s="670"/>
      <c r="DQP45" s="670"/>
      <c r="DQQ45" s="670"/>
      <c r="DQR45" s="670"/>
      <c r="DQS45" s="670"/>
      <c r="DQT45" s="670"/>
      <c r="DQU45" s="670"/>
      <c r="DQV45" s="670"/>
      <c r="DQW45" s="670"/>
      <c r="DQX45" s="670"/>
      <c r="DQY45" s="670"/>
      <c r="DQZ45" s="670"/>
      <c r="DRA45" s="670"/>
      <c r="DRB45" s="670"/>
      <c r="DRC45" s="670"/>
      <c r="DRD45" s="670"/>
      <c r="DRE45" s="670"/>
      <c r="DRF45" s="670"/>
      <c r="DRG45" s="670"/>
      <c r="DRH45" s="670"/>
      <c r="DRI45" s="670"/>
      <c r="DRJ45" s="670"/>
      <c r="DRK45" s="670"/>
      <c r="DRL45" s="670"/>
      <c r="DRM45" s="670"/>
      <c r="DRN45" s="670"/>
      <c r="DRO45" s="670"/>
      <c r="DRP45" s="670"/>
      <c r="DRQ45" s="670"/>
      <c r="DRR45" s="670"/>
      <c r="DRS45" s="670"/>
      <c r="DRT45" s="670"/>
      <c r="DRU45" s="670"/>
      <c r="DRV45" s="670"/>
      <c r="DRW45" s="670"/>
      <c r="DRX45" s="670"/>
      <c r="DRY45" s="670"/>
      <c r="DRZ45" s="670"/>
      <c r="DSA45" s="670"/>
      <c r="DSB45" s="670"/>
      <c r="DSC45" s="670"/>
      <c r="DSD45" s="670"/>
      <c r="DSE45" s="670"/>
      <c r="DSF45" s="670"/>
      <c r="DSG45" s="670"/>
      <c r="DSH45" s="670"/>
      <c r="DSI45" s="670"/>
      <c r="DSJ45" s="670"/>
      <c r="DSK45" s="670"/>
      <c r="DSL45" s="670"/>
      <c r="DSM45" s="670"/>
      <c r="DSN45" s="670"/>
      <c r="DSO45" s="670"/>
      <c r="DSP45" s="670"/>
      <c r="DSQ45" s="670"/>
      <c r="DSR45" s="670"/>
      <c r="DSS45" s="670"/>
      <c r="DST45" s="670"/>
      <c r="DSU45" s="670"/>
      <c r="DSV45" s="670"/>
      <c r="DSW45" s="670"/>
      <c r="DSX45" s="670"/>
      <c r="DSY45" s="670"/>
      <c r="DSZ45" s="670"/>
      <c r="DTA45" s="670"/>
      <c r="DTB45" s="670"/>
      <c r="DTC45" s="670"/>
      <c r="DTD45" s="670"/>
      <c r="DTE45" s="670"/>
      <c r="DTF45" s="670"/>
      <c r="DTG45" s="670"/>
      <c r="DTH45" s="670"/>
      <c r="DTI45" s="670"/>
      <c r="DTJ45" s="670"/>
      <c r="DTK45" s="670"/>
      <c r="DTL45" s="670"/>
      <c r="DTM45" s="670"/>
      <c r="DTN45" s="670"/>
      <c r="DTO45" s="670"/>
      <c r="DTP45" s="670"/>
      <c r="DTQ45" s="670"/>
      <c r="DTR45" s="670"/>
      <c r="DTS45" s="670"/>
      <c r="DTT45" s="670"/>
      <c r="DTU45" s="670"/>
      <c r="DTV45" s="670"/>
      <c r="DTW45" s="670"/>
      <c r="DTX45" s="670"/>
      <c r="DTY45" s="670"/>
      <c r="DTZ45" s="670"/>
      <c r="DUA45" s="670"/>
      <c r="DUB45" s="670"/>
      <c r="DUC45" s="670"/>
      <c r="DUD45" s="670"/>
      <c r="DUE45" s="670"/>
      <c r="DUF45" s="670"/>
      <c r="DUG45" s="670"/>
      <c r="DUH45" s="670"/>
      <c r="DUI45" s="670"/>
      <c r="DUJ45" s="670"/>
      <c r="DUK45" s="670"/>
      <c r="DUL45" s="670"/>
      <c r="DUM45" s="670"/>
      <c r="DUN45" s="670"/>
      <c r="DUO45" s="670"/>
      <c r="DUP45" s="670"/>
      <c r="DUQ45" s="670"/>
      <c r="DUR45" s="670"/>
      <c r="DUS45" s="670"/>
      <c r="DUT45" s="670"/>
      <c r="DUU45" s="670"/>
      <c r="DUV45" s="670"/>
      <c r="DUW45" s="670"/>
      <c r="DUX45" s="670"/>
      <c r="DUY45" s="670"/>
      <c r="DUZ45" s="670"/>
      <c r="DVA45" s="670"/>
      <c r="DVB45" s="670"/>
      <c r="DVC45" s="670"/>
      <c r="DVD45" s="670"/>
      <c r="DVE45" s="670"/>
      <c r="DVF45" s="670"/>
      <c r="DVG45" s="670"/>
      <c r="DVH45" s="670"/>
      <c r="DVI45" s="670"/>
      <c r="DVJ45" s="670"/>
      <c r="DVK45" s="670"/>
      <c r="DVL45" s="670"/>
      <c r="DVM45" s="670"/>
      <c r="DVN45" s="670"/>
      <c r="DVO45" s="670"/>
      <c r="DVP45" s="670"/>
      <c r="DVQ45" s="670"/>
      <c r="DVR45" s="670"/>
      <c r="DVS45" s="670"/>
      <c r="DVT45" s="670"/>
      <c r="DVU45" s="670"/>
      <c r="DVV45" s="670"/>
      <c r="DVW45" s="670"/>
      <c r="DVX45" s="670"/>
      <c r="DVY45" s="670"/>
      <c r="DVZ45" s="670"/>
      <c r="DWA45" s="670"/>
      <c r="DWB45" s="670"/>
      <c r="DWC45" s="670"/>
      <c r="DWD45" s="670"/>
      <c r="DWE45" s="670"/>
      <c r="DWF45" s="670"/>
      <c r="DWG45" s="670"/>
      <c r="DWH45" s="670"/>
      <c r="DWI45" s="670"/>
      <c r="DWJ45" s="670"/>
      <c r="DWK45" s="670"/>
      <c r="DWL45" s="670"/>
      <c r="DWM45" s="670"/>
      <c r="DWN45" s="670"/>
      <c r="DWO45" s="670"/>
      <c r="DWP45" s="670"/>
      <c r="DWQ45" s="670"/>
      <c r="DWR45" s="670"/>
      <c r="DWS45" s="670"/>
      <c r="DWT45" s="670"/>
      <c r="DWU45" s="670"/>
      <c r="DWV45" s="670"/>
      <c r="DWW45" s="670"/>
      <c r="DWX45" s="670"/>
      <c r="DWY45" s="670"/>
      <c r="DWZ45" s="670"/>
      <c r="DXA45" s="670"/>
      <c r="DXB45" s="670"/>
      <c r="DXC45" s="670"/>
      <c r="DXD45" s="670"/>
      <c r="DXE45" s="670"/>
      <c r="DXF45" s="670"/>
      <c r="DXG45" s="670"/>
      <c r="DXH45" s="670"/>
      <c r="DXI45" s="670"/>
      <c r="DXJ45" s="670"/>
      <c r="DXK45" s="670"/>
      <c r="DXL45" s="670"/>
      <c r="DXM45" s="670"/>
      <c r="DXN45" s="670"/>
      <c r="DXO45" s="670"/>
      <c r="DXP45" s="670"/>
      <c r="DXQ45" s="670"/>
      <c r="DXR45" s="670"/>
      <c r="DXS45" s="670"/>
      <c r="DXT45" s="670"/>
      <c r="DXU45" s="670"/>
      <c r="DXV45" s="670"/>
      <c r="DXW45" s="670"/>
      <c r="DXX45" s="670"/>
      <c r="DXY45" s="670"/>
      <c r="DXZ45" s="670"/>
      <c r="DYA45" s="670"/>
      <c r="DYB45" s="670"/>
      <c r="DYC45" s="670"/>
      <c r="DYD45" s="670"/>
      <c r="DYE45" s="670"/>
      <c r="DYF45" s="670"/>
      <c r="DYG45" s="670"/>
      <c r="DYH45" s="670"/>
      <c r="DYI45" s="670"/>
      <c r="DYJ45" s="670"/>
      <c r="DYK45" s="670"/>
      <c r="DYL45" s="670"/>
      <c r="DYM45" s="670"/>
      <c r="DYN45" s="670"/>
      <c r="DYO45" s="670"/>
      <c r="DYP45" s="670"/>
      <c r="DYQ45" s="670"/>
      <c r="DYR45" s="670"/>
      <c r="DYS45" s="670"/>
      <c r="DYT45" s="670"/>
      <c r="DYU45" s="670"/>
      <c r="DYV45" s="670"/>
      <c r="DYW45" s="670"/>
      <c r="DYX45" s="670"/>
      <c r="DYY45" s="670"/>
      <c r="DYZ45" s="670"/>
      <c r="DZA45" s="670"/>
      <c r="DZB45" s="670"/>
      <c r="DZC45" s="670"/>
      <c r="DZD45" s="670"/>
      <c r="DZE45" s="670"/>
      <c r="DZF45" s="670"/>
      <c r="DZG45" s="670"/>
      <c r="DZH45" s="670"/>
      <c r="DZI45" s="670"/>
      <c r="DZJ45" s="670"/>
      <c r="DZK45" s="670"/>
      <c r="DZL45" s="670"/>
      <c r="DZM45" s="670"/>
      <c r="DZN45" s="670"/>
      <c r="DZO45" s="670"/>
      <c r="DZP45" s="670"/>
      <c r="DZQ45" s="670"/>
      <c r="DZR45" s="670"/>
      <c r="DZS45" s="670"/>
      <c r="DZT45" s="670"/>
      <c r="DZU45" s="670"/>
      <c r="DZV45" s="670"/>
      <c r="DZW45" s="670"/>
      <c r="DZX45" s="670"/>
      <c r="DZY45" s="670"/>
      <c r="DZZ45" s="670"/>
      <c r="EAA45" s="670"/>
      <c r="EAB45" s="670"/>
      <c r="EAC45" s="670"/>
      <c r="EAD45" s="670"/>
      <c r="EAE45" s="670"/>
      <c r="EAF45" s="670"/>
      <c r="EAG45" s="670"/>
      <c r="EAH45" s="670"/>
      <c r="EAI45" s="670"/>
      <c r="EAJ45" s="670"/>
      <c r="EAK45" s="670"/>
      <c r="EAL45" s="670"/>
      <c r="EAM45" s="670"/>
      <c r="EAN45" s="670"/>
      <c r="EAO45" s="670"/>
      <c r="EAP45" s="670"/>
      <c r="EAQ45" s="670"/>
      <c r="EAR45" s="670"/>
      <c r="EAS45" s="670"/>
      <c r="EAT45" s="670"/>
      <c r="EAU45" s="670"/>
      <c r="EAV45" s="670"/>
      <c r="EAW45" s="670"/>
      <c r="EAX45" s="670"/>
      <c r="EAY45" s="670"/>
      <c r="EAZ45" s="670"/>
      <c r="EBA45" s="670"/>
      <c r="EBB45" s="670"/>
      <c r="EBC45" s="670"/>
      <c r="EBD45" s="670"/>
      <c r="EBE45" s="670"/>
      <c r="EBF45" s="670"/>
      <c r="EBG45" s="670"/>
      <c r="EBH45" s="670"/>
      <c r="EBI45" s="670"/>
      <c r="EBJ45" s="670"/>
      <c r="EBK45" s="670"/>
      <c r="EBL45" s="670"/>
      <c r="EBM45" s="670"/>
      <c r="EBN45" s="670"/>
      <c r="EBO45" s="670"/>
      <c r="EBP45" s="670"/>
      <c r="EBQ45" s="670"/>
      <c r="EBR45" s="670"/>
      <c r="EBS45" s="670"/>
      <c r="EBT45" s="670"/>
      <c r="EBU45" s="670"/>
      <c r="EBV45" s="670"/>
      <c r="EBW45" s="670"/>
      <c r="EBX45" s="670"/>
      <c r="EBY45" s="670"/>
      <c r="EBZ45" s="670"/>
      <c r="ECA45" s="670"/>
      <c r="ECB45" s="670"/>
      <c r="ECC45" s="670"/>
      <c r="ECD45" s="670"/>
      <c r="ECE45" s="670"/>
      <c r="ECF45" s="670"/>
      <c r="ECG45" s="670"/>
      <c r="ECH45" s="670"/>
      <c r="ECI45" s="670"/>
      <c r="ECJ45" s="670"/>
      <c r="ECK45" s="670"/>
      <c r="ECL45" s="670"/>
      <c r="ECM45" s="670"/>
      <c r="ECN45" s="670"/>
      <c r="ECO45" s="670"/>
      <c r="ECP45" s="670"/>
      <c r="ECQ45" s="670"/>
      <c r="ECR45" s="670"/>
      <c r="ECS45" s="670"/>
      <c r="ECT45" s="670"/>
      <c r="ECU45" s="670"/>
      <c r="ECV45" s="670"/>
      <c r="ECW45" s="670"/>
      <c r="ECX45" s="670"/>
      <c r="ECY45" s="670"/>
      <c r="ECZ45" s="670"/>
      <c r="EDA45" s="670"/>
      <c r="EDB45" s="670"/>
      <c r="EDC45" s="670"/>
      <c r="EDD45" s="670"/>
      <c r="EDE45" s="670"/>
      <c r="EDF45" s="670"/>
      <c r="EDG45" s="670"/>
      <c r="EDH45" s="670"/>
      <c r="EDI45" s="670"/>
      <c r="EDJ45" s="670"/>
      <c r="EDK45" s="670"/>
      <c r="EDL45" s="670"/>
      <c r="EDM45" s="670"/>
      <c r="EDN45" s="670"/>
      <c r="EDO45" s="670"/>
      <c r="EDP45" s="670"/>
      <c r="EDQ45" s="670"/>
      <c r="EDR45" s="670"/>
      <c r="EDS45" s="670"/>
      <c r="EDT45" s="670"/>
      <c r="EDU45" s="670"/>
      <c r="EDV45" s="670"/>
      <c r="EDW45" s="670"/>
      <c r="EDX45" s="670"/>
      <c r="EDY45" s="670"/>
      <c r="EDZ45" s="670"/>
      <c r="EEA45" s="670"/>
      <c r="EEB45" s="670"/>
      <c r="EEC45" s="670"/>
      <c r="EED45" s="670"/>
      <c r="EEE45" s="670"/>
      <c r="EEF45" s="670"/>
      <c r="EEG45" s="670"/>
      <c r="EEH45" s="670"/>
      <c r="EEI45" s="670"/>
      <c r="EEJ45" s="670"/>
      <c r="EEK45" s="670"/>
      <c r="EEL45" s="670"/>
      <c r="EEM45" s="670"/>
      <c r="EEN45" s="670"/>
      <c r="EEO45" s="670"/>
      <c r="EEP45" s="670"/>
      <c r="EEQ45" s="670"/>
      <c r="EER45" s="670"/>
      <c r="EES45" s="670"/>
      <c r="EET45" s="670"/>
      <c r="EEU45" s="670"/>
      <c r="EEV45" s="670"/>
      <c r="EEW45" s="670"/>
      <c r="EEX45" s="670"/>
      <c r="EEY45" s="670"/>
      <c r="EEZ45" s="670"/>
      <c r="EFA45" s="670"/>
      <c r="EFB45" s="670"/>
      <c r="EFC45" s="670"/>
      <c r="EFD45" s="670"/>
      <c r="EFE45" s="670"/>
      <c r="EFF45" s="670"/>
      <c r="EFG45" s="670"/>
      <c r="EFH45" s="670"/>
      <c r="EFI45" s="670"/>
      <c r="EFJ45" s="670"/>
      <c r="EFK45" s="670"/>
      <c r="EFL45" s="670"/>
      <c r="EFM45" s="670"/>
      <c r="EFN45" s="670"/>
      <c r="EFO45" s="670"/>
      <c r="EFP45" s="670"/>
      <c r="EFQ45" s="670"/>
      <c r="EFR45" s="670"/>
      <c r="EFS45" s="670"/>
      <c r="EFT45" s="670"/>
      <c r="EFU45" s="670"/>
      <c r="EFV45" s="670"/>
      <c r="EFW45" s="670"/>
      <c r="EFX45" s="670"/>
      <c r="EFY45" s="670"/>
      <c r="EFZ45" s="670"/>
      <c r="EGA45" s="670"/>
      <c r="EGB45" s="670"/>
      <c r="EGC45" s="670"/>
      <c r="EGD45" s="670"/>
      <c r="EGE45" s="670"/>
      <c r="EGF45" s="670"/>
      <c r="EGG45" s="670"/>
      <c r="EGH45" s="670"/>
      <c r="EGI45" s="670"/>
      <c r="EGJ45" s="670"/>
      <c r="EGK45" s="670"/>
      <c r="EGL45" s="670"/>
      <c r="EGM45" s="670"/>
      <c r="EGN45" s="670"/>
      <c r="EGO45" s="670"/>
      <c r="EGP45" s="670"/>
      <c r="EGQ45" s="670"/>
      <c r="EGR45" s="670"/>
      <c r="EGS45" s="670"/>
      <c r="EGT45" s="670"/>
      <c r="EGU45" s="670"/>
      <c r="EGV45" s="670"/>
      <c r="EGW45" s="670"/>
      <c r="EGX45" s="670"/>
      <c r="EGY45" s="670"/>
      <c r="EGZ45" s="670"/>
      <c r="EHA45" s="670"/>
      <c r="EHB45" s="670"/>
      <c r="EHC45" s="670"/>
      <c r="EHD45" s="670"/>
      <c r="EHE45" s="670"/>
      <c r="EHF45" s="670"/>
      <c r="EHG45" s="670"/>
      <c r="EHH45" s="670"/>
      <c r="EHI45" s="670"/>
      <c r="EHJ45" s="670"/>
      <c r="EHK45" s="670"/>
      <c r="EHL45" s="670"/>
      <c r="EHM45" s="670"/>
      <c r="EHN45" s="670"/>
      <c r="EHO45" s="670"/>
      <c r="EHP45" s="670"/>
      <c r="EHQ45" s="670"/>
      <c r="EHR45" s="670"/>
      <c r="EHS45" s="670"/>
      <c r="EHT45" s="670"/>
      <c r="EHU45" s="670"/>
      <c r="EHV45" s="670"/>
      <c r="EHW45" s="670"/>
      <c r="EHX45" s="670"/>
      <c r="EHY45" s="670"/>
      <c r="EHZ45" s="670"/>
      <c r="EIA45" s="670"/>
      <c r="EIB45" s="670"/>
      <c r="EIC45" s="670"/>
      <c r="EID45" s="670"/>
      <c r="EIE45" s="670"/>
      <c r="EIF45" s="670"/>
      <c r="EIG45" s="670"/>
      <c r="EIH45" s="670"/>
      <c r="EII45" s="670"/>
      <c r="EIJ45" s="670"/>
      <c r="EIK45" s="670"/>
      <c r="EIL45" s="670"/>
      <c r="EIM45" s="670"/>
      <c r="EIN45" s="670"/>
      <c r="EIO45" s="670"/>
      <c r="EIP45" s="670"/>
      <c r="EIQ45" s="670"/>
      <c r="EIR45" s="670"/>
      <c r="EIS45" s="670"/>
      <c r="EIT45" s="670"/>
      <c r="EIU45" s="670"/>
      <c r="EIV45" s="670"/>
      <c r="EIW45" s="670"/>
      <c r="EIX45" s="670"/>
      <c r="EIY45" s="670"/>
      <c r="EIZ45" s="670"/>
      <c r="EJA45" s="670"/>
      <c r="EJB45" s="670"/>
      <c r="EJC45" s="670"/>
      <c r="EJD45" s="670"/>
      <c r="EJE45" s="670"/>
      <c r="EJF45" s="670"/>
      <c r="EJG45" s="670"/>
      <c r="EJH45" s="670"/>
      <c r="EJI45" s="670"/>
      <c r="EJJ45" s="670"/>
      <c r="EJK45" s="670"/>
      <c r="EJL45" s="670"/>
      <c r="EJM45" s="670"/>
      <c r="EJN45" s="670"/>
      <c r="EJO45" s="670"/>
      <c r="EJP45" s="670"/>
      <c r="EJQ45" s="670"/>
      <c r="EJR45" s="670"/>
      <c r="EJS45" s="670"/>
      <c r="EJT45" s="670"/>
      <c r="EJU45" s="670"/>
      <c r="EJV45" s="670"/>
      <c r="EJW45" s="670"/>
      <c r="EJX45" s="670"/>
      <c r="EJY45" s="670"/>
      <c r="EJZ45" s="670"/>
      <c r="EKA45" s="670"/>
      <c r="EKB45" s="670"/>
      <c r="EKC45" s="670"/>
      <c r="EKD45" s="670"/>
      <c r="EKE45" s="670"/>
      <c r="EKF45" s="670"/>
      <c r="EKG45" s="670"/>
      <c r="EKH45" s="670"/>
      <c r="EKI45" s="670"/>
      <c r="EKJ45" s="670"/>
      <c r="EKK45" s="670"/>
      <c r="EKL45" s="670"/>
      <c r="EKM45" s="670"/>
      <c r="EKN45" s="670"/>
      <c r="EKO45" s="670"/>
      <c r="EKP45" s="670"/>
      <c r="EKQ45" s="670"/>
      <c r="EKR45" s="670"/>
      <c r="EKS45" s="670"/>
      <c r="EKT45" s="670"/>
      <c r="EKU45" s="670"/>
      <c r="EKV45" s="670"/>
      <c r="EKW45" s="670"/>
      <c r="EKX45" s="670"/>
      <c r="EKY45" s="670"/>
      <c r="EKZ45" s="670"/>
      <c r="ELA45" s="670"/>
      <c r="ELB45" s="670"/>
      <c r="ELC45" s="670"/>
      <c r="ELD45" s="670"/>
      <c r="ELE45" s="670"/>
      <c r="ELF45" s="670"/>
      <c r="ELG45" s="670"/>
      <c r="ELH45" s="670"/>
      <c r="ELI45" s="670"/>
      <c r="ELJ45" s="670"/>
      <c r="ELK45" s="670"/>
      <c r="ELL45" s="670"/>
      <c r="ELM45" s="670"/>
      <c r="ELN45" s="670"/>
      <c r="ELO45" s="670"/>
      <c r="ELP45" s="670"/>
      <c r="ELQ45" s="670"/>
      <c r="ELR45" s="670"/>
      <c r="ELS45" s="670"/>
      <c r="ELT45" s="670"/>
      <c r="ELU45" s="670"/>
      <c r="ELV45" s="670"/>
      <c r="ELW45" s="670"/>
      <c r="ELX45" s="670"/>
      <c r="ELY45" s="670"/>
      <c r="ELZ45" s="670"/>
      <c r="EMA45" s="670"/>
      <c r="EMB45" s="670"/>
      <c r="EMC45" s="670"/>
      <c r="EMD45" s="670"/>
      <c r="EME45" s="670"/>
      <c r="EMF45" s="670"/>
      <c r="EMG45" s="670"/>
      <c r="EMH45" s="670"/>
      <c r="EMI45" s="670"/>
      <c r="EMJ45" s="670"/>
      <c r="EMK45" s="670"/>
      <c r="EML45" s="670"/>
      <c r="EMM45" s="670"/>
      <c r="EMN45" s="670"/>
      <c r="EMO45" s="670"/>
      <c r="EMP45" s="670"/>
      <c r="EMQ45" s="670"/>
      <c r="EMR45" s="670"/>
      <c r="EMS45" s="670"/>
      <c r="EMT45" s="670"/>
      <c r="EMU45" s="670"/>
      <c r="EMV45" s="670"/>
      <c r="EMW45" s="670"/>
      <c r="EMX45" s="670"/>
      <c r="EMY45" s="670"/>
      <c r="EMZ45" s="670"/>
      <c r="ENA45" s="670"/>
      <c r="ENB45" s="670"/>
      <c r="ENC45" s="670"/>
      <c r="END45" s="670"/>
      <c r="ENE45" s="670"/>
      <c r="ENF45" s="670"/>
      <c r="ENG45" s="670"/>
      <c r="ENH45" s="670"/>
      <c r="ENI45" s="670"/>
      <c r="ENJ45" s="670"/>
      <c r="ENK45" s="670"/>
      <c r="ENL45" s="670"/>
      <c r="ENM45" s="670"/>
      <c r="ENN45" s="670"/>
      <c r="ENO45" s="670"/>
      <c r="ENP45" s="670"/>
      <c r="ENQ45" s="670"/>
      <c r="ENR45" s="670"/>
      <c r="ENS45" s="670"/>
      <c r="ENT45" s="670"/>
      <c r="ENU45" s="670"/>
      <c r="ENV45" s="670"/>
      <c r="ENW45" s="670"/>
      <c r="ENX45" s="670"/>
      <c r="ENY45" s="670"/>
      <c r="ENZ45" s="670"/>
      <c r="EOA45" s="670"/>
      <c r="EOB45" s="670"/>
      <c r="EOC45" s="670"/>
      <c r="EOD45" s="670"/>
      <c r="EOE45" s="670"/>
      <c r="EOF45" s="670"/>
      <c r="EOG45" s="670"/>
      <c r="EOH45" s="670"/>
      <c r="EOI45" s="670"/>
      <c r="EOJ45" s="670"/>
      <c r="EOK45" s="670"/>
      <c r="EOL45" s="670"/>
      <c r="EOM45" s="670"/>
      <c r="EON45" s="670"/>
      <c r="EOO45" s="670"/>
      <c r="EOP45" s="670"/>
      <c r="EOQ45" s="670"/>
      <c r="EOR45" s="670"/>
      <c r="EOS45" s="670"/>
      <c r="EOT45" s="670"/>
      <c r="EOU45" s="670"/>
      <c r="EOV45" s="670"/>
      <c r="EOW45" s="670"/>
      <c r="EOX45" s="670"/>
      <c r="EOY45" s="670"/>
      <c r="EOZ45" s="670"/>
      <c r="EPA45" s="670"/>
      <c r="EPB45" s="670"/>
      <c r="EPC45" s="670"/>
      <c r="EPD45" s="670"/>
      <c r="EPE45" s="670"/>
      <c r="EPF45" s="670"/>
      <c r="EPG45" s="670"/>
      <c r="EPH45" s="670"/>
      <c r="EPI45" s="670"/>
      <c r="EPJ45" s="670"/>
      <c r="EPK45" s="670"/>
      <c r="EPL45" s="670"/>
      <c r="EPM45" s="670"/>
      <c r="EPN45" s="670"/>
      <c r="EPO45" s="670"/>
      <c r="EPP45" s="670"/>
      <c r="EPQ45" s="670"/>
      <c r="EPR45" s="670"/>
      <c r="EPS45" s="670"/>
      <c r="EPT45" s="670"/>
      <c r="EPU45" s="670"/>
      <c r="EPV45" s="670"/>
      <c r="EPW45" s="670"/>
      <c r="EPX45" s="670"/>
      <c r="EPY45" s="670"/>
      <c r="EPZ45" s="670"/>
      <c r="EQA45" s="670"/>
      <c r="EQB45" s="670"/>
      <c r="EQC45" s="670"/>
      <c r="EQD45" s="670"/>
      <c r="EQE45" s="670"/>
      <c r="EQF45" s="670"/>
      <c r="EQG45" s="670"/>
      <c r="EQH45" s="670"/>
      <c r="EQI45" s="670"/>
      <c r="EQJ45" s="670"/>
      <c r="EQK45" s="670"/>
      <c r="EQL45" s="670"/>
      <c r="EQM45" s="670"/>
      <c r="EQN45" s="670"/>
      <c r="EQO45" s="670"/>
      <c r="EQP45" s="670"/>
      <c r="EQQ45" s="670"/>
      <c r="EQR45" s="670"/>
      <c r="EQS45" s="670"/>
      <c r="EQT45" s="670"/>
      <c r="EQU45" s="670"/>
      <c r="EQV45" s="670"/>
      <c r="EQW45" s="670"/>
      <c r="EQX45" s="670"/>
      <c r="EQY45" s="670"/>
      <c r="EQZ45" s="670"/>
      <c r="ERA45" s="670"/>
      <c r="ERB45" s="670"/>
      <c r="ERC45" s="670"/>
      <c r="ERD45" s="670"/>
      <c r="ERE45" s="670"/>
      <c r="ERF45" s="670"/>
      <c r="ERG45" s="670"/>
      <c r="ERH45" s="670"/>
      <c r="ERI45" s="670"/>
      <c r="ERJ45" s="670"/>
      <c r="ERK45" s="670"/>
      <c r="ERL45" s="670"/>
      <c r="ERM45" s="670"/>
      <c r="ERN45" s="670"/>
      <c r="ERO45" s="670"/>
      <c r="ERP45" s="670"/>
      <c r="ERQ45" s="670"/>
      <c r="ERR45" s="670"/>
      <c r="ERS45" s="670"/>
      <c r="ERT45" s="670"/>
      <c r="ERU45" s="670"/>
      <c r="ERV45" s="670"/>
      <c r="ERW45" s="670"/>
      <c r="ERX45" s="670"/>
      <c r="ERY45" s="670"/>
      <c r="ERZ45" s="670"/>
      <c r="ESA45" s="670"/>
      <c r="ESB45" s="670"/>
      <c r="ESC45" s="670"/>
      <c r="ESD45" s="670"/>
      <c r="ESE45" s="670"/>
      <c r="ESF45" s="670"/>
      <c r="ESG45" s="670"/>
      <c r="ESH45" s="670"/>
      <c r="ESI45" s="670"/>
      <c r="ESJ45" s="670"/>
      <c r="ESK45" s="670"/>
      <c r="ESL45" s="670"/>
      <c r="ESM45" s="670"/>
      <c r="ESN45" s="670"/>
      <c r="ESO45" s="670"/>
      <c r="ESP45" s="670"/>
      <c r="ESQ45" s="670"/>
      <c r="ESR45" s="670"/>
      <c r="ESS45" s="670"/>
      <c r="EST45" s="670"/>
      <c r="ESU45" s="670"/>
      <c r="ESV45" s="670"/>
      <c r="ESW45" s="670"/>
      <c r="ESX45" s="670"/>
      <c r="ESY45" s="670"/>
      <c r="ESZ45" s="670"/>
      <c r="ETA45" s="670"/>
      <c r="ETB45" s="670"/>
      <c r="ETC45" s="670"/>
      <c r="ETD45" s="670"/>
      <c r="ETE45" s="670"/>
      <c r="ETF45" s="670"/>
      <c r="ETG45" s="670"/>
      <c r="ETH45" s="670"/>
      <c r="ETI45" s="670"/>
      <c r="ETJ45" s="670"/>
      <c r="ETK45" s="670"/>
      <c r="ETL45" s="670"/>
      <c r="ETM45" s="670"/>
      <c r="ETN45" s="670"/>
      <c r="ETO45" s="670"/>
      <c r="ETP45" s="670"/>
      <c r="ETQ45" s="670"/>
      <c r="ETR45" s="670"/>
      <c r="ETS45" s="670"/>
      <c r="ETT45" s="670"/>
      <c r="ETU45" s="670"/>
      <c r="ETV45" s="670"/>
      <c r="ETW45" s="670"/>
      <c r="ETX45" s="670"/>
      <c r="ETY45" s="670"/>
      <c r="ETZ45" s="670"/>
      <c r="EUA45" s="670"/>
      <c r="EUB45" s="670"/>
      <c r="EUC45" s="670"/>
      <c r="EUD45" s="670"/>
      <c r="EUE45" s="670"/>
      <c r="EUF45" s="670"/>
      <c r="EUG45" s="670"/>
      <c r="EUH45" s="670"/>
      <c r="EUI45" s="670"/>
      <c r="EUJ45" s="670"/>
      <c r="EUK45" s="670"/>
      <c r="EUL45" s="670"/>
      <c r="EUM45" s="670"/>
      <c r="EUN45" s="670"/>
      <c r="EUO45" s="670"/>
      <c r="EUP45" s="670"/>
      <c r="EUQ45" s="670"/>
      <c r="EUR45" s="670"/>
      <c r="EUS45" s="670"/>
      <c r="EUT45" s="670"/>
      <c r="EUU45" s="670"/>
      <c r="EUV45" s="670"/>
      <c r="EUW45" s="670"/>
      <c r="EUX45" s="670"/>
      <c r="EUY45" s="670"/>
      <c r="EUZ45" s="670"/>
      <c r="EVA45" s="670"/>
      <c r="EVB45" s="670"/>
      <c r="EVC45" s="670"/>
      <c r="EVD45" s="670"/>
      <c r="EVE45" s="670"/>
      <c r="EVF45" s="670"/>
      <c r="EVG45" s="670"/>
      <c r="EVH45" s="670"/>
      <c r="EVI45" s="670"/>
      <c r="EVJ45" s="670"/>
      <c r="EVK45" s="670"/>
      <c r="EVL45" s="670"/>
      <c r="EVM45" s="670"/>
      <c r="EVN45" s="670"/>
      <c r="EVO45" s="670"/>
      <c r="EVP45" s="670"/>
      <c r="EVQ45" s="670"/>
      <c r="EVR45" s="670"/>
      <c r="EVS45" s="670"/>
      <c r="EVT45" s="670"/>
      <c r="EVU45" s="670"/>
      <c r="EVV45" s="670"/>
      <c r="EVW45" s="670"/>
      <c r="EVX45" s="670"/>
      <c r="EVY45" s="670"/>
      <c r="EVZ45" s="670"/>
      <c r="EWA45" s="670"/>
      <c r="EWB45" s="670"/>
      <c r="EWC45" s="670"/>
      <c r="EWD45" s="670"/>
      <c r="EWE45" s="670"/>
      <c r="EWF45" s="670"/>
      <c r="EWG45" s="670"/>
      <c r="EWH45" s="670"/>
      <c r="EWI45" s="670"/>
      <c r="EWJ45" s="670"/>
      <c r="EWK45" s="670"/>
      <c r="EWL45" s="670"/>
      <c r="EWM45" s="670"/>
      <c r="EWN45" s="670"/>
      <c r="EWO45" s="670"/>
      <c r="EWP45" s="670"/>
      <c r="EWQ45" s="670"/>
      <c r="EWR45" s="670"/>
      <c r="EWS45" s="670"/>
      <c r="EWT45" s="670"/>
      <c r="EWU45" s="670"/>
      <c r="EWV45" s="670"/>
      <c r="EWW45" s="670"/>
      <c r="EWX45" s="670"/>
      <c r="EWY45" s="670"/>
      <c r="EWZ45" s="670"/>
      <c r="EXA45" s="670"/>
      <c r="EXB45" s="670"/>
      <c r="EXC45" s="670"/>
      <c r="EXD45" s="670"/>
      <c r="EXE45" s="670"/>
      <c r="EXF45" s="670"/>
      <c r="EXG45" s="670"/>
      <c r="EXH45" s="670"/>
      <c r="EXI45" s="670"/>
      <c r="EXJ45" s="670"/>
      <c r="EXK45" s="670"/>
      <c r="EXL45" s="670"/>
      <c r="EXM45" s="670"/>
      <c r="EXN45" s="670"/>
      <c r="EXO45" s="670"/>
      <c r="EXP45" s="670"/>
      <c r="EXQ45" s="670"/>
      <c r="EXR45" s="670"/>
      <c r="EXS45" s="670"/>
      <c r="EXT45" s="670"/>
      <c r="EXU45" s="670"/>
      <c r="EXV45" s="670"/>
      <c r="EXW45" s="670"/>
      <c r="EXX45" s="670"/>
      <c r="EXY45" s="670"/>
      <c r="EXZ45" s="670"/>
      <c r="EYA45" s="670"/>
      <c r="EYB45" s="670"/>
      <c r="EYC45" s="670"/>
      <c r="EYD45" s="670"/>
      <c r="EYE45" s="670"/>
      <c r="EYF45" s="670"/>
      <c r="EYG45" s="670"/>
      <c r="EYH45" s="670"/>
      <c r="EYI45" s="670"/>
      <c r="EYJ45" s="670"/>
      <c r="EYK45" s="670"/>
      <c r="EYL45" s="670"/>
      <c r="EYM45" s="670"/>
      <c r="EYN45" s="670"/>
      <c r="EYO45" s="670"/>
      <c r="EYP45" s="670"/>
      <c r="EYQ45" s="670"/>
      <c r="EYR45" s="670"/>
      <c r="EYS45" s="670"/>
      <c r="EYT45" s="670"/>
      <c r="EYU45" s="670"/>
      <c r="EYV45" s="670"/>
      <c r="EYW45" s="670"/>
      <c r="EYX45" s="670"/>
      <c r="EYY45" s="670"/>
      <c r="EYZ45" s="670"/>
      <c r="EZA45" s="670"/>
      <c r="EZB45" s="670"/>
      <c r="EZC45" s="670"/>
      <c r="EZD45" s="670"/>
      <c r="EZE45" s="670"/>
      <c r="EZF45" s="670"/>
      <c r="EZG45" s="670"/>
      <c r="EZH45" s="670"/>
      <c r="EZI45" s="670"/>
      <c r="EZJ45" s="670"/>
      <c r="EZK45" s="670"/>
      <c r="EZL45" s="670"/>
      <c r="EZM45" s="670"/>
      <c r="EZN45" s="670"/>
      <c r="EZO45" s="670"/>
      <c r="EZP45" s="670"/>
      <c r="EZQ45" s="670"/>
      <c r="EZR45" s="670"/>
      <c r="EZS45" s="670"/>
      <c r="EZT45" s="670"/>
      <c r="EZU45" s="670"/>
      <c r="EZV45" s="670"/>
      <c r="EZW45" s="670"/>
      <c r="EZX45" s="670"/>
      <c r="EZY45" s="670"/>
      <c r="EZZ45" s="670"/>
      <c r="FAA45" s="670"/>
      <c r="FAB45" s="670"/>
      <c r="FAC45" s="670"/>
      <c r="FAD45" s="670"/>
      <c r="FAE45" s="670"/>
      <c r="FAF45" s="670"/>
      <c r="FAG45" s="670"/>
      <c r="FAH45" s="670"/>
      <c r="FAI45" s="670"/>
      <c r="FAJ45" s="670"/>
      <c r="FAK45" s="670"/>
      <c r="FAL45" s="670"/>
      <c r="FAM45" s="670"/>
      <c r="FAN45" s="670"/>
      <c r="FAO45" s="670"/>
      <c r="FAP45" s="670"/>
      <c r="FAQ45" s="670"/>
      <c r="FAR45" s="670"/>
      <c r="FAS45" s="670"/>
      <c r="FAT45" s="670"/>
      <c r="FAU45" s="670"/>
      <c r="FAV45" s="670"/>
      <c r="FAW45" s="670"/>
      <c r="FAX45" s="670"/>
      <c r="FAY45" s="670"/>
      <c r="FAZ45" s="670"/>
      <c r="FBA45" s="670"/>
      <c r="FBB45" s="670"/>
      <c r="FBC45" s="670"/>
      <c r="FBD45" s="670"/>
      <c r="FBE45" s="670"/>
      <c r="FBF45" s="670"/>
      <c r="FBG45" s="670"/>
      <c r="FBH45" s="670"/>
      <c r="FBI45" s="670"/>
      <c r="FBJ45" s="670"/>
      <c r="FBK45" s="670"/>
      <c r="FBL45" s="670"/>
      <c r="FBM45" s="670"/>
      <c r="FBN45" s="670"/>
      <c r="FBO45" s="670"/>
      <c r="FBP45" s="670"/>
      <c r="FBQ45" s="670"/>
      <c r="FBR45" s="670"/>
      <c r="FBS45" s="670"/>
      <c r="FBT45" s="670"/>
      <c r="FBU45" s="670"/>
      <c r="FBV45" s="670"/>
      <c r="FBW45" s="670"/>
      <c r="FBX45" s="670"/>
      <c r="FBY45" s="670"/>
      <c r="FBZ45" s="670"/>
      <c r="FCA45" s="670"/>
      <c r="FCB45" s="670"/>
      <c r="FCC45" s="670"/>
      <c r="FCD45" s="670"/>
      <c r="FCE45" s="670"/>
      <c r="FCF45" s="670"/>
      <c r="FCG45" s="670"/>
      <c r="FCH45" s="670"/>
      <c r="FCI45" s="670"/>
      <c r="FCJ45" s="670"/>
      <c r="FCK45" s="670"/>
      <c r="FCL45" s="670"/>
      <c r="FCM45" s="670"/>
      <c r="FCN45" s="670"/>
      <c r="FCO45" s="670"/>
      <c r="FCP45" s="670"/>
      <c r="FCQ45" s="670"/>
      <c r="FCR45" s="670"/>
      <c r="FCS45" s="670"/>
      <c r="FCT45" s="670"/>
      <c r="FCU45" s="670"/>
      <c r="FCV45" s="670"/>
      <c r="FCW45" s="670"/>
      <c r="FCX45" s="670"/>
      <c r="FCY45" s="670"/>
      <c r="FCZ45" s="670"/>
      <c r="FDA45" s="670"/>
      <c r="FDB45" s="670"/>
      <c r="FDC45" s="670"/>
      <c r="FDD45" s="670"/>
      <c r="FDE45" s="670"/>
      <c r="FDF45" s="670"/>
      <c r="FDG45" s="670"/>
      <c r="FDH45" s="670"/>
      <c r="FDI45" s="670"/>
      <c r="FDJ45" s="670"/>
      <c r="FDK45" s="670"/>
      <c r="FDL45" s="670"/>
      <c r="FDM45" s="670"/>
      <c r="FDN45" s="670"/>
      <c r="FDO45" s="670"/>
      <c r="FDP45" s="670"/>
      <c r="FDQ45" s="670"/>
      <c r="FDR45" s="670"/>
      <c r="FDS45" s="670"/>
      <c r="FDT45" s="670"/>
      <c r="FDU45" s="670"/>
      <c r="FDV45" s="670"/>
      <c r="FDW45" s="670"/>
      <c r="FDX45" s="670"/>
      <c r="FDY45" s="670"/>
      <c r="FDZ45" s="670"/>
      <c r="FEA45" s="670"/>
      <c r="FEB45" s="670"/>
      <c r="FEC45" s="670"/>
      <c r="FED45" s="670"/>
      <c r="FEE45" s="670"/>
      <c r="FEF45" s="670"/>
      <c r="FEG45" s="670"/>
      <c r="FEH45" s="670"/>
      <c r="FEI45" s="670"/>
      <c r="FEJ45" s="670"/>
      <c r="FEK45" s="670"/>
      <c r="FEL45" s="670"/>
      <c r="FEM45" s="670"/>
      <c r="FEN45" s="670"/>
      <c r="FEO45" s="670"/>
      <c r="FEP45" s="670"/>
      <c r="FEQ45" s="670"/>
      <c r="FER45" s="670"/>
      <c r="FES45" s="670"/>
      <c r="FET45" s="670"/>
      <c r="FEU45" s="670"/>
      <c r="FEV45" s="670"/>
      <c r="FEW45" s="670"/>
      <c r="FEX45" s="670"/>
      <c r="FEY45" s="670"/>
      <c r="FEZ45" s="670"/>
      <c r="FFA45" s="670"/>
      <c r="FFB45" s="670"/>
      <c r="FFC45" s="670"/>
      <c r="FFD45" s="670"/>
      <c r="FFE45" s="670"/>
      <c r="FFF45" s="670"/>
      <c r="FFG45" s="670"/>
      <c r="FFH45" s="670"/>
      <c r="FFI45" s="670"/>
      <c r="FFJ45" s="670"/>
      <c r="FFK45" s="670"/>
      <c r="FFL45" s="670"/>
      <c r="FFM45" s="670"/>
      <c r="FFN45" s="670"/>
      <c r="FFO45" s="670"/>
      <c r="FFP45" s="670"/>
      <c r="FFQ45" s="670"/>
      <c r="FFR45" s="670"/>
      <c r="FFS45" s="670"/>
      <c r="FFT45" s="670"/>
      <c r="FFU45" s="670"/>
      <c r="FFV45" s="670"/>
      <c r="FFW45" s="670"/>
      <c r="FFX45" s="670"/>
      <c r="FFY45" s="670"/>
      <c r="FFZ45" s="670"/>
      <c r="FGA45" s="670"/>
      <c r="FGB45" s="670"/>
      <c r="FGC45" s="670"/>
      <c r="FGD45" s="670"/>
      <c r="FGE45" s="670"/>
      <c r="FGF45" s="670"/>
      <c r="FGG45" s="670"/>
      <c r="FGH45" s="670"/>
      <c r="FGI45" s="670"/>
      <c r="FGJ45" s="670"/>
      <c r="FGK45" s="670"/>
      <c r="FGL45" s="670"/>
      <c r="FGM45" s="670"/>
      <c r="FGN45" s="670"/>
      <c r="FGO45" s="670"/>
      <c r="FGP45" s="670"/>
      <c r="FGQ45" s="670"/>
      <c r="FGR45" s="670"/>
      <c r="FGS45" s="670"/>
      <c r="FGT45" s="670"/>
      <c r="FGU45" s="670"/>
      <c r="FGV45" s="670"/>
      <c r="FGW45" s="670"/>
      <c r="FGX45" s="670"/>
      <c r="FGY45" s="670"/>
      <c r="FGZ45" s="670"/>
      <c r="FHA45" s="670"/>
      <c r="FHB45" s="670"/>
      <c r="FHC45" s="670"/>
      <c r="FHD45" s="670"/>
      <c r="FHE45" s="670"/>
      <c r="FHF45" s="670"/>
      <c r="FHG45" s="670"/>
      <c r="FHH45" s="670"/>
      <c r="FHI45" s="670"/>
      <c r="FHJ45" s="670"/>
      <c r="FHK45" s="670"/>
      <c r="FHL45" s="670"/>
      <c r="FHM45" s="670"/>
      <c r="FHN45" s="670"/>
      <c r="FHO45" s="670"/>
      <c r="FHP45" s="670"/>
      <c r="FHQ45" s="670"/>
      <c r="FHR45" s="670"/>
      <c r="FHS45" s="670"/>
      <c r="FHT45" s="670"/>
      <c r="FHU45" s="670"/>
      <c r="FHV45" s="670"/>
      <c r="FHW45" s="670"/>
      <c r="FHX45" s="670"/>
      <c r="FHY45" s="670"/>
      <c r="FHZ45" s="670"/>
      <c r="FIA45" s="670"/>
      <c r="FIB45" s="670"/>
      <c r="FIC45" s="670"/>
      <c r="FID45" s="670"/>
      <c r="FIE45" s="670"/>
      <c r="FIF45" s="670"/>
      <c r="FIG45" s="670"/>
      <c r="FIH45" s="670"/>
      <c r="FII45" s="670"/>
      <c r="FIJ45" s="670"/>
      <c r="FIK45" s="670"/>
      <c r="FIL45" s="670"/>
      <c r="FIM45" s="670"/>
      <c r="FIN45" s="670"/>
      <c r="FIO45" s="670"/>
      <c r="FIP45" s="670"/>
      <c r="FIQ45" s="670"/>
      <c r="FIR45" s="670"/>
      <c r="FIS45" s="670"/>
      <c r="FIT45" s="670"/>
      <c r="FIU45" s="670"/>
      <c r="FIV45" s="670"/>
      <c r="FIW45" s="670"/>
      <c r="FIX45" s="670"/>
      <c r="FIY45" s="670"/>
      <c r="FIZ45" s="670"/>
      <c r="FJA45" s="670"/>
      <c r="FJB45" s="670"/>
      <c r="FJC45" s="670"/>
      <c r="FJD45" s="670"/>
      <c r="FJE45" s="670"/>
      <c r="FJF45" s="670"/>
      <c r="FJG45" s="670"/>
      <c r="FJH45" s="670"/>
      <c r="FJI45" s="670"/>
      <c r="FJJ45" s="670"/>
      <c r="FJK45" s="670"/>
      <c r="FJL45" s="670"/>
      <c r="FJM45" s="670"/>
      <c r="FJN45" s="670"/>
      <c r="FJO45" s="670"/>
      <c r="FJP45" s="670"/>
      <c r="FJQ45" s="670"/>
      <c r="FJR45" s="670"/>
      <c r="FJS45" s="670"/>
      <c r="FJT45" s="670"/>
      <c r="FJU45" s="670"/>
      <c r="FJV45" s="670"/>
      <c r="FJW45" s="670"/>
      <c r="FJX45" s="670"/>
      <c r="FJY45" s="670"/>
      <c r="FJZ45" s="670"/>
      <c r="FKA45" s="670"/>
      <c r="FKB45" s="670"/>
      <c r="FKC45" s="670"/>
      <c r="FKD45" s="670"/>
      <c r="FKE45" s="670"/>
      <c r="FKF45" s="670"/>
      <c r="FKG45" s="670"/>
      <c r="FKH45" s="670"/>
      <c r="FKI45" s="670"/>
      <c r="FKJ45" s="670"/>
      <c r="FKK45" s="670"/>
      <c r="FKL45" s="670"/>
      <c r="FKM45" s="670"/>
      <c r="FKN45" s="670"/>
      <c r="FKO45" s="670"/>
      <c r="FKP45" s="670"/>
      <c r="FKQ45" s="670"/>
      <c r="FKR45" s="670"/>
      <c r="FKS45" s="670"/>
      <c r="FKT45" s="670"/>
      <c r="FKU45" s="670"/>
      <c r="FKV45" s="670"/>
      <c r="FKW45" s="670"/>
      <c r="FKX45" s="670"/>
      <c r="FKY45" s="670"/>
      <c r="FKZ45" s="670"/>
      <c r="FLA45" s="670"/>
      <c r="FLB45" s="670"/>
      <c r="FLC45" s="670"/>
      <c r="FLD45" s="670"/>
      <c r="FLE45" s="670"/>
      <c r="FLF45" s="670"/>
      <c r="FLG45" s="670"/>
      <c r="FLH45" s="670"/>
      <c r="FLI45" s="670"/>
      <c r="FLJ45" s="670"/>
      <c r="FLK45" s="670"/>
      <c r="FLL45" s="670"/>
      <c r="FLM45" s="670"/>
      <c r="FLN45" s="670"/>
      <c r="FLO45" s="670"/>
      <c r="FLP45" s="670"/>
      <c r="FLQ45" s="670"/>
      <c r="FLR45" s="670"/>
      <c r="FLS45" s="670"/>
      <c r="FLT45" s="670"/>
      <c r="FLU45" s="670"/>
      <c r="FLV45" s="670"/>
      <c r="FLW45" s="670"/>
      <c r="FLX45" s="670"/>
      <c r="FLY45" s="670"/>
      <c r="FLZ45" s="670"/>
      <c r="FMA45" s="670"/>
      <c r="FMB45" s="670"/>
      <c r="FMC45" s="670"/>
      <c r="FMD45" s="670"/>
      <c r="FME45" s="670"/>
      <c r="FMF45" s="670"/>
      <c r="FMG45" s="670"/>
      <c r="FMH45" s="670"/>
      <c r="FMI45" s="670"/>
      <c r="FMJ45" s="670"/>
      <c r="FMK45" s="670"/>
      <c r="FML45" s="670"/>
      <c r="FMM45" s="670"/>
      <c r="FMN45" s="670"/>
      <c r="FMO45" s="670"/>
      <c r="FMP45" s="670"/>
      <c r="FMQ45" s="670"/>
      <c r="FMR45" s="670"/>
      <c r="FMS45" s="670"/>
      <c r="FMT45" s="670"/>
      <c r="FMU45" s="670"/>
      <c r="FMV45" s="670"/>
      <c r="FMW45" s="670"/>
      <c r="FMX45" s="670"/>
      <c r="FMY45" s="670"/>
      <c r="FMZ45" s="670"/>
      <c r="FNA45" s="670"/>
      <c r="FNB45" s="670"/>
      <c r="FNC45" s="670"/>
      <c r="FND45" s="670"/>
      <c r="FNE45" s="670"/>
      <c r="FNF45" s="670"/>
      <c r="FNG45" s="670"/>
      <c r="FNH45" s="670"/>
      <c r="FNI45" s="670"/>
      <c r="FNJ45" s="670"/>
      <c r="FNK45" s="670"/>
      <c r="FNL45" s="670"/>
      <c r="FNM45" s="670"/>
      <c r="FNN45" s="670"/>
      <c r="FNO45" s="670"/>
      <c r="FNP45" s="670"/>
      <c r="FNQ45" s="670"/>
      <c r="FNR45" s="670"/>
      <c r="FNS45" s="670"/>
      <c r="FNT45" s="670"/>
      <c r="FNU45" s="670"/>
      <c r="FNV45" s="670"/>
      <c r="FNW45" s="670"/>
      <c r="FNX45" s="670"/>
      <c r="FNY45" s="670"/>
      <c r="FNZ45" s="670"/>
      <c r="FOA45" s="670"/>
      <c r="FOB45" s="670"/>
      <c r="FOC45" s="670"/>
      <c r="FOD45" s="670"/>
      <c r="FOE45" s="670"/>
      <c r="FOF45" s="670"/>
      <c r="FOG45" s="670"/>
      <c r="FOH45" s="670"/>
      <c r="FOI45" s="670"/>
      <c r="FOJ45" s="670"/>
      <c r="FOK45" s="670"/>
      <c r="FOL45" s="670"/>
      <c r="FOM45" s="670"/>
      <c r="FON45" s="670"/>
      <c r="FOO45" s="670"/>
      <c r="FOP45" s="670"/>
      <c r="FOQ45" s="670"/>
      <c r="FOR45" s="670"/>
      <c r="FOS45" s="670"/>
      <c r="FOT45" s="670"/>
      <c r="FOU45" s="670"/>
      <c r="FOV45" s="670"/>
      <c r="FOW45" s="670"/>
      <c r="FOX45" s="670"/>
      <c r="FOY45" s="670"/>
      <c r="FOZ45" s="670"/>
      <c r="FPA45" s="670"/>
      <c r="FPB45" s="670"/>
      <c r="FPC45" s="670"/>
      <c r="FPD45" s="670"/>
      <c r="FPE45" s="670"/>
      <c r="FPF45" s="670"/>
      <c r="FPG45" s="670"/>
      <c r="FPH45" s="670"/>
      <c r="FPI45" s="670"/>
      <c r="FPJ45" s="670"/>
      <c r="FPK45" s="670"/>
      <c r="FPL45" s="670"/>
      <c r="FPM45" s="670"/>
      <c r="FPN45" s="670"/>
      <c r="FPO45" s="670"/>
      <c r="FPP45" s="670"/>
      <c r="FPQ45" s="670"/>
      <c r="FPR45" s="670"/>
      <c r="FPS45" s="670"/>
      <c r="FPT45" s="670"/>
      <c r="FPU45" s="670"/>
      <c r="FPV45" s="670"/>
      <c r="FPW45" s="670"/>
      <c r="FPX45" s="670"/>
      <c r="FPY45" s="670"/>
      <c r="FPZ45" s="670"/>
      <c r="FQA45" s="670"/>
      <c r="FQB45" s="670"/>
      <c r="FQC45" s="670"/>
      <c r="FQD45" s="670"/>
      <c r="FQE45" s="670"/>
      <c r="FQF45" s="670"/>
      <c r="FQG45" s="670"/>
      <c r="FQH45" s="670"/>
      <c r="FQI45" s="670"/>
      <c r="FQJ45" s="670"/>
      <c r="FQK45" s="670"/>
      <c r="FQL45" s="670"/>
      <c r="FQM45" s="670"/>
      <c r="FQN45" s="670"/>
      <c r="FQO45" s="670"/>
      <c r="FQP45" s="670"/>
      <c r="FQQ45" s="670"/>
      <c r="FQR45" s="670"/>
      <c r="FQS45" s="670"/>
      <c r="FQT45" s="670"/>
      <c r="FQU45" s="670"/>
      <c r="FQV45" s="670"/>
      <c r="FQW45" s="670"/>
      <c r="FQX45" s="670"/>
      <c r="FQY45" s="670"/>
      <c r="FQZ45" s="670"/>
      <c r="FRA45" s="670"/>
      <c r="FRB45" s="670"/>
      <c r="FRC45" s="670"/>
      <c r="FRD45" s="670"/>
      <c r="FRE45" s="670"/>
      <c r="FRF45" s="670"/>
      <c r="FRG45" s="670"/>
      <c r="FRH45" s="670"/>
      <c r="FRI45" s="670"/>
      <c r="FRJ45" s="670"/>
      <c r="FRK45" s="670"/>
      <c r="FRL45" s="670"/>
      <c r="FRM45" s="670"/>
      <c r="FRN45" s="670"/>
      <c r="FRO45" s="670"/>
      <c r="FRP45" s="670"/>
      <c r="FRQ45" s="670"/>
      <c r="FRR45" s="670"/>
      <c r="FRS45" s="670"/>
      <c r="FRT45" s="670"/>
      <c r="FRU45" s="670"/>
      <c r="FRV45" s="670"/>
      <c r="FRW45" s="670"/>
      <c r="FRX45" s="670"/>
      <c r="FRY45" s="670"/>
      <c r="FRZ45" s="670"/>
      <c r="FSA45" s="670"/>
      <c r="FSB45" s="670"/>
      <c r="FSC45" s="670"/>
      <c r="FSD45" s="670"/>
      <c r="FSE45" s="670"/>
      <c r="FSF45" s="670"/>
      <c r="FSG45" s="670"/>
      <c r="FSH45" s="670"/>
      <c r="FSI45" s="670"/>
      <c r="FSJ45" s="670"/>
      <c r="FSK45" s="670"/>
      <c r="FSL45" s="670"/>
      <c r="FSM45" s="670"/>
      <c r="FSN45" s="670"/>
      <c r="FSO45" s="670"/>
      <c r="FSP45" s="670"/>
      <c r="FSQ45" s="670"/>
      <c r="FSR45" s="670"/>
      <c r="FSS45" s="670"/>
      <c r="FST45" s="670"/>
      <c r="FSU45" s="670"/>
      <c r="FSV45" s="670"/>
      <c r="FSW45" s="670"/>
      <c r="FSX45" s="670"/>
      <c r="FSY45" s="670"/>
      <c r="FSZ45" s="670"/>
      <c r="FTA45" s="670"/>
      <c r="FTB45" s="670"/>
      <c r="FTC45" s="670"/>
      <c r="FTD45" s="670"/>
      <c r="FTE45" s="670"/>
      <c r="FTF45" s="670"/>
      <c r="FTG45" s="670"/>
      <c r="FTH45" s="670"/>
      <c r="FTI45" s="670"/>
      <c r="FTJ45" s="670"/>
      <c r="FTK45" s="670"/>
      <c r="FTL45" s="670"/>
      <c r="FTM45" s="670"/>
      <c r="FTN45" s="670"/>
      <c r="FTO45" s="670"/>
      <c r="FTP45" s="670"/>
      <c r="FTQ45" s="670"/>
      <c r="FTR45" s="670"/>
      <c r="FTS45" s="670"/>
      <c r="FTT45" s="670"/>
      <c r="FTU45" s="670"/>
      <c r="FTV45" s="670"/>
      <c r="FTW45" s="670"/>
      <c r="FTX45" s="670"/>
      <c r="FTY45" s="670"/>
      <c r="FTZ45" s="670"/>
      <c r="FUA45" s="670"/>
      <c r="FUB45" s="670"/>
      <c r="FUC45" s="670"/>
      <c r="FUD45" s="670"/>
      <c r="FUE45" s="670"/>
      <c r="FUF45" s="670"/>
      <c r="FUG45" s="670"/>
      <c r="FUH45" s="670"/>
      <c r="FUI45" s="670"/>
      <c r="FUJ45" s="670"/>
      <c r="FUK45" s="670"/>
      <c r="FUL45" s="670"/>
      <c r="FUM45" s="670"/>
      <c r="FUN45" s="670"/>
      <c r="FUO45" s="670"/>
      <c r="FUP45" s="670"/>
      <c r="FUQ45" s="670"/>
      <c r="FUR45" s="670"/>
      <c r="FUS45" s="670"/>
      <c r="FUT45" s="670"/>
      <c r="FUU45" s="670"/>
      <c r="FUV45" s="670"/>
      <c r="FUW45" s="670"/>
      <c r="FUX45" s="670"/>
      <c r="FUY45" s="670"/>
      <c r="FUZ45" s="670"/>
      <c r="FVA45" s="670"/>
      <c r="FVB45" s="670"/>
      <c r="FVC45" s="670"/>
      <c r="FVD45" s="670"/>
      <c r="FVE45" s="670"/>
      <c r="FVF45" s="670"/>
      <c r="FVG45" s="670"/>
      <c r="FVH45" s="670"/>
      <c r="FVI45" s="670"/>
      <c r="FVJ45" s="670"/>
      <c r="FVK45" s="670"/>
      <c r="FVL45" s="670"/>
      <c r="FVM45" s="670"/>
      <c r="FVN45" s="670"/>
      <c r="FVO45" s="670"/>
      <c r="FVP45" s="670"/>
      <c r="FVQ45" s="670"/>
      <c r="FVR45" s="670"/>
      <c r="FVS45" s="670"/>
      <c r="FVT45" s="670"/>
      <c r="FVU45" s="670"/>
      <c r="FVV45" s="670"/>
      <c r="FVW45" s="670"/>
      <c r="FVX45" s="670"/>
      <c r="FVY45" s="670"/>
      <c r="FVZ45" s="670"/>
      <c r="FWA45" s="670"/>
      <c r="FWB45" s="670"/>
      <c r="FWC45" s="670"/>
      <c r="FWD45" s="670"/>
      <c r="FWE45" s="670"/>
      <c r="FWF45" s="670"/>
      <c r="FWG45" s="670"/>
      <c r="FWH45" s="670"/>
      <c r="FWI45" s="670"/>
      <c r="FWJ45" s="670"/>
      <c r="FWK45" s="670"/>
      <c r="FWL45" s="670"/>
      <c r="FWM45" s="670"/>
      <c r="FWN45" s="670"/>
      <c r="FWO45" s="670"/>
      <c r="FWP45" s="670"/>
      <c r="FWQ45" s="670"/>
      <c r="FWR45" s="670"/>
      <c r="FWS45" s="670"/>
      <c r="FWT45" s="670"/>
      <c r="FWU45" s="670"/>
      <c r="FWV45" s="670"/>
      <c r="FWW45" s="670"/>
      <c r="FWX45" s="670"/>
      <c r="FWY45" s="670"/>
      <c r="FWZ45" s="670"/>
      <c r="FXA45" s="670"/>
      <c r="FXB45" s="670"/>
      <c r="FXC45" s="670"/>
      <c r="FXD45" s="670"/>
      <c r="FXE45" s="670"/>
      <c r="FXF45" s="670"/>
      <c r="FXG45" s="670"/>
      <c r="FXH45" s="670"/>
      <c r="FXI45" s="670"/>
      <c r="FXJ45" s="670"/>
      <c r="FXK45" s="670"/>
      <c r="FXL45" s="670"/>
      <c r="FXM45" s="670"/>
      <c r="FXN45" s="670"/>
      <c r="FXO45" s="670"/>
      <c r="FXP45" s="670"/>
      <c r="FXQ45" s="670"/>
      <c r="FXR45" s="670"/>
      <c r="FXS45" s="670"/>
      <c r="FXT45" s="670"/>
      <c r="FXU45" s="670"/>
      <c r="FXV45" s="670"/>
      <c r="FXW45" s="670"/>
      <c r="FXX45" s="670"/>
      <c r="FXY45" s="670"/>
      <c r="FXZ45" s="670"/>
      <c r="FYA45" s="670"/>
      <c r="FYB45" s="670"/>
      <c r="FYC45" s="670"/>
      <c r="FYD45" s="670"/>
      <c r="FYE45" s="670"/>
      <c r="FYF45" s="670"/>
      <c r="FYG45" s="670"/>
      <c r="FYH45" s="670"/>
      <c r="FYI45" s="670"/>
      <c r="FYJ45" s="670"/>
      <c r="FYK45" s="670"/>
      <c r="FYL45" s="670"/>
      <c r="FYM45" s="670"/>
      <c r="FYN45" s="670"/>
      <c r="FYO45" s="670"/>
      <c r="FYP45" s="670"/>
      <c r="FYQ45" s="670"/>
      <c r="FYR45" s="670"/>
      <c r="FYS45" s="670"/>
      <c r="FYT45" s="670"/>
      <c r="FYU45" s="670"/>
      <c r="FYV45" s="670"/>
      <c r="FYW45" s="670"/>
      <c r="FYX45" s="670"/>
      <c r="FYY45" s="670"/>
      <c r="FYZ45" s="670"/>
      <c r="FZA45" s="670"/>
      <c r="FZB45" s="670"/>
      <c r="FZC45" s="670"/>
      <c r="FZD45" s="670"/>
      <c r="FZE45" s="670"/>
      <c r="FZF45" s="670"/>
      <c r="FZG45" s="670"/>
      <c r="FZH45" s="670"/>
      <c r="FZI45" s="670"/>
      <c r="FZJ45" s="670"/>
      <c r="FZK45" s="670"/>
      <c r="FZL45" s="670"/>
      <c r="FZM45" s="670"/>
      <c r="FZN45" s="670"/>
      <c r="FZO45" s="670"/>
      <c r="FZP45" s="670"/>
      <c r="FZQ45" s="670"/>
      <c r="FZR45" s="670"/>
      <c r="FZS45" s="670"/>
      <c r="FZT45" s="670"/>
      <c r="FZU45" s="670"/>
      <c r="FZV45" s="670"/>
      <c r="FZW45" s="670"/>
      <c r="FZX45" s="670"/>
      <c r="FZY45" s="670"/>
      <c r="FZZ45" s="670"/>
      <c r="GAA45" s="670"/>
      <c r="GAB45" s="670"/>
      <c r="GAC45" s="670"/>
      <c r="GAD45" s="670"/>
      <c r="GAE45" s="670"/>
      <c r="GAF45" s="670"/>
      <c r="GAG45" s="670"/>
      <c r="GAH45" s="670"/>
      <c r="GAI45" s="670"/>
      <c r="GAJ45" s="670"/>
      <c r="GAK45" s="670"/>
      <c r="GAL45" s="670"/>
      <c r="GAM45" s="670"/>
      <c r="GAN45" s="670"/>
      <c r="GAO45" s="670"/>
      <c r="GAP45" s="670"/>
      <c r="GAQ45" s="670"/>
      <c r="GAR45" s="670"/>
      <c r="GAS45" s="670"/>
      <c r="GAT45" s="670"/>
      <c r="GAU45" s="670"/>
      <c r="GAV45" s="670"/>
      <c r="GAW45" s="670"/>
      <c r="GAX45" s="670"/>
      <c r="GAY45" s="670"/>
      <c r="GAZ45" s="670"/>
      <c r="GBA45" s="670"/>
      <c r="GBB45" s="670"/>
      <c r="GBC45" s="670"/>
      <c r="GBD45" s="670"/>
      <c r="GBE45" s="670"/>
      <c r="GBF45" s="670"/>
      <c r="GBG45" s="670"/>
      <c r="GBH45" s="670"/>
      <c r="GBI45" s="670"/>
      <c r="GBJ45" s="670"/>
      <c r="GBK45" s="670"/>
      <c r="GBL45" s="670"/>
      <c r="GBM45" s="670"/>
      <c r="GBN45" s="670"/>
      <c r="GBO45" s="670"/>
      <c r="GBP45" s="670"/>
      <c r="GBQ45" s="670"/>
      <c r="GBR45" s="670"/>
      <c r="GBS45" s="670"/>
      <c r="GBT45" s="670"/>
      <c r="GBU45" s="670"/>
      <c r="GBV45" s="670"/>
      <c r="GBW45" s="670"/>
      <c r="GBX45" s="670"/>
      <c r="GBY45" s="670"/>
      <c r="GBZ45" s="670"/>
      <c r="GCA45" s="670"/>
      <c r="GCB45" s="670"/>
      <c r="GCC45" s="670"/>
      <c r="GCD45" s="670"/>
      <c r="GCE45" s="670"/>
      <c r="GCF45" s="670"/>
      <c r="GCG45" s="670"/>
      <c r="GCH45" s="670"/>
      <c r="GCI45" s="670"/>
      <c r="GCJ45" s="670"/>
      <c r="GCK45" s="670"/>
      <c r="GCL45" s="670"/>
      <c r="GCM45" s="670"/>
      <c r="GCN45" s="670"/>
      <c r="GCO45" s="670"/>
      <c r="GCP45" s="670"/>
      <c r="GCQ45" s="670"/>
      <c r="GCR45" s="670"/>
      <c r="GCS45" s="670"/>
      <c r="GCT45" s="670"/>
      <c r="GCU45" s="670"/>
      <c r="GCV45" s="670"/>
      <c r="GCW45" s="670"/>
      <c r="GCX45" s="670"/>
      <c r="GCY45" s="670"/>
      <c r="GCZ45" s="670"/>
      <c r="GDA45" s="670"/>
      <c r="GDB45" s="670"/>
      <c r="GDC45" s="670"/>
      <c r="GDD45" s="670"/>
      <c r="GDE45" s="670"/>
      <c r="GDF45" s="670"/>
      <c r="GDG45" s="670"/>
      <c r="GDH45" s="670"/>
      <c r="GDI45" s="670"/>
      <c r="GDJ45" s="670"/>
      <c r="GDK45" s="670"/>
      <c r="GDL45" s="670"/>
      <c r="GDM45" s="670"/>
      <c r="GDN45" s="670"/>
      <c r="GDO45" s="670"/>
      <c r="GDP45" s="670"/>
      <c r="GDQ45" s="670"/>
      <c r="GDR45" s="670"/>
      <c r="GDS45" s="670"/>
      <c r="GDT45" s="670"/>
      <c r="GDU45" s="670"/>
      <c r="GDV45" s="670"/>
      <c r="GDW45" s="670"/>
      <c r="GDX45" s="670"/>
      <c r="GDY45" s="670"/>
      <c r="GDZ45" s="670"/>
      <c r="GEA45" s="670"/>
      <c r="GEB45" s="670"/>
      <c r="GEC45" s="670"/>
      <c r="GED45" s="670"/>
      <c r="GEE45" s="670"/>
      <c r="GEF45" s="670"/>
      <c r="GEG45" s="670"/>
      <c r="GEH45" s="670"/>
      <c r="GEI45" s="670"/>
      <c r="GEJ45" s="670"/>
      <c r="GEK45" s="670"/>
      <c r="GEL45" s="670"/>
      <c r="GEM45" s="670"/>
      <c r="GEN45" s="670"/>
      <c r="GEO45" s="670"/>
      <c r="GEP45" s="670"/>
      <c r="GEQ45" s="670"/>
      <c r="GER45" s="670"/>
      <c r="GES45" s="670"/>
      <c r="GET45" s="670"/>
      <c r="GEU45" s="670"/>
      <c r="GEV45" s="670"/>
      <c r="GEW45" s="670"/>
      <c r="GEX45" s="670"/>
      <c r="GEY45" s="670"/>
      <c r="GEZ45" s="670"/>
      <c r="GFA45" s="670"/>
      <c r="GFB45" s="670"/>
      <c r="GFC45" s="670"/>
      <c r="GFD45" s="670"/>
      <c r="GFE45" s="670"/>
      <c r="GFF45" s="670"/>
      <c r="GFG45" s="670"/>
      <c r="GFH45" s="670"/>
      <c r="GFI45" s="670"/>
      <c r="GFJ45" s="670"/>
      <c r="GFK45" s="670"/>
      <c r="GFL45" s="670"/>
      <c r="GFM45" s="670"/>
      <c r="GFN45" s="670"/>
      <c r="GFO45" s="670"/>
      <c r="GFP45" s="670"/>
      <c r="GFQ45" s="670"/>
      <c r="GFR45" s="670"/>
      <c r="GFS45" s="670"/>
      <c r="GFT45" s="670"/>
      <c r="GFU45" s="670"/>
      <c r="GFV45" s="670"/>
      <c r="GFW45" s="670"/>
      <c r="GFX45" s="670"/>
      <c r="GFY45" s="670"/>
      <c r="GFZ45" s="670"/>
      <c r="GGA45" s="670"/>
      <c r="GGB45" s="670"/>
      <c r="GGC45" s="670"/>
      <c r="GGD45" s="670"/>
      <c r="GGE45" s="670"/>
      <c r="GGF45" s="670"/>
      <c r="GGG45" s="670"/>
      <c r="GGH45" s="670"/>
      <c r="GGI45" s="670"/>
      <c r="GGJ45" s="670"/>
      <c r="GGK45" s="670"/>
      <c r="GGL45" s="670"/>
      <c r="GGM45" s="670"/>
      <c r="GGN45" s="670"/>
      <c r="GGO45" s="670"/>
      <c r="GGP45" s="670"/>
      <c r="GGQ45" s="670"/>
      <c r="GGR45" s="670"/>
      <c r="GGS45" s="670"/>
      <c r="GGT45" s="670"/>
      <c r="GGU45" s="670"/>
      <c r="GGV45" s="670"/>
      <c r="GGW45" s="670"/>
      <c r="GGX45" s="670"/>
      <c r="GGY45" s="670"/>
      <c r="GGZ45" s="670"/>
      <c r="GHA45" s="670"/>
      <c r="GHB45" s="670"/>
      <c r="GHC45" s="670"/>
      <c r="GHD45" s="670"/>
      <c r="GHE45" s="670"/>
      <c r="GHF45" s="670"/>
      <c r="GHG45" s="670"/>
      <c r="GHH45" s="670"/>
      <c r="GHI45" s="670"/>
      <c r="GHJ45" s="670"/>
      <c r="GHK45" s="670"/>
      <c r="GHL45" s="670"/>
      <c r="GHM45" s="670"/>
      <c r="GHN45" s="670"/>
      <c r="GHO45" s="670"/>
      <c r="GHP45" s="670"/>
      <c r="GHQ45" s="670"/>
      <c r="GHR45" s="670"/>
      <c r="GHS45" s="670"/>
      <c r="GHT45" s="670"/>
      <c r="GHU45" s="670"/>
      <c r="GHV45" s="670"/>
      <c r="GHW45" s="670"/>
      <c r="GHX45" s="670"/>
      <c r="GHY45" s="670"/>
      <c r="GHZ45" s="670"/>
      <c r="GIA45" s="670"/>
      <c r="GIB45" s="670"/>
      <c r="GIC45" s="670"/>
      <c r="GID45" s="670"/>
      <c r="GIE45" s="670"/>
      <c r="GIF45" s="670"/>
      <c r="GIG45" s="670"/>
      <c r="GIH45" s="670"/>
      <c r="GII45" s="670"/>
      <c r="GIJ45" s="670"/>
      <c r="GIK45" s="670"/>
      <c r="GIL45" s="670"/>
      <c r="GIM45" s="670"/>
      <c r="GIN45" s="670"/>
      <c r="GIO45" s="670"/>
      <c r="GIP45" s="670"/>
      <c r="GIQ45" s="670"/>
      <c r="GIR45" s="670"/>
      <c r="GIS45" s="670"/>
      <c r="GIT45" s="670"/>
      <c r="GIU45" s="670"/>
      <c r="GIV45" s="670"/>
      <c r="GIW45" s="670"/>
      <c r="GIX45" s="670"/>
      <c r="GIY45" s="670"/>
      <c r="GIZ45" s="670"/>
      <c r="GJA45" s="670"/>
      <c r="GJB45" s="670"/>
      <c r="GJC45" s="670"/>
      <c r="GJD45" s="670"/>
      <c r="GJE45" s="670"/>
      <c r="GJF45" s="670"/>
      <c r="GJG45" s="670"/>
      <c r="GJH45" s="670"/>
      <c r="GJI45" s="670"/>
      <c r="GJJ45" s="670"/>
      <c r="GJK45" s="670"/>
      <c r="GJL45" s="670"/>
      <c r="GJM45" s="670"/>
      <c r="GJN45" s="670"/>
      <c r="GJO45" s="670"/>
      <c r="GJP45" s="670"/>
      <c r="GJQ45" s="670"/>
      <c r="GJR45" s="670"/>
      <c r="GJS45" s="670"/>
      <c r="GJT45" s="670"/>
      <c r="GJU45" s="670"/>
      <c r="GJV45" s="670"/>
      <c r="GJW45" s="670"/>
      <c r="GJX45" s="670"/>
      <c r="GJY45" s="670"/>
      <c r="GJZ45" s="670"/>
      <c r="GKA45" s="670"/>
      <c r="GKB45" s="670"/>
      <c r="GKC45" s="670"/>
      <c r="GKD45" s="670"/>
      <c r="GKE45" s="670"/>
      <c r="GKF45" s="670"/>
      <c r="GKG45" s="670"/>
      <c r="GKH45" s="670"/>
      <c r="GKI45" s="670"/>
      <c r="GKJ45" s="670"/>
      <c r="GKK45" s="670"/>
      <c r="GKL45" s="670"/>
      <c r="GKM45" s="670"/>
      <c r="GKN45" s="670"/>
      <c r="GKO45" s="670"/>
      <c r="GKP45" s="670"/>
      <c r="GKQ45" s="670"/>
      <c r="GKR45" s="670"/>
      <c r="GKS45" s="670"/>
      <c r="GKT45" s="670"/>
      <c r="GKU45" s="670"/>
      <c r="GKV45" s="670"/>
      <c r="GKW45" s="670"/>
      <c r="GKX45" s="670"/>
      <c r="GKY45" s="670"/>
      <c r="GKZ45" s="670"/>
      <c r="GLA45" s="670"/>
      <c r="GLB45" s="670"/>
      <c r="GLC45" s="670"/>
      <c r="GLD45" s="670"/>
      <c r="GLE45" s="670"/>
      <c r="GLF45" s="670"/>
      <c r="GLG45" s="670"/>
      <c r="GLH45" s="670"/>
      <c r="GLI45" s="670"/>
      <c r="GLJ45" s="670"/>
      <c r="GLK45" s="670"/>
      <c r="GLL45" s="670"/>
      <c r="GLM45" s="670"/>
      <c r="GLN45" s="670"/>
      <c r="GLO45" s="670"/>
      <c r="GLP45" s="670"/>
      <c r="GLQ45" s="670"/>
      <c r="GLR45" s="670"/>
      <c r="GLS45" s="670"/>
      <c r="GLT45" s="670"/>
      <c r="GLU45" s="670"/>
      <c r="GLV45" s="670"/>
      <c r="GLW45" s="670"/>
      <c r="GLX45" s="670"/>
      <c r="GLY45" s="670"/>
      <c r="GLZ45" s="670"/>
      <c r="GMA45" s="670"/>
      <c r="GMB45" s="670"/>
      <c r="GMC45" s="670"/>
      <c r="GMD45" s="670"/>
      <c r="GME45" s="670"/>
      <c r="GMF45" s="670"/>
      <c r="GMG45" s="670"/>
      <c r="GMH45" s="670"/>
      <c r="GMI45" s="670"/>
      <c r="GMJ45" s="670"/>
      <c r="GMK45" s="670"/>
      <c r="GML45" s="670"/>
      <c r="GMM45" s="670"/>
      <c r="GMN45" s="670"/>
      <c r="GMO45" s="670"/>
      <c r="GMP45" s="670"/>
      <c r="GMQ45" s="670"/>
      <c r="GMR45" s="670"/>
      <c r="GMS45" s="670"/>
      <c r="GMT45" s="670"/>
      <c r="GMU45" s="670"/>
      <c r="GMV45" s="670"/>
      <c r="GMW45" s="670"/>
      <c r="GMX45" s="670"/>
      <c r="GMY45" s="670"/>
      <c r="GMZ45" s="670"/>
      <c r="GNA45" s="670"/>
      <c r="GNB45" s="670"/>
      <c r="GNC45" s="670"/>
      <c r="GND45" s="670"/>
      <c r="GNE45" s="670"/>
      <c r="GNF45" s="670"/>
      <c r="GNG45" s="670"/>
      <c r="GNH45" s="670"/>
      <c r="GNI45" s="670"/>
      <c r="GNJ45" s="670"/>
      <c r="GNK45" s="670"/>
      <c r="GNL45" s="670"/>
      <c r="GNM45" s="670"/>
      <c r="GNN45" s="670"/>
      <c r="GNO45" s="670"/>
      <c r="GNP45" s="670"/>
      <c r="GNQ45" s="670"/>
      <c r="GNR45" s="670"/>
      <c r="GNS45" s="670"/>
      <c r="GNT45" s="670"/>
      <c r="GNU45" s="670"/>
      <c r="GNV45" s="670"/>
      <c r="GNW45" s="670"/>
      <c r="GNX45" s="670"/>
      <c r="GNY45" s="670"/>
      <c r="GNZ45" s="670"/>
      <c r="GOA45" s="670"/>
      <c r="GOB45" s="670"/>
      <c r="GOC45" s="670"/>
      <c r="GOD45" s="670"/>
      <c r="GOE45" s="670"/>
      <c r="GOF45" s="670"/>
      <c r="GOG45" s="670"/>
      <c r="GOH45" s="670"/>
      <c r="GOI45" s="670"/>
      <c r="GOJ45" s="670"/>
      <c r="GOK45" s="670"/>
      <c r="GOL45" s="670"/>
      <c r="GOM45" s="670"/>
      <c r="GON45" s="670"/>
      <c r="GOO45" s="670"/>
      <c r="GOP45" s="670"/>
      <c r="GOQ45" s="670"/>
      <c r="GOR45" s="670"/>
      <c r="GOS45" s="670"/>
      <c r="GOT45" s="670"/>
      <c r="GOU45" s="670"/>
      <c r="GOV45" s="670"/>
      <c r="GOW45" s="670"/>
      <c r="GOX45" s="670"/>
      <c r="GOY45" s="670"/>
      <c r="GOZ45" s="670"/>
      <c r="GPA45" s="670"/>
      <c r="GPB45" s="670"/>
      <c r="GPC45" s="670"/>
      <c r="GPD45" s="670"/>
      <c r="GPE45" s="670"/>
      <c r="GPF45" s="670"/>
      <c r="GPG45" s="670"/>
      <c r="GPH45" s="670"/>
      <c r="GPI45" s="670"/>
      <c r="GPJ45" s="670"/>
      <c r="GPK45" s="670"/>
      <c r="GPL45" s="670"/>
      <c r="GPM45" s="670"/>
      <c r="GPN45" s="670"/>
      <c r="GPO45" s="670"/>
      <c r="GPP45" s="670"/>
      <c r="GPQ45" s="670"/>
      <c r="GPR45" s="670"/>
      <c r="GPS45" s="670"/>
      <c r="GPT45" s="670"/>
      <c r="GPU45" s="670"/>
      <c r="GPV45" s="670"/>
      <c r="GPW45" s="670"/>
      <c r="GPX45" s="670"/>
      <c r="GPY45" s="670"/>
      <c r="GPZ45" s="670"/>
      <c r="GQA45" s="670"/>
      <c r="GQB45" s="670"/>
      <c r="GQC45" s="670"/>
      <c r="GQD45" s="670"/>
      <c r="GQE45" s="670"/>
      <c r="GQF45" s="670"/>
      <c r="GQG45" s="670"/>
      <c r="GQH45" s="670"/>
      <c r="GQI45" s="670"/>
      <c r="GQJ45" s="670"/>
      <c r="GQK45" s="670"/>
      <c r="GQL45" s="670"/>
      <c r="GQM45" s="670"/>
      <c r="GQN45" s="670"/>
      <c r="GQO45" s="670"/>
      <c r="GQP45" s="670"/>
      <c r="GQQ45" s="670"/>
      <c r="GQR45" s="670"/>
      <c r="GQS45" s="670"/>
      <c r="GQT45" s="670"/>
      <c r="GQU45" s="670"/>
      <c r="GQV45" s="670"/>
      <c r="GQW45" s="670"/>
      <c r="GQX45" s="670"/>
      <c r="GQY45" s="670"/>
      <c r="GQZ45" s="670"/>
      <c r="GRA45" s="670"/>
      <c r="GRB45" s="670"/>
      <c r="GRC45" s="670"/>
      <c r="GRD45" s="670"/>
      <c r="GRE45" s="670"/>
      <c r="GRF45" s="670"/>
      <c r="GRG45" s="670"/>
      <c r="GRH45" s="670"/>
      <c r="GRI45" s="670"/>
      <c r="GRJ45" s="670"/>
      <c r="GRK45" s="670"/>
      <c r="GRL45" s="670"/>
      <c r="GRM45" s="670"/>
      <c r="GRN45" s="670"/>
      <c r="GRO45" s="670"/>
      <c r="GRP45" s="670"/>
      <c r="GRQ45" s="670"/>
      <c r="GRR45" s="670"/>
      <c r="GRS45" s="670"/>
      <c r="GRT45" s="670"/>
      <c r="GRU45" s="670"/>
      <c r="GRV45" s="670"/>
      <c r="GRW45" s="670"/>
      <c r="GRX45" s="670"/>
      <c r="GRY45" s="670"/>
      <c r="GRZ45" s="670"/>
      <c r="GSA45" s="670"/>
      <c r="GSB45" s="670"/>
      <c r="GSC45" s="670"/>
      <c r="GSD45" s="670"/>
      <c r="GSE45" s="670"/>
      <c r="GSF45" s="670"/>
      <c r="GSG45" s="670"/>
      <c r="GSH45" s="670"/>
      <c r="GSI45" s="670"/>
      <c r="GSJ45" s="670"/>
      <c r="GSK45" s="670"/>
      <c r="GSL45" s="670"/>
      <c r="GSM45" s="670"/>
      <c r="GSN45" s="670"/>
      <c r="GSO45" s="670"/>
      <c r="GSP45" s="670"/>
      <c r="GSQ45" s="670"/>
      <c r="GSR45" s="670"/>
      <c r="GSS45" s="670"/>
      <c r="GST45" s="670"/>
      <c r="GSU45" s="670"/>
      <c r="GSV45" s="670"/>
      <c r="GSW45" s="670"/>
      <c r="GSX45" s="670"/>
      <c r="GSY45" s="670"/>
      <c r="GSZ45" s="670"/>
      <c r="GTA45" s="670"/>
      <c r="GTB45" s="670"/>
      <c r="GTC45" s="670"/>
      <c r="GTD45" s="670"/>
      <c r="GTE45" s="670"/>
      <c r="GTF45" s="670"/>
      <c r="GTG45" s="670"/>
      <c r="GTH45" s="670"/>
      <c r="GTI45" s="670"/>
      <c r="GTJ45" s="670"/>
      <c r="GTK45" s="670"/>
      <c r="GTL45" s="670"/>
      <c r="GTM45" s="670"/>
      <c r="GTN45" s="670"/>
      <c r="GTO45" s="670"/>
      <c r="GTP45" s="670"/>
      <c r="GTQ45" s="670"/>
      <c r="GTR45" s="670"/>
      <c r="GTS45" s="670"/>
      <c r="GTT45" s="670"/>
      <c r="GTU45" s="670"/>
      <c r="GTV45" s="670"/>
      <c r="GTW45" s="670"/>
      <c r="GTX45" s="670"/>
      <c r="GTY45" s="670"/>
      <c r="GTZ45" s="670"/>
      <c r="GUA45" s="670"/>
      <c r="GUB45" s="670"/>
      <c r="GUC45" s="670"/>
      <c r="GUD45" s="670"/>
      <c r="GUE45" s="670"/>
      <c r="GUF45" s="670"/>
      <c r="GUG45" s="670"/>
      <c r="GUH45" s="670"/>
      <c r="GUI45" s="670"/>
      <c r="GUJ45" s="670"/>
      <c r="GUK45" s="670"/>
      <c r="GUL45" s="670"/>
      <c r="GUM45" s="670"/>
      <c r="GUN45" s="670"/>
      <c r="GUO45" s="670"/>
      <c r="GUP45" s="670"/>
      <c r="GUQ45" s="670"/>
      <c r="GUR45" s="670"/>
      <c r="GUS45" s="670"/>
      <c r="GUT45" s="670"/>
      <c r="GUU45" s="670"/>
      <c r="GUV45" s="670"/>
      <c r="GUW45" s="670"/>
      <c r="GUX45" s="670"/>
      <c r="GUY45" s="670"/>
      <c r="GUZ45" s="670"/>
      <c r="GVA45" s="670"/>
      <c r="GVB45" s="670"/>
      <c r="GVC45" s="670"/>
      <c r="GVD45" s="670"/>
      <c r="GVE45" s="670"/>
      <c r="GVF45" s="670"/>
      <c r="GVG45" s="670"/>
      <c r="GVH45" s="670"/>
      <c r="GVI45" s="670"/>
      <c r="GVJ45" s="670"/>
      <c r="GVK45" s="670"/>
      <c r="GVL45" s="670"/>
      <c r="GVM45" s="670"/>
      <c r="GVN45" s="670"/>
      <c r="GVO45" s="670"/>
      <c r="GVP45" s="670"/>
      <c r="GVQ45" s="670"/>
      <c r="GVR45" s="670"/>
      <c r="GVS45" s="670"/>
      <c r="GVT45" s="670"/>
      <c r="GVU45" s="670"/>
      <c r="GVV45" s="670"/>
      <c r="GVW45" s="670"/>
      <c r="GVX45" s="670"/>
      <c r="GVY45" s="670"/>
      <c r="GVZ45" s="670"/>
      <c r="GWA45" s="670"/>
      <c r="GWB45" s="670"/>
      <c r="GWC45" s="670"/>
      <c r="GWD45" s="670"/>
      <c r="GWE45" s="670"/>
      <c r="GWF45" s="670"/>
      <c r="GWG45" s="670"/>
      <c r="GWH45" s="670"/>
      <c r="GWI45" s="670"/>
      <c r="GWJ45" s="670"/>
      <c r="GWK45" s="670"/>
      <c r="GWL45" s="670"/>
      <c r="GWM45" s="670"/>
      <c r="GWN45" s="670"/>
      <c r="GWO45" s="670"/>
      <c r="GWP45" s="670"/>
      <c r="GWQ45" s="670"/>
      <c r="GWR45" s="670"/>
      <c r="GWS45" s="670"/>
      <c r="GWT45" s="670"/>
      <c r="GWU45" s="670"/>
      <c r="GWV45" s="670"/>
      <c r="GWW45" s="670"/>
      <c r="GWX45" s="670"/>
      <c r="GWY45" s="670"/>
      <c r="GWZ45" s="670"/>
      <c r="GXA45" s="670"/>
      <c r="GXB45" s="670"/>
      <c r="GXC45" s="670"/>
      <c r="GXD45" s="670"/>
      <c r="GXE45" s="670"/>
      <c r="GXF45" s="670"/>
      <c r="GXG45" s="670"/>
      <c r="GXH45" s="670"/>
      <c r="GXI45" s="670"/>
      <c r="GXJ45" s="670"/>
      <c r="GXK45" s="670"/>
      <c r="GXL45" s="670"/>
      <c r="GXM45" s="670"/>
      <c r="GXN45" s="670"/>
      <c r="GXO45" s="670"/>
      <c r="GXP45" s="670"/>
      <c r="GXQ45" s="670"/>
      <c r="GXR45" s="670"/>
      <c r="GXS45" s="670"/>
      <c r="GXT45" s="670"/>
      <c r="GXU45" s="670"/>
      <c r="GXV45" s="670"/>
      <c r="GXW45" s="670"/>
      <c r="GXX45" s="670"/>
      <c r="GXY45" s="670"/>
      <c r="GXZ45" s="670"/>
      <c r="GYA45" s="670"/>
      <c r="GYB45" s="670"/>
      <c r="GYC45" s="670"/>
      <c r="GYD45" s="670"/>
      <c r="GYE45" s="670"/>
      <c r="GYF45" s="670"/>
      <c r="GYG45" s="670"/>
      <c r="GYH45" s="670"/>
      <c r="GYI45" s="670"/>
      <c r="GYJ45" s="670"/>
      <c r="GYK45" s="670"/>
      <c r="GYL45" s="670"/>
      <c r="GYM45" s="670"/>
      <c r="GYN45" s="670"/>
      <c r="GYO45" s="670"/>
      <c r="GYP45" s="670"/>
      <c r="GYQ45" s="670"/>
      <c r="GYR45" s="670"/>
      <c r="GYS45" s="670"/>
      <c r="GYT45" s="670"/>
      <c r="GYU45" s="670"/>
      <c r="GYV45" s="670"/>
      <c r="GYW45" s="670"/>
      <c r="GYX45" s="670"/>
      <c r="GYY45" s="670"/>
      <c r="GYZ45" s="670"/>
      <c r="GZA45" s="670"/>
      <c r="GZB45" s="670"/>
      <c r="GZC45" s="670"/>
      <c r="GZD45" s="670"/>
      <c r="GZE45" s="670"/>
      <c r="GZF45" s="670"/>
      <c r="GZG45" s="670"/>
      <c r="GZH45" s="670"/>
      <c r="GZI45" s="670"/>
      <c r="GZJ45" s="670"/>
      <c r="GZK45" s="670"/>
      <c r="GZL45" s="670"/>
      <c r="GZM45" s="670"/>
      <c r="GZN45" s="670"/>
      <c r="GZO45" s="670"/>
      <c r="GZP45" s="670"/>
      <c r="GZQ45" s="670"/>
      <c r="GZR45" s="670"/>
      <c r="GZS45" s="670"/>
      <c r="GZT45" s="670"/>
      <c r="GZU45" s="670"/>
      <c r="GZV45" s="670"/>
      <c r="GZW45" s="670"/>
      <c r="GZX45" s="670"/>
      <c r="GZY45" s="670"/>
      <c r="GZZ45" s="670"/>
      <c r="HAA45" s="670"/>
      <c r="HAB45" s="670"/>
      <c r="HAC45" s="670"/>
      <c r="HAD45" s="670"/>
      <c r="HAE45" s="670"/>
      <c r="HAF45" s="670"/>
      <c r="HAG45" s="670"/>
      <c r="HAH45" s="670"/>
      <c r="HAI45" s="670"/>
      <c r="HAJ45" s="670"/>
      <c r="HAK45" s="670"/>
      <c r="HAL45" s="670"/>
      <c r="HAM45" s="670"/>
      <c r="HAN45" s="670"/>
      <c r="HAO45" s="670"/>
      <c r="HAP45" s="670"/>
      <c r="HAQ45" s="670"/>
      <c r="HAR45" s="670"/>
      <c r="HAS45" s="670"/>
      <c r="HAT45" s="670"/>
      <c r="HAU45" s="670"/>
      <c r="HAV45" s="670"/>
      <c r="HAW45" s="670"/>
      <c r="HAX45" s="670"/>
      <c r="HAY45" s="670"/>
      <c r="HAZ45" s="670"/>
      <c r="HBA45" s="670"/>
      <c r="HBB45" s="670"/>
      <c r="HBC45" s="670"/>
      <c r="HBD45" s="670"/>
      <c r="HBE45" s="670"/>
      <c r="HBF45" s="670"/>
      <c r="HBG45" s="670"/>
      <c r="HBH45" s="670"/>
      <c r="HBI45" s="670"/>
      <c r="HBJ45" s="670"/>
      <c r="HBK45" s="670"/>
      <c r="HBL45" s="670"/>
      <c r="HBM45" s="670"/>
      <c r="HBN45" s="670"/>
      <c r="HBO45" s="670"/>
      <c r="HBP45" s="670"/>
      <c r="HBQ45" s="670"/>
      <c r="HBR45" s="670"/>
      <c r="HBS45" s="670"/>
      <c r="HBT45" s="670"/>
      <c r="HBU45" s="670"/>
      <c r="HBV45" s="670"/>
      <c r="HBW45" s="670"/>
      <c r="HBX45" s="670"/>
      <c r="HBY45" s="670"/>
      <c r="HBZ45" s="670"/>
      <c r="HCA45" s="670"/>
      <c r="HCB45" s="670"/>
      <c r="HCC45" s="670"/>
      <c r="HCD45" s="670"/>
      <c r="HCE45" s="670"/>
      <c r="HCF45" s="670"/>
      <c r="HCG45" s="670"/>
      <c r="HCH45" s="670"/>
      <c r="HCI45" s="670"/>
      <c r="HCJ45" s="670"/>
      <c r="HCK45" s="670"/>
      <c r="HCL45" s="670"/>
      <c r="HCM45" s="670"/>
      <c r="HCN45" s="670"/>
      <c r="HCO45" s="670"/>
      <c r="HCP45" s="670"/>
      <c r="HCQ45" s="670"/>
      <c r="HCR45" s="670"/>
      <c r="HCS45" s="670"/>
      <c r="HCT45" s="670"/>
      <c r="HCU45" s="670"/>
      <c r="HCV45" s="670"/>
      <c r="HCW45" s="670"/>
      <c r="HCX45" s="670"/>
      <c r="HCY45" s="670"/>
      <c r="HCZ45" s="670"/>
      <c r="HDA45" s="670"/>
      <c r="HDB45" s="670"/>
      <c r="HDC45" s="670"/>
      <c r="HDD45" s="670"/>
      <c r="HDE45" s="670"/>
      <c r="HDF45" s="670"/>
      <c r="HDG45" s="670"/>
      <c r="HDH45" s="670"/>
      <c r="HDI45" s="670"/>
      <c r="HDJ45" s="670"/>
      <c r="HDK45" s="670"/>
      <c r="HDL45" s="670"/>
      <c r="HDM45" s="670"/>
      <c r="HDN45" s="670"/>
      <c r="HDO45" s="670"/>
      <c r="HDP45" s="670"/>
      <c r="HDQ45" s="670"/>
      <c r="HDR45" s="670"/>
      <c r="HDS45" s="670"/>
      <c r="HDT45" s="670"/>
      <c r="HDU45" s="670"/>
      <c r="HDV45" s="670"/>
      <c r="HDW45" s="670"/>
      <c r="HDX45" s="670"/>
      <c r="HDY45" s="670"/>
      <c r="HDZ45" s="670"/>
      <c r="HEA45" s="670"/>
      <c r="HEB45" s="670"/>
      <c r="HEC45" s="670"/>
      <c r="HED45" s="670"/>
      <c r="HEE45" s="670"/>
      <c r="HEF45" s="670"/>
      <c r="HEG45" s="670"/>
      <c r="HEH45" s="670"/>
      <c r="HEI45" s="670"/>
      <c r="HEJ45" s="670"/>
      <c r="HEK45" s="670"/>
      <c r="HEL45" s="670"/>
      <c r="HEM45" s="670"/>
      <c r="HEN45" s="670"/>
      <c r="HEO45" s="670"/>
      <c r="HEP45" s="670"/>
      <c r="HEQ45" s="670"/>
      <c r="HER45" s="670"/>
      <c r="HES45" s="670"/>
      <c r="HET45" s="670"/>
      <c r="HEU45" s="670"/>
      <c r="HEV45" s="670"/>
      <c r="HEW45" s="670"/>
      <c r="HEX45" s="670"/>
      <c r="HEY45" s="670"/>
      <c r="HEZ45" s="670"/>
      <c r="HFA45" s="670"/>
      <c r="HFB45" s="670"/>
      <c r="HFC45" s="670"/>
      <c r="HFD45" s="670"/>
      <c r="HFE45" s="670"/>
      <c r="HFF45" s="670"/>
      <c r="HFG45" s="670"/>
      <c r="HFH45" s="670"/>
      <c r="HFI45" s="670"/>
      <c r="HFJ45" s="670"/>
      <c r="HFK45" s="670"/>
      <c r="HFL45" s="670"/>
      <c r="HFM45" s="670"/>
      <c r="HFN45" s="670"/>
      <c r="HFO45" s="670"/>
      <c r="HFP45" s="670"/>
      <c r="HFQ45" s="670"/>
      <c r="HFR45" s="670"/>
      <c r="HFS45" s="670"/>
      <c r="HFT45" s="670"/>
      <c r="HFU45" s="670"/>
      <c r="HFV45" s="670"/>
      <c r="HFW45" s="670"/>
      <c r="HFX45" s="670"/>
      <c r="HFY45" s="670"/>
      <c r="HFZ45" s="670"/>
      <c r="HGA45" s="670"/>
      <c r="HGB45" s="670"/>
      <c r="HGC45" s="670"/>
      <c r="HGD45" s="670"/>
      <c r="HGE45" s="670"/>
      <c r="HGF45" s="670"/>
      <c r="HGG45" s="670"/>
      <c r="HGH45" s="670"/>
      <c r="HGI45" s="670"/>
      <c r="HGJ45" s="670"/>
      <c r="HGK45" s="670"/>
      <c r="HGL45" s="670"/>
      <c r="HGM45" s="670"/>
      <c r="HGN45" s="670"/>
      <c r="HGO45" s="670"/>
      <c r="HGP45" s="670"/>
      <c r="HGQ45" s="670"/>
      <c r="HGR45" s="670"/>
      <c r="HGS45" s="670"/>
      <c r="HGT45" s="670"/>
      <c r="HGU45" s="670"/>
      <c r="HGV45" s="670"/>
      <c r="HGW45" s="670"/>
      <c r="HGX45" s="670"/>
      <c r="HGY45" s="670"/>
      <c r="HGZ45" s="670"/>
      <c r="HHA45" s="670"/>
      <c r="HHB45" s="670"/>
      <c r="HHC45" s="670"/>
      <c r="HHD45" s="670"/>
      <c r="HHE45" s="670"/>
      <c r="HHF45" s="670"/>
      <c r="HHG45" s="670"/>
      <c r="HHH45" s="670"/>
      <c r="HHI45" s="670"/>
      <c r="HHJ45" s="670"/>
      <c r="HHK45" s="670"/>
      <c r="HHL45" s="670"/>
      <c r="HHM45" s="670"/>
      <c r="HHN45" s="670"/>
      <c r="HHO45" s="670"/>
      <c r="HHP45" s="670"/>
      <c r="HHQ45" s="670"/>
      <c r="HHR45" s="670"/>
      <c r="HHS45" s="670"/>
      <c r="HHT45" s="670"/>
      <c r="HHU45" s="670"/>
      <c r="HHV45" s="670"/>
      <c r="HHW45" s="670"/>
      <c r="HHX45" s="670"/>
      <c r="HHY45" s="670"/>
      <c r="HHZ45" s="670"/>
      <c r="HIA45" s="670"/>
      <c r="HIB45" s="670"/>
      <c r="HIC45" s="670"/>
      <c r="HID45" s="670"/>
      <c r="HIE45" s="670"/>
      <c r="HIF45" s="670"/>
      <c r="HIG45" s="670"/>
      <c r="HIH45" s="670"/>
      <c r="HII45" s="670"/>
      <c r="HIJ45" s="670"/>
      <c r="HIK45" s="670"/>
      <c r="HIL45" s="670"/>
      <c r="HIM45" s="670"/>
      <c r="HIN45" s="670"/>
      <c r="HIO45" s="670"/>
      <c r="HIP45" s="670"/>
      <c r="HIQ45" s="670"/>
      <c r="HIR45" s="670"/>
      <c r="HIS45" s="670"/>
      <c r="HIT45" s="670"/>
      <c r="HIU45" s="670"/>
      <c r="HIV45" s="670"/>
      <c r="HIW45" s="670"/>
      <c r="HIX45" s="670"/>
      <c r="HIY45" s="670"/>
      <c r="HIZ45" s="670"/>
      <c r="HJA45" s="670"/>
      <c r="HJB45" s="670"/>
      <c r="HJC45" s="670"/>
      <c r="HJD45" s="670"/>
      <c r="HJE45" s="670"/>
      <c r="HJF45" s="670"/>
      <c r="HJG45" s="670"/>
      <c r="HJH45" s="670"/>
      <c r="HJI45" s="670"/>
      <c r="HJJ45" s="670"/>
      <c r="HJK45" s="670"/>
      <c r="HJL45" s="670"/>
      <c r="HJM45" s="670"/>
      <c r="HJN45" s="670"/>
      <c r="HJO45" s="670"/>
      <c r="HJP45" s="670"/>
      <c r="HJQ45" s="670"/>
      <c r="HJR45" s="670"/>
      <c r="HJS45" s="670"/>
      <c r="HJT45" s="670"/>
      <c r="HJU45" s="670"/>
      <c r="HJV45" s="670"/>
      <c r="HJW45" s="670"/>
      <c r="HJX45" s="670"/>
      <c r="HJY45" s="670"/>
      <c r="HJZ45" s="670"/>
      <c r="HKA45" s="670"/>
      <c r="HKB45" s="670"/>
      <c r="HKC45" s="670"/>
      <c r="HKD45" s="670"/>
      <c r="HKE45" s="670"/>
      <c r="HKF45" s="670"/>
      <c r="HKG45" s="670"/>
      <c r="HKH45" s="670"/>
      <c r="HKI45" s="670"/>
      <c r="HKJ45" s="670"/>
      <c r="HKK45" s="670"/>
      <c r="HKL45" s="670"/>
      <c r="HKM45" s="670"/>
      <c r="HKN45" s="670"/>
      <c r="HKO45" s="670"/>
      <c r="HKP45" s="670"/>
      <c r="HKQ45" s="670"/>
      <c r="HKR45" s="670"/>
      <c r="HKS45" s="670"/>
      <c r="HKT45" s="670"/>
      <c r="HKU45" s="670"/>
      <c r="HKV45" s="670"/>
      <c r="HKW45" s="670"/>
      <c r="HKX45" s="670"/>
      <c r="HKY45" s="670"/>
      <c r="HKZ45" s="670"/>
      <c r="HLA45" s="670"/>
      <c r="HLB45" s="670"/>
      <c r="HLC45" s="670"/>
      <c r="HLD45" s="670"/>
      <c r="HLE45" s="670"/>
      <c r="HLF45" s="670"/>
      <c r="HLG45" s="670"/>
      <c r="HLH45" s="670"/>
      <c r="HLI45" s="670"/>
      <c r="HLJ45" s="670"/>
      <c r="HLK45" s="670"/>
      <c r="HLL45" s="670"/>
      <c r="HLM45" s="670"/>
      <c r="HLN45" s="670"/>
      <c r="HLO45" s="670"/>
      <c r="HLP45" s="670"/>
      <c r="HLQ45" s="670"/>
      <c r="HLR45" s="670"/>
      <c r="HLS45" s="670"/>
      <c r="HLT45" s="670"/>
      <c r="HLU45" s="670"/>
      <c r="HLV45" s="670"/>
      <c r="HLW45" s="670"/>
      <c r="HLX45" s="670"/>
      <c r="HLY45" s="670"/>
      <c r="HLZ45" s="670"/>
      <c r="HMA45" s="670"/>
      <c r="HMB45" s="670"/>
      <c r="HMC45" s="670"/>
      <c r="HMD45" s="670"/>
      <c r="HME45" s="670"/>
      <c r="HMF45" s="670"/>
      <c r="HMG45" s="670"/>
      <c r="HMH45" s="670"/>
      <c r="HMI45" s="670"/>
      <c r="HMJ45" s="670"/>
      <c r="HMK45" s="670"/>
      <c r="HML45" s="670"/>
      <c r="HMM45" s="670"/>
      <c r="HMN45" s="670"/>
      <c r="HMO45" s="670"/>
      <c r="HMP45" s="670"/>
      <c r="HMQ45" s="670"/>
      <c r="HMR45" s="670"/>
      <c r="HMS45" s="670"/>
      <c r="HMT45" s="670"/>
      <c r="HMU45" s="670"/>
      <c r="HMV45" s="670"/>
      <c r="HMW45" s="670"/>
      <c r="HMX45" s="670"/>
      <c r="HMY45" s="670"/>
      <c r="HMZ45" s="670"/>
      <c r="HNA45" s="670"/>
      <c r="HNB45" s="670"/>
      <c r="HNC45" s="670"/>
      <c r="HND45" s="670"/>
      <c r="HNE45" s="670"/>
      <c r="HNF45" s="670"/>
      <c r="HNG45" s="670"/>
      <c r="HNH45" s="670"/>
      <c r="HNI45" s="670"/>
      <c r="HNJ45" s="670"/>
      <c r="HNK45" s="670"/>
      <c r="HNL45" s="670"/>
      <c r="HNM45" s="670"/>
      <c r="HNN45" s="670"/>
      <c r="HNO45" s="670"/>
      <c r="HNP45" s="670"/>
      <c r="HNQ45" s="670"/>
      <c r="HNR45" s="670"/>
      <c r="HNS45" s="670"/>
      <c r="HNT45" s="670"/>
      <c r="HNU45" s="670"/>
      <c r="HNV45" s="670"/>
      <c r="HNW45" s="670"/>
      <c r="HNX45" s="670"/>
      <c r="HNY45" s="670"/>
      <c r="HNZ45" s="670"/>
      <c r="HOA45" s="670"/>
      <c r="HOB45" s="670"/>
      <c r="HOC45" s="670"/>
      <c r="HOD45" s="670"/>
      <c r="HOE45" s="670"/>
      <c r="HOF45" s="670"/>
      <c r="HOG45" s="670"/>
      <c r="HOH45" s="670"/>
      <c r="HOI45" s="670"/>
      <c r="HOJ45" s="670"/>
      <c r="HOK45" s="670"/>
      <c r="HOL45" s="670"/>
      <c r="HOM45" s="670"/>
      <c r="HON45" s="670"/>
      <c r="HOO45" s="670"/>
      <c r="HOP45" s="670"/>
      <c r="HOQ45" s="670"/>
      <c r="HOR45" s="670"/>
      <c r="HOS45" s="670"/>
      <c r="HOT45" s="670"/>
      <c r="HOU45" s="670"/>
      <c r="HOV45" s="670"/>
      <c r="HOW45" s="670"/>
      <c r="HOX45" s="670"/>
      <c r="HOY45" s="670"/>
      <c r="HOZ45" s="670"/>
      <c r="HPA45" s="670"/>
      <c r="HPB45" s="670"/>
      <c r="HPC45" s="670"/>
      <c r="HPD45" s="670"/>
      <c r="HPE45" s="670"/>
      <c r="HPF45" s="670"/>
      <c r="HPG45" s="670"/>
      <c r="HPH45" s="670"/>
      <c r="HPI45" s="670"/>
      <c r="HPJ45" s="670"/>
      <c r="HPK45" s="670"/>
      <c r="HPL45" s="670"/>
      <c r="HPM45" s="670"/>
      <c r="HPN45" s="670"/>
      <c r="HPO45" s="670"/>
      <c r="HPP45" s="670"/>
      <c r="HPQ45" s="670"/>
      <c r="HPR45" s="670"/>
      <c r="HPS45" s="670"/>
      <c r="HPT45" s="670"/>
      <c r="HPU45" s="670"/>
      <c r="HPV45" s="670"/>
      <c r="HPW45" s="670"/>
      <c r="HPX45" s="670"/>
      <c r="HPY45" s="670"/>
      <c r="HPZ45" s="670"/>
      <c r="HQA45" s="670"/>
      <c r="HQB45" s="670"/>
      <c r="HQC45" s="670"/>
      <c r="HQD45" s="670"/>
      <c r="HQE45" s="670"/>
      <c r="HQF45" s="670"/>
      <c r="HQG45" s="670"/>
      <c r="HQH45" s="670"/>
      <c r="HQI45" s="670"/>
      <c r="HQJ45" s="670"/>
      <c r="HQK45" s="670"/>
      <c r="HQL45" s="670"/>
      <c r="HQM45" s="670"/>
      <c r="HQN45" s="670"/>
      <c r="HQO45" s="670"/>
      <c r="HQP45" s="670"/>
      <c r="HQQ45" s="670"/>
      <c r="HQR45" s="670"/>
      <c r="HQS45" s="670"/>
      <c r="HQT45" s="670"/>
      <c r="HQU45" s="670"/>
      <c r="HQV45" s="670"/>
      <c r="HQW45" s="670"/>
      <c r="HQX45" s="670"/>
      <c r="HQY45" s="670"/>
      <c r="HQZ45" s="670"/>
      <c r="HRA45" s="670"/>
      <c r="HRB45" s="670"/>
      <c r="HRC45" s="670"/>
      <c r="HRD45" s="670"/>
      <c r="HRE45" s="670"/>
      <c r="HRF45" s="670"/>
      <c r="HRG45" s="670"/>
      <c r="HRH45" s="670"/>
      <c r="HRI45" s="670"/>
      <c r="HRJ45" s="670"/>
      <c r="HRK45" s="670"/>
      <c r="HRL45" s="670"/>
      <c r="HRM45" s="670"/>
      <c r="HRN45" s="670"/>
      <c r="HRO45" s="670"/>
      <c r="HRP45" s="670"/>
      <c r="HRQ45" s="670"/>
      <c r="HRR45" s="670"/>
      <c r="HRS45" s="670"/>
      <c r="HRT45" s="670"/>
      <c r="HRU45" s="670"/>
      <c r="HRV45" s="670"/>
      <c r="HRW45" s="670"/>
      <c r="HRX45" s="670"/>
      <c r="HRY45" s="670"/>
      <c r="HRZ45" s="670"/>
      <c r="HSA45" s="670"/>
      <c r="HSB45" s="670"/>
      <c r="HSC45" s="670"/>
      <c r="HSD45" s="670"/>
      <c r="HSE45" s="670"/>
      <c r="HSF45" s="670"/>
      <c r="HSG45" s="670"/>
      <c r="HSH45" s="670"/>
      <c r="HSI45" s="670"/>
      <c r="HSJ45" s="670"/>
      <c r="HSK45" s="670"/>
      <c r="HSL45" s="670"/>
      <c r="HSM45" s="670"/>
      <c r="HSN45" s="670"/>
      <c r="HSO45" s="670"/>
      <c r="HSP45" s="670"/>
      <c r="HSQ45" s="670"/>
      <c r="HSR45" s="670"/>
      <c r="HSS45" s="670"/>
      <c r="HST45" s="670"/>
      <c r="HSU45" s="670"/>
      <c r="HSV45" s="670"/>
      <c r="HSW45" s="670"/>
      <c r="HSX45" s="670"/>
      <c r="HSY45" s="670"/>
      <c r="HSZ45" s="670"/>
      <c r="HTA45" s="670"/>
      <c r="HTB45" s="670"/>
      <c r="HTC45" s="670"/>
      <c r="HTD45" s="670"/>
      <c r="HTE45" s="670"/>
      <c r="HTF45" s="670"/>
      <c r="HTG45" s="670"/>
      <c r="HTH45" s="670"/>
      <c r="HTI45" s="670"/>
      <c r="HTJ45" s="670"/>
      <c r="HTK45" s="670"/>
      <c r="HTL45" s="670"/>
      <c r="HTM45" s="670"/>
      <c r="HTN45" s="670"/>
      <c r="HTO45" s="670"/>
      <c r="HTP45" s="670"/>
      <c r="HTQ45" s="670"/>
      <c r="HTR45" s="670"/>
      <c r="HTS45" s="670"/>
      <c r="HTT45" s="670"/>
      <c r="HTU45" s="670"/>
      <c r="HTV45" s="670"/>
      <c r="HTW45" s="670"/>
      <c r="HTX45" s="670"/>
      <c r="HTY45" s="670"/>
      <c r="HTZ45" s="670"/>
      <c r="HUA45" s="670"/>
      <c r="HUB45" s="670"/>
      <c r="HUC45" s="670"/>
      <c r="HUD45" s="670"/>
      <c r="HUE45" s="670"/>
      <c r="HUF45" s="670"/>
      <c r="HUG45" s="670"/>
      <c r="HUH45" s="670"/>
      <c r="HUI45" s="670"/>
      <c r="HUJ45" s="670"/>
      <c r="HUK45" s="670"/>
      <c r="HUL45" s="670"/>
      <c r="HUM45" s="670"/>
      <c r="HUN45" s="670"/>
      <c r="HUO45" s="670"/>
      <c r="HUP45" s="670"/>
      <c r="HUQ45" s="670"/>
      <c r="HUR45" s="670"/>
      <c r="HUS45" s="670"/>
      <c r="HUT45" s="670"/>
      <c r="HUU45" s="670"/>
      <c r="HUV45" s="670"/>
      <c r="HUW45" s="670"/>
      <c r="HUX45" s="670"/>
      <c r="HUY45" s="670"/>
      <c r="HUZ45" s="670"/>
      <c r="HVA45" s="670"/>
      <c r="HVB45" s="670"/>
      <c r="HVC45" s="670"/>
      <c r="HVD45" s="670"/>
      <c r="HVE45" s="670"/>
      <c r="HVF45" s="670"/>
      <c r="HVG45" s="670"/>
      <c r="HVH45" s="670"/>
      <c r="HVI45" s="670"/>
      <c r="HVJ45" s="670"/>
      <c r="HVK45" s="670"/>
      <c r="HVL45" s="670"/>
      <c r="HVM45" s="670"/>
      <c r="HVN45" s="670"/>
      <c r="HVO45" s="670"/>
      <c r="HVP45" s="670"/>
      <c r="HVQ45" s="670"/>
      <c r="HVR45" s="670"/>
      <c r="HVS45" s="670"/>
      <c r="HVT45" s="670"/>
      <c r="HVU45" s="670"/>
      <c r="HVV45" s="670"/>
      <c r="HVW45" s="670"/>
      <c r="HVX45" s="670"/>
      <c r="HVY45" s="670"/>
      <c r="HVZ45" s="670"/>
      <c r="HWA45" s="670"/>
      <c r="HWB45" s="670"/>
      <c r="HWC45" s="670"/>
      <c r="HWD45" s="670"/>
      <c r="HWE45" s="670"/>
      <c r="HWF45" s="670"/>
      <c r="HWG45" s="670"/>
      <c r="HWH45" s="670"/>
      <c r="HWI45" s="670"/>
      <c r="HWJ45" s="670"/>
      <c r="HWK45" s="670"/>
      <c r="HWL45" s="670"/>
      <c r="HWM45" s="670"/>
      <c r="HWN45" s="670"/>
      <c r="HWO45" s="670"/>
      <c r="HWP45" s="670"/>
      <c r="HWQ45" s="670"/>
      <c r="HWR45" s="670"/>
      <c r="HWS45" s="670"/>
      <c r="HWT45" s="670"/>
      <c r="HWU45" s="670"/>
      <c r="HWV45" s="670"/>
      <c r="HWW45" s="670"/>
      <c r="HWX45" s="670"/>
      <c r="HWY45" s="670"/>
      <c r="HWZ45" s="670"/>
      <c r="HXA45" s="670"/>
      <c r="HXB45" s="670"/>
      <c r="HXC45" s="670"/>
      <c r="HXD45" s="670"/>
      <c r="HXE45" s="670"/>
      <c r="HXF45" s="670"/>
      <c r="HXG45" s="670"/>
      <c r="HXH45" s="670"/>
      <c r="HXI45" s="670"/>
      <c r="HXJ45" s="670"/>
      <c r="HXK45" s="670"/>
      <c r="HXL45" s="670"/>
      <c r="HXM45" s="670"/>
      <c r="HXN45" s="670"/>
      <c r="HXO45" s="670"/>
      <c r="HXP45" s="670"/>
      <c r="HXQ45" s="670"/>
      <c r="HXR45" s="670"/>
      <c r="HXS45" s="670"/>
      <c r="HXT45" s="670"/>
      <c r="HXU45" s="670"/>
      <c r="HXV45" s="670"/>
      <c r="HXW45" s="670"/>
      <c r="HXX45" s="670"/>
      <c r="HXY45" s="670"/>
      <c r="HXZ45" s="670"/>
      <c r="HYA45" s="670"/>
      <c r="HYB45" s="670"/>
      <c r="HYC45" s="670"/>
      <c r="HYD45" s="670"/>
      <c r="HYE45" s="670"/>
      <c r="HYF45" s="670"/>
      <c r="HYG45" s="670"/>
      <c r="HYH45" s="670"/>
      <c r="HYI45" s="670"/>
      <c r="HYJ45" s="670"/>
      <c r="HYK45" s="670"/>
      <c r="HYL45" s="670"/>
      <c r="HYM45" s="670"/>
      <c r="HYN45" s="670"/>
      <c r="HYO45" s="670"/>
      <c r="HYP45" s="670"/>
      <c r="HYQ45" s="670"/>
      <c r="HYR45" s="670"/>
      <c r="HYS45" s="670"/>
      <c r="HYT45" s="670"/>
      <c r="HYU45" s="670"/>
      <c r="HYV45" s="670"/>
      <c r="HYW45" s="670"/>
      <c r="HYX45" s="670"/>
      <c r="HYY45" s="670"/>
      <c r="HYZ45" s="670"/>
      <c r="HZA45" s="670"/>
      <c r="HZB45" s="670"/>
      <c r="HZC45" s="670"/>
      <c r="HZD45" s="670"/>
      <c r="HZE45" s="670"/>
      <c r="HZF45" s="670"/>
      <c r="HZG45" s="670"/>
      <c r="HZH45" s="670"/>
      <c r="HZI45" s="670"/>
      <c r="HZJ45" s="670"/>
      <c r="HZK45" s="670"/>
      <c r="HZL45" s="670"/>
      <c r="HZM45" s="670"/>
      <c r="HZN45" s="670"/>
      <c r="HZO45" s="670"/>
      <c r="HZP45" s="670"/>
      <c r="HZQ45" s="670"/>
      <c r="HZR45" s="670"/>
      <c r="HZS45" s="670"/>
      <c r="HZT45" s="670"/>
      <c r="HZU45" s="670"/>
      <c r="HZV45" s="670"/>
      <c r="HZW45" s="670"/>
      <c r="HZX45" s="670"/>
      <c r="HZY45" s="670"/>
      <c r="HZZ45" s="670"/>
      <c r="IAA45" s="670"/>
      <c r="IAB45" s="670"/>
      <c r="IAC45" s="670"/>
      <c r="IAD45" s="670"/>
      <c r="IAE45" s="670"/>
      <c r="IAF45" s="670"/>
      <c r="IAG45" s="670"/>
      <c r="IAH45" s="670"/>
      <c r="IAI45" s="670"/>
      <c r="IAJ45" s="670"/>
      <c r="IAK45" s="670"/>
      <c r="IAL45" s="670"/>
      <c r="IAM45" s="670"/>
      <c r="IAN45" s="670"/>
      <c r="IAO45" s="670"/>
      <c r="IAP45" s="670"/>
      <c r="IAQ45" s="670"/>
      <c r="IAR45" s="670"/>
      <c r="IAS45" s="670"/>
      <c r="IAT45" s="670"/>
      <c r="IAU45" s="670"/>
      <c r="IAV45" s="670"/>
      <c r="IAW45" s="670"/>
      <c r="IAX45" s="670"/>
      <c r="IAY45" s="670"/>
      <c r="IAZ45" s="670"/>
      <c r="IBA45" s="670"/>
      <c r="IBB45" s="670"/>
      <c r="IBC45" s="670"/>
      <c r="IBD45" s="670"/>
      <c r="IBE45" s="670"/>
      <c r="IBF45" s="670"/>
      <c r="IBG45" s="670"/>
      <c r="IBH45" s="670"/>
      <c r="IBI45" s="670"/>
      <c r="IBJ45" s="670"/>
      <c r="IBK45" s="670"/>
      <c r="IBL45" s="670"/>
      <c r="IBM45" s="670"/>
      <c r="IBN45" s="670"/>
      <c r="IBO45" s="670"/>
      <c r="IBP45" s="670"/>
      <c r="IBQ45" s="670"/>
      <c r="IBR45" s="670"/>
      <c r="IBS45" s="670"/>
      <c r="IBT45" s="670"/>
      <c r="IBU45" s="670"/>
      <c r="IBV45" s="670"/>
      <c r="IBW45" s="670"/>
      <c r="IBX45" s="670"/>
      <c r="IBY45" s="670"/>
      <c r="IBZ45" s="670"/>
      <c r="ICA45" s="670"/>
      <c r="ICB45" s="670"/>
      <c r="ICC45" s="670"/>
      <c r="ICD45" s="670"/>
      <c r="ICE45" s="670"/>
      <c r="ICF45" s="670"/>
      <c r="ICG45" s="670"/>
      <c r="ICH45" s="670"/>
      <c r="ICI45" s="670"/>
      <c r="ICJ45" s="670"/>
      <c r="ICK45" s="670"/>
      <c r="ICL45" s="670"/>
      <c r="ICM45" s="670"/>
      <c r="ICN45" s="670"/>
      <c r="ICO45" s="670"/>
      <c r="ICP45" s="670"/>
      <c r="ICQ45" s="670"/>
      <c r="ICR45" s="670"/>
      <c r="ICS45" s="670"/>
      <c r="ICT45" s="670"/>
      <c r="ICU45" s="670"/>
      <c r="ICV45" s="670"/>
      <c r="ICW45" s="670"/>
      <c r="ICX45" s="670"/>
      <c r="ICY45" s="670"/>
      <c r="ICZ45" s="670"/>
      <c r="IDA45" s="670"/>
      <c r="IDB45" s="670"/>
      <c r="IDC45" s="670"/>
      <c r="IDD45" s="670"/>
      <c r="IDE45" s="670"/>
      <c r="IDF45" s="670"/>
      <c r="IDG45" s="670"/>
      <c r="IDH45" s="670"/>
      <c r="IDI45" s="670"/>
      <c r="IDJ45" s="670"/>
      <c r="IDK45" s="670"/>
      <c r="IDL45" s="670"/>
      <c r="IDM45" s="670"/>
      <c r="IDN45" s="670"/>
      <c r="IDO45" s="670"/>
      <c r="IDP45" s="670"/>
      <c r="IDQ45" s="670"/>
      <c r="IDR45" s="670"/>
      <c r="IDS45" s="670"/>
      <c r="IDT45" s="670"/>
      <c r="IDU45" s="670"/>
      <c r="IDV45" s="670"/>
      <c r="IDW45" s="670"/>
      <c r="IDX45" s="670"/>
      <c r="IDY45" s="670"/>
      <c r="IDZ45" s="670"/>
      <c r="IEA45" s="670"/>
      <c r="IEB45" s="670"/>
      <c r="IEC45" s="670"/>
      <c r="IED45" s="670"/>
      <c r="IEE45" s="670"/>
      <c r="IEF45" s="670"/>
      <c r="IEG45" s="670"/>
      <c r="IEH45" s="670"/>
      <c r="IEI45" s="670"/>
      <c r="IEJ45" s="670"/>
      <c r="IEK45" s="670"/>
      <c r="IEL45" s="670"/>
      <c r="IEM45" s="670"/>
      <c r="IEN45" s="670"/>
      <c r="IEO45" s="670"/>
      <c r="IEP45" s="670"/>
      <c r="IEQ45" s="670"/>
      <c r="IER45" s="670"/>
      <c r="IES45" s="670"/>
      <c r="IET45" s="670"/>
      <c r="IEU45" s="670"/>
      <c r="IEV45" s="670"/>
      <c r="IEW45" s="670"/>
      <c r="IEX45" s="670"/>
      <c r="IEY45" s="670"/>
      <c r="IEZ45" s="670"/>
      <c r="IFA45" s="670"/>
      <c r="IFB45" s="670"/>
      <c r="IFC45" s="670"/>
      <c r="IFD45" s="670"/>
      <c r="IFE45" s="670"/>
      <c r="IFF45" s="670"/>
      <c r="IFG45" s="670"/>
      <c r="IFH45" s="670"/>
      <c r="IFI45" s="670"/>
      <c r="IFJ45" s="670"/>
      <c r="IFK45" s="670"/>
      <c r="IFL45" s="670"/>
      <c r="IFM45" s="670"/>
      <c r="IFN45" s="670"/>
      <c r="IFO45" s="670"/>
      <c r="IFP45" s="670"/>
      <c r="IFQ45" s="670"/>
      <c r="IFR45" s="670"/>
      <c r="IFS45" s="670"/>
      <c r="IFT45" s="670"/>
      <c r="IFU45" s="670"/>
      <c r="IFV45" s="670"/>
      <c r="IFW45" s="670"/>
      <c r="IFX45" s="670"/>
      <c r="IFY45" s="670"/>
      <c r="IFZ45" s="670"/>
      <c r="IGA45" s="670"/>
      <c r="IGB45" s="670"/>
      <c r="IGC45" s="670"/>
      <c r="IGD45" s="670"/>
      <c r="IGE45" s="670"/>
      <c r="IGF45" s="670"/>
      <c r="IGG45" s="670"/>
      <c r="IGH45" s="670"/>
      <c r="IGI45" s="670"/>
      <c r="IGJ45" s="670"/>
      <c r="IGK45" s="670"/>
      <c r="IGL45" s="670"/>
      <c r="IGM45" s="670"/>
      <c r="IGN45" s="670"/>
      <c r="IGO45" s="670"/>
      <c r="IGP45" s="670"/>
      <c r="IGQ45" s="670"/>
      <c r="IGR45" s="670"/>
      <c r="IGS45" s="670"/>
      <c r="IGT45" s="670"/>
      <c r="IGU45" s="670"/>
      <c r="IGV45" s="670"/>
      <c r="IGW45" s="670"/>
      <c r="IGX45" s="670"/>
      <c r="IGY45" s="670"/>
      <c r="IGZ45" s="670"/>
      <c r="IHA45" s="670"/>
      <c r="IHB45" s="670"/>
      <c r="IHC45" s="670"/>
      <c r="IHD45" s="670"/>
      <c r="IHE45" s="670"/>
      <c r="IHF45" s="670"/>
      <c r="IHG45" s="670"/>
      <c r="IHH45" s="670"/>
      <c r="IHI45" s="670"/>
      <c r="IHJ45" s="670"/>
      <c r="IHK45" s="670"/>
      <c r="IHL45" s="670"/>
      <c r="IHM45" s="670"/>
      <c r="IHN45" s="670"/>
      <c r="IHO45" s="670"/>
      <c r="IHP45" s="670"/>
      <c r="IHQ45" s="670"/>
      <c r="IHR45" s="670"/>
      <c r="IHS45" s="670"/>
      <c r="IHT45" s="670"/>
      <c r="IHU45" s="670"/>
      <c r="IHV45" s="670"/>
      <c r="IHW45" s="670"/>
      <c r="IHX45" s="670"/>
      <c r="IHY45" s="670"/>
      <c r="IHZ45" s="670"/>
      <c r="IIA45" s="670"/>
      <c r="IIB45" s="670"/>
      <c r="IIC45" s="670"/>
      <c r="IID45" s="670"/>
      <c r="IIE45" s="670"/>
      <c r="IIF45" s="670"/>
      <c r="IIG45" s="670"/>
      <c r="IIH45" s="670"/>
      <c r="III45" s="670"/>
      <c r="IIJ45" s="670"/>
      <c r="IIK45" s="670"/>
      <c r="IIL45" s="670"/>
      <c r="IIM45" s="670"/>
      <c r="IIN45" s="670"/>
      <c r="IIO45" s="670"/>
      <c r="IIP45" s="670"/>
      <c r="IIQ45" s="670"/>
      <c r="IIR45" s="670"/>
      <c r="IIS45" s="670"/>
      <c r="IIT45" s="670"/>
      <c r="IIU45" s="670"/>
      <c r="IIV45" s="670"/>
      <c r="IIW45" s="670"/>
      <c r="IIX45" s="670"/>
      <c r="IIY45" s="670"/>
      <c r="IIZ45" s="670"/>
      <c r="IJA45" s="670"/>
      <c r="IJB45" s="670"/>
      <c r="IJC45" s="670"/>
      <c r="IJD45" s="670"/>
      <c r="IJE45" s="670"/>
      <c r="IJF45" s="670"/>
      <c r="IJG45" s="670"/>
      <c r="IJH45" s="670"/>
      <c r="IJI45" s="670"/>
      <c r="IJJ45" s="670"/>
      <c r="IJK45" s="670"/>
      <c r="IJL45" s="670"/>
      <c r="IJM45" s="670"/>
      <c r="IJN45" s="670"/>
      <c r="IJO45" s="670"/>
      <c r="IJP45" s="670"/>
      <c r="IJQ45" s="670"/>
      <c r="IJR45" s="670"/>
      <c r="IJS45" s="670"/>
      <c r="IJT45" s="670"/>
      <c r="IJU45" s="670"/>
      <c r="IJV45" s="670"/>
      <c r="IJW45" s="670"/>
      <c r="IJX45" s="670"/>
      <c r="IJY45" s="670"/>
      <c r="IJZ45" s="670"/>
      <c r="IKA45" s="670"/>
      <c r="IKB45" s="670"/>
      <c r="IKC45" s="670"/>
      <c r="IKD45" s="670"/>
      <c r="IKE45" s="670"/>
      <c r="IKF45" s="670"/>
      <c r="IKG45" s="670"/>
      <c r="IKH45" s="670"/>
      <c r="IKI45" s="670"/>
      <c r="IKJ45" s="670"/>
      <c r="IKK45" s="670"/>
      <c r="IKL45" s="670"/>
      <c r="IKM45" s="670"/>
      <c r="IKN45" s="670"/>
      <c r="IKO45" s="670"/>
      <c r="IKP45" s="670"/>
      <c r="IKQ45" s="670"/>
      <c r="IKR45" s="670"/>
      <c r="IKS45" s="670"/>
      <c r="IKT45" s="670"/>
      <c r="IKU45" s="670"/>
      <c r="IKV45" s="670"/>
      <c r="IKW45" s="670"/>
      <c r="IKX45" s="670"/>
      <c r="IKY45" s="670"/>
      <c r="IKZ45" s="670"/>
      <c r="ILA45" s="670"/>
      <c r="ILB45" s="670"/>
      <c r="ILC45" s="670"/>
      <c r="ILD45" s="670"/>
      <c r="ILE45" s="670"/>
      <c r="ILF45" s="670"/>
      <c r="ILG45" s="670"/>
      <c r="ILH45" s="670"/>
      <c r="ILI45" s="670"/>
      <c r="ILJ45" s="670"/>
      <c r="ILK45" s="670"/>
      <c r="ILL45" s="670"/>
      <c r="ILM45" s="670"/>
      <c r="ILN45" s="670"/>
      <c r="ILO45" s="670"/>
      <c r="ILP45" s="670"/>
      <c r="ILQ45" s="670"/>
      <c r="ILR45" s="670"/>
      <c r="ILS45" s="670"/>
      <c r="ILT45" s="670"/>
      <c r="ILU45" s="670"/>
      <c r="ILV45" s="670"/>
      <c r="ILW45" s="670"/>
      <c r="ILX45" s="670"/>
      <c r="ILY45" s="670"/>
      <c r="ILZ45" s="670"/>
      <c r="IMA45" s="670"/>
      <c r="IMB45" s="670"/>
      <c r="IMC45" s="670"/>
      <c r="IMD45" s="670"/>
      <c r="IME45" s="670"/>
      <c r="IMF45" s="670"/>
      <c r="IMG45" s="670"/>
      <c r="IMH45" s="670"/>
      <c r="IMI45" s="670"/>
      <c r="IMJ45" s="670"/>
      <c r="IMK45" s="670"/>
      <c r="IML45" s="670"/>
      <c r="IMM45" s="670"/>
      <c r="IMN45" s="670"/>
      <c r="IMO45" s="670"/>
      <c r="IMP45" s="670"/>
      <c r="IMQ45" s="670"/>
      <c r="IMR45" s="670"/>
      <c r="IMS45" s="670"/>
      <c r="IMT45" s="670"/>
      <c r="IMU45" s="670"/>
      <c r="IMV45" s="670"/>
      <c r="IMW45" s="670"/>
      <c r="IMX45" s="670"/>
      <c r="IMY45" s="670"/>
      <c r="IMZ45" s="670"/>
      <c r="INA45" s="670"/>
      <c r="INB45" s="670"/>
      <c r="INC45" s="670"/>
      <c r="IND45" s="670"/>
      <c r="INE45" s="670"/>
      <c r="INF45" s="670"/>
      <c r="ING45" s="670"/>
      <c r="INH45" s="670"/>
      <c r="INI45" s="670"/>
      <c r="INJ45" s="670"/>
      <c r="INK45" s="670"/>
      <c r="INL45" s="670"/>
      <c r="INM45" s="670"/>
      <c r="INN45" s="670"/>
      <c r="INO45" s="670"/>
      <c r="INP45" s="670"/>
      <c r="INQ45" s="670"/>
      <c r="INR45" s="670"/>
      <c r="INS45" s="670"/>
      <c r="INT45" s="670"/>
      <c r="INU45" s="670"/>
      <c r="INV45" s="670"/>
      <c r="INW45" s="670"/>
      <c r="INX45" s="670"/>
      <c r="INY45" s="670"/>
      <c r="INZ45" s="670"/>
      <c r="IOA45" s="670"/>
      <c r="IOB45" s="670"/>
      <c r="IOC45" s="670"/>
      <c r="IOD45" s="670"/>
      <c r="IOE45" s="670"/>
      <c r="IOF45" s="670"/>
      <c r="IOG45" s="670"/>
      <c r="IOH45" s="670"/>
      <c r="IOI45" s="670"/>
      <c r="IOJ45" s="670"/>
      <c r="IOK45" s="670"/>
      <c r="IOL45" s="670"/>
      <c r="IOM45" s="670"/>
      <c r="ION45" s="670"/>
      <c r="IOO45" s="670"/>
      <c r="IOP45" s="670"/>
      <c r="IOQ45" s="670"/>
      <c r="IOR45" s="670"/>
      <c r="IOS45" s="670"/>
      <c r="IOT45" s="670"/>
      <c r="IOU45" s="670"/>
      <c r="IOV45" s="670"/>
      <c r="IOW45" s="670"/>
      <c r="IOX45" s="670"/>
      <c r="IOY45" s="670"/>
      <c r="IOZ45" s="670"/>
      <c r="IPA45" s="670"/>
      <c r="IPB45" s="670"/>
      <c r="IPC45" s="670"/>
      <c r="IPD45" s="670"/>
      <c r="IPE45" s="670"/>
      <c r="IPF45" s="670"/>
      <c r="IPG45" s="670"/>
      <c r="IPH45" s="670"/>
      <c r="IPI45" s="670"/>
      <c r="IPJ45" s="670"/>
      <c r="IPK45" s="670"/>
      <c r="IPL45" s="670"/>
      <c r="IPM45" s="670"/>
      <c r="IPN45" s="670"/>
      <c r="IPO45" s="670"/>
      <c r="IPP45" s="670"/>
      <c r="IPQ45" s="670"/>
      <c r="IPR45" s="670"/>
      <c r="IPS45" s="670"/>
      <c r="IPT45" s="670"/>
      <c r="IPU45" s="670"/>
      <c r="IPV45" s="670"/>
      <c r="IPW45" s="670"/>
      <c r="IPX45" s="670"/>
      <c r="IPY45" s="670"/>
      <c r="IPZ45" s="670"/>
      <c r="IQA45" s="670"/>
      <c r="IQB45" s="670"/>
      <c r="IQC45" s="670"/>
      <c r="IQD45" s="670"/>
      <c r="IQE45" s="670"/>
      <c r="IQF45" s="670"/>
      <c r="IQG45" s="670"/>
      <c r="IQH45" s="670"/>
      <c r="IQI45" s="670"/>
      <c r="IQJ45" s="670"/>
      <c r="IQK45" s="670"/>
      <c r="IQL45" s="670"/>
      <c r="IQM45" s="670"/>
      <c r="IQN45" s="670"/>
      <c r="IQO45" s="670"/>
      <c r="IQP45" s="670"/>
      <c r="IQQ45" s="670"/>
      <c r="IQR45" s="670"/>
      <c r="IQS45" s="670"/>
      <c r="IQT45" s="670"/>
      <c r="IQU45" s="670"/>
      <c r="IQV45" s="670"/>
      <c r="IQW45" s="670"/>
      <c r="IQX45" s="670"/>
      <c r="IQY45" s="670"/>
      <c r="IQZ45" s="670"/>
      <c r="IRA45" s="670"/>
      <c r="IRB45" s="670"/>
      <c r="IRC45" s="670"/>
      <c r="IRD45" s="670"/>
      <c r="IRE45" s="670"/>
      <c r="IRF45" s="670"/>
      <c r="IRG45" s="670"/>
      <c r="IRH45" s="670"/>
      <c r="IRI45" s="670"/>
      <c r="IRJ45" s="670"/>
      <c r="IRK45" s="670"/>
      <c r="IRL45" s="670"/>
      <c r="IRM45" s="670"/>
      <c r="IRN45" s="670"/>
      <c r="IRO45" s="670"/>
      <c r="IRP45" s="670"/>
      <c r="IRQ45" s="670"/>
      <c r="IRR45" s="670"/>
      <c r="IRS45" s="670"/>
      <c r="IRT45" s="670"/>
      <c r="IRU45" s="670"/>
      <c r="IRV45" s="670"/>
      <c r="IRW45" s="670"/>
      <c r="IRX45" s="670"/>
      <c r="IRY45" s="670"/>
      <c r="IRZ45" s="670"/>
      <c r="ISA45" s="670"/>
      <c r="ISB45" s="670"/>
      <c r="ISC45" s="670"/>
      <c r="ISD45" s="670"/>
      <c r="ISE45" s="670"/>
      <c r="ISF45" s="670"/>
      <c r="ISG45" s="670"/>
      <c r="ISH45" s="670"/>
      <c r="ISI45" s="670"/>
      <c r="ISJ45" s="670"/>
      <c r="ISK45" s="670"/>
      <c r="ISL45" s="670"/>
      <c r="ISM45" s="670"/>
      <c r="ISN45" s="670"/>
      <c r="ISO45" s="670"/>
      <c r="ISP45" s="670"/>
      <c r="ISQ45" s="670"/>
      <c r="ISR45" s="670"/>
      <c r="ISS45" s="670"/>
      <c r="IST45" s="670"/>
      <c r="ISU45" s="670"/>
      <c r="ISV45" s="670"/>
      <c r="ISW45" s="670"/>
      <c r="ISX45" s="670"/>
      <c r="ISY45" s="670"/>
      <c r="ISZ45" s="670"/>
      <c r="ITA45" s="670"/>
      <c r="ITB45" s="670"/>
      <c r="ITC45" s="670"/>
      <c r="ITD45" s="670"/>
      <c r="ITE45" s="670"/>
      <c r="ITF45" s="670"/>
      <c r="ITG45" s="670"/>
      <c r="ITH45" s="670"/>
      <c r="ITI45" s="670"/>
      <c r="ITJ45" s="670"/>
      <c r="ITK45" s="670"/>
      <c r="ITL45" s="670"/>
      <c r="ITM45" s="670"/>
      <c r="ITN45" s="670"/>
      <c r="ITO45" s="670"/>
      <c r="ITP45" s="670"/>
      <c r="ITQ45" s="670"/>
      <c r="ITR45" s="670"/>
      <c r="ITS45" s="670"/>
      <c r="ITT45" s="670"/>
      <c r="ITU45" s="670"/>
      <c r="ITV45" s="670"/>
      <c r="ITW45" s="670"/>
      <c r="ITX45" s="670"/>
      <c r="ITY45" s="670"/>
      <c r="ITZ45" s="670"/>
      <c r="IUA45" s="670"/>
      <c r="IUB45" s="670"/>
      <c r="IUC45" s="670"/>
      <c r="IUD45" s="670"/>
      <c r="IUE45" s="670"/>
      <c r="IUF45" s="670"/>
      <c r="IUG45" s="670"/>
      <c r="IUH45" s="670"/>
      <c r="IUI45" s="670"/>
      <c r="IUJ45" s="670"/>
      <c r="IUK45" s="670"/>
      <c r="IUL45" s="670"/>
      <c r="IUM45" s="670"/>
      <c r="IUN45" s="670"/>
      <c r="IUO45" s="670"/>
      <c r="IUP45" s="670"/>
      <c r="IUQ45" s="670"/>
      <c r="IUR45" s="670"/>
      <c r="IUS45" s="670"/>
      <c r="IUT45" s="670"/>
      <c r="IUU45" s="670"/>
      <c r="IUV45" s="670"/>
      <c r="IUW45" s="670"/>
      <c r="IUX45" s="670"/>
      <c r="IUY45" s="670"/>
      <c r="IUZ45" s="670"/>
      <c r="IVA45" s="670"/>
      <c r="IVB45" s="670"/>
      <c r="IVC45" s="670"/>
      <c r="IVD45" s="670"/>
      <c r="IVE45" s="670"/>
      <c r="IVF45" s="670"/>
      <c r="IVG45" s="670"/>
      <c r="IVH45" s="670"/>
      <c r="IVI45" s="670"/>
      <c r="IVJ45" s="670"/>
      <c r="IVK45" s="670"/>
      <c r="IVL45" s="670"/>
      <c r="IVM45" s="670"/>
      <c r="IVN45" s="670"/>
      <c r="IVO45" s="670"/>
      <c r="IVP45" s="670"/>
      <c r="IVQ45" s="670"/>
      <c r="IVR45" s="670"/>
      <c r="IVS45" s="670"/>
      <c r="IVT45" s="670"/>
      <c r="IVU45" s="670"/>
      <c r="IVV45" s="670"/>
      <c r="IVW45" s="670"/>
      <c r="IVX45" s="670"/>
      <c r="IVY45" s="670"/>
      <c r="IVZ45" s="670"/>
      <c r="IWA45" s="670"/>
      <c r="IWB45" s="670"/>
      <c r="IWC45" s="670"/>
      <c r="IWD45" s="670"/>
      <c r="IWE45" s="670"/>
      <c r="IWF45" s="670"/>
      <c r="IWG45" s="670"/>
      <c r="IWH45" s="670"/>
      <c r="IWI45" s="670"/>
      <c r="IWJ45" s="670"/>
      <c r="IWK45" s="670"/>
      <c r="IWL45" s="670"/>
      <c r="IWM45" s="670"/>
      <c r="IWN45" s="670"/>
      <c r="IWO45" s="670"/>
      <c r="IWP45" s="670"/>
      <c r="IWQ45" s="670"/>
      <c r="IWR45" s="670"/>
      <c r="IWS45" s="670"/>
      <c r="IWT45" s="670"/>
      <c r="IWU45" s="670"/>
      <c r="IWV45" s="670"/>
      <c r="IWW45" s="670"/>
      <c r="IWX45" s="670"/>
      <c r="IWY45" s="670"/>
      <c r="IWZ45" s="670"/>
      <c r="IXA45" s="670"/>
      <c r="IXB45" s="670"/>
      <c r="IXC45" s="670"/>
      <c r="IXD45" s="670"/>
      <c r="IXE45" s="670"/>
      <c r="IXF45" s="670"/>
      <c r="IXG45" s="670"/>
      <c r="IXH45" s="670"/>
      <c r="IXI45" s="670"/>
      <c r="IXJ45" s="670"/>
      <c r="IXK45" s="670"/>
      <c r="IXL45" s="670"/>
      <c r="IXM45" s="670"/>
      <c r="IXN45" s="670"/>
      <c r="IXO45" s="670"/>
      <c r="IXP45" s="670"/>
      <c r="IXQ45" s="670"/>
      <c r="IXR45" s="670"/>
      <c r="IXS45" s="670"/>
      <c r="IXT45" s="670"/>
      <c r="IXU45" s="670"/>
      <c r="IXV45" s="670"/>
      <c r="IXW45" s="670"/>
      <c r="IXX45" s="670"/>
      <c r="IXY45" s="670"/>
      <c r="IXZ45" s="670"/>
      <c r="IYA45" s="670"/>
      <c r="IYB45" s="670"/>
      <c r="IYC45" s="670"/>
      <c r="IYD45" s="670"/>
      <c r="IYE45" s="670"/>
      <c r="IYF45" s="670"/>
      <c r="IYG45" s="670"/>
      <c r="IYH45" s="670"/>
      <c r="IYI45" s="670"/>
      <c r="IYJ45" s="670"/>
      <c r="IYK45" s="670"/>
      <c r="IYL45" s="670"/>
      <c r="IYM45" s="670"/>
      <c r="IYN45" s="670"/>
      <c r="IYO45" s="670"/>
      <c r="IYP45" s="670"/>
      <c r="IYQ45" s="670"/>
      <c r="IYR45" s="670"/>
      <c r="IYS45" s="670"/>
      <c r="IYT45" s="670"/>
      <c r="IYU45" s="670"/>
      <c r="IYV45" s="670"/>
      <c r="IYW45" s="670"/>
      <c r="IYX45" s="670"/>
      <c r="IYY45" s="670"/>
      <c r="IYZ45" s="670"/>
      <c r="IZA45" s="670"/>
      <c r="IZB45" s="670"/>
      <c r="IZC45" s="670"/>
      <c r="IZD45" s="670"/>
      <c r="IZE45" s="670"/>
      <c r="IZF45" s="670"/>
      <c r="IZG45" s="670"/>
      <c r="IZH45" s="670"/>
      <c r="IZI45" s="670"/>
      <c r="IZJ45" s="670"/>
      <c r="IZK45" s="670"/>
      <c r="IZL45" s="670"/>
      <c r="IZM45" s="670"/>
      <c r="IZN45" s="670"/>
      <c r="IZO45" s="670"/>
      <c r="IZP45" s="670"/>
      <c r="IZQ45" s="670"/>
      <c r="IZR45" s="670"/>
      <c r="IZS45" s="670"/>
      <c r="IZT45" s="670"/>
      <c r="IZU45" s="670"/>
      <c r="IZV45" s="670"/>
      <c r="IZW45" s="670"/>
      <c r="IZX45" s="670"/>
      <c r="IZY45" s="670"/>
      <c r="IZZ45" s="670"/>
      <c r="JAA45" s="670"/>
      <c r="JAB45" s="670"/>
      <c r="JAC45" s="670"/>
      <c r="JAD45" s="670"/>
      <c r="JAE45" s="670"/>
      <c r="JAF45" s="670"/>
      <c r="JAG45" s="670"/>
      <c r="JAH45" s="670"/>
      <c r="JAI45" s="670"/>
      <c r="JAJ45" s="670"/>
      <c r="JAK45" s="670"/>
      <c r="JAL45" s="670"/>
      <c r="JAM45" s="670"/>
      <c r="JAN45" s="670"/>
      <c r="JAO45" s="670"/>
      <c r="JAP45" s="670"/>
      <c r="JAQ45" s="670"/>
      <c r="JAR45" s="670"/>
      <c r="JAS45" s="670"/>
      <c r="JAT45" s="670"/>
      <c r="JAU45" s="670"/>
      <c r="JAV45" s="670"/>
      <c r="JAW45" s="670"/>
      <c r="JAX45" s="670"/>
      <c r="JAY45" s="670"/>
      <c r="JAZ45" s="670"/>
      <c r="JBA45" s="670"/>
      <c r="JBB45" s="670"/>
      <c r="JBC45" s="670"/>
      <c r="JBD45" s="670"/>
      <c r="JBE45" s="670"/>
      <c r="JBF45" s="670"/>
      <c r="JBG45" s="670"/>
      <c r="JBH45" s="670"/>
      <c r="JBI45" s="670"/>
      <c r="JBJ45" s="670"/>
      <c r="JBK45" s="670"/>
      <c r="JBL45" s="670"/>
      <c r="JBM45" s="670"/>
      <c r="JBN45" s="670"/>
      <c r="JBO45" s="670"/>
      <c r="JBP45" s="670"/>
      <c r="JBQ45" s="670"/>
      <c r="JBR45" s="670"/>
      <c r="JBS45" s="670"/>
      <c r="JBT45" s="670"/>
      <c r="JBU45" s="670"/>
      <c r="JBV45" s="670"/>
      <c r="JBW45" s="670"/>
      <c r="JBX45" s="670"/>
      <c r="JBY45" s="670"/>
      <c r="JBZ45" s="670"/>
      <c r="JCA45" s="670"/>
      <c r="JCB45" s="670"/>
      <c r="JCC45" s="670"/>
      <c r="JCD45" s="670"/>
      <c r="JCE45" s="670"/>
      <c r="JCF45" s="670"/>
      <c r="JCG45" s="670"/>
      <c r="JCH45" s="670"/>
      <c r="JCI45" s="670"/>
      <c r="JCJ45" s="670"/>
      <c r="JCK45" s="670"/>
      <c r="JCL45" s="670"/>
      <c r="JCM45" s="670"/>
      <c r="JCN45" s="670"/>
      <c r="JCO45" s="670"/>
      <c r="JCP45" s="670"/>
      <c r="JCQ45" s="670"/>
      <c r="JCR45" s="670"/>
      <c r="JCS45" s="670"/>
      <c r="JCT45" s="670"/>
      <c r="JCU45" s="670"/>
      <c r="JCV45" s="670"/>
      <c r="JCW45" s="670"/>
      <c r="JCX45" s="670"/>
      <c r="JCY45" s="670"/>
      <c r="JCZ45" s="670"/>
      <c r="JDA45" s="670"/>
      <c r="JDB45" s="670"/>
      <c r="JDC45" s="670"/>
      <c r="JDD45" s="670"/>
      <c r="JDE45" s="670"/>
      <c r="JDF45" s="670"/>
      <c r="JDG45" s="670"/>
      <c r="JDH45" s="670"/>
      <c r="JDI45" s="670"/>
      <c r="JDJ45" s="670"/>
      <c r="JDK45" s="670"/>
      <c r="JDL45" s="670"/>
      <c r="JDM45" s="670"/>
      <c r="JDN45" s="670"/>
      <c r="JDO45" s="670"/>
      <c r="JDP45" s="670"/>
      <c r="JDQ45" s="670"/>
      <c r="JDR45" s="670"/>
      <c r="JDS45" s="670"/>
      <c r="JDT45" s="670"/>
      <c r="JDU45" s="670"/>
      <c r="JDV45" s="670"/>
      <c r="JDW45" s="670"/>
      <c r="JDX45" s="670"/>
      <c r="JDY45" s="670"/>
      <c r="JDZ45" s="670"/>
      <c r="JEA45" s="670"/>
      <c r="JEB45" s="670"/>
      <c r="JEC45" s="670"/>
      <c r="JED45" s="670"/>
      <c r="JEE45" s="670"/>
      <c r="JEF45" s="670"/>
      <c r="JEG45" s="670"/>
      <c r="JEH45" s="670"/>
      <c r="JEI45" s="670"/>
      <c r="JEJ45" s="670"/>
      <c r="JEK45" s="670"/>
      <c r="JEL45" s="670"/>
      <c r="JEM45" s="670"/>
      <c r="JEN45" s="670"/>
      <c r="JEO45" s="670"/>
      <c r="JEP45" s="670"/>
      <c r="JEQ45" s="670"/>
      <c r="JER45" s="670"/>
      <c r="JES45" s="670"/>
      <c r="JET45" s="670"/>
      <c r="JEU45" s="670"/>
      <c r="JEV45" s="670"/>
      <c r="JEW45" s="670"/>
      <c r="JEX45" s="670"/>
      <c r="JEY45" s="670"/>
      <c r="JEZ45" s="670"/>
      <c r="JFA45" s="670"/>
      <c r="JFB45" s="670"/>
      <c r="JFC45" s="670"/>
      <c r="JFD45" s="670"/>
      <c r="JFE45" s="670"/>
      <c r="JFF45" s="670"/>
      <c r="JFG45" s="670"/>
      <c r="JFH45" s="670"/>
      <c r="JFI45" s="670"/>
      <c r="JFJ45" s="670"/>
      <c r="JFK45" s="670"/>
      <c r="JFL45" s="670"/>
      <c r="JFM45" s="670"/>
      <c r="JFN45" s="670"/>
      <c r="JFO45" s="670"/>
      <c r="JFP45" s="670"/>
      <c r="JFQ45" s="670"/>
      <c r="JFR45" s="670"/>
      <c r="JFS45" s="670"/>
      <c r="JFT45" s="670"/>
      <c r="JFU45" s="670"/>
      <c r="JFV45" s="670"/>
      <c r="JFW45" s="670"/>
      <c r="JFX45" s="670"/>
      <c r="JFY45" s="670"/>
      <c r="JFZ45" s="670"/>
      <c r="JGA45" s="670"/>
      <c r="JGB45" s="670"/>
      <c r="JGC45" s="670"/>
      <c r="JGD45" s="670"/>
      <c r="JGE45" s="670"/>
      <c r="JGF45" s="670"/>
      <c r="JGG45" s="670"/>
      <c r="JGH45" s="670"/>
      <c r="JGI45" s="670"/>
      <c r="JGJ45" s="670"/>
      <c r="JGK45" s="670"/>
      <c r="JGL45" s="670"/>
      <c r="JGM45" s="670"/>
      <c r="JGN45" s="670"/>
      <c r="JGO45" s="670"/>
      <c r="JGP45" s="670"/>
      <c r="JGQ45" s="670"/>
      <c r="JGR45" s="670"/>
      <c r="JGS45" s="670"/>
      <c r="JGT45" s="670"/>
      <c r="JGU45" s="670"/>
      <c r="JGV45" s="670"/>
      <c r="JGW45" s="670"/>
      <c r="JGX45" s="670"/>
      <c r="JGY45" s="670"/>
      <c r="JGZ45" s="670"/>
      <c r="JHA45" s="670"/>
      <c r="JHB45" s="670"/>
      <c r="JHC45" s="670"/>
      <c r="JHD45" s="670"/>
      <c r="JHE45" s="670"/>
      <c r="JHF45" s="670"/>
      <c r="JHG45" s="670"/>
      <c r="JHH45" s="670"/>
      <c r="JHI45" s="670"/>
      <c r="JHJ45" s="670"/>
      <c r="JHK45" s="670"/>
      <c r="JHL45" s="670"/>
      <c r="JHM45" s="670"/>
      <c r="JHN45" s="670"/>
      <c r="JHO45" s="670"/>
      <c r="JHP45" s="670"/>
      <c r="JHQ45" s="670"/>
      <c r="JHR45" s="670"/>
      <c r="JHS45" s="670"/>
      <c r="JHT45" s="670"/>
      <c r="JHU45" s="670"/>
      <c r="JHV45" s="670"/>
      <c r="JHW45" s="670"/>
      <c r="JHX45" s="670"/>
      <c r="JHY45" s="670"/>
      <c r="JHZ45" s="670"/>
      <c r="JIA45" s="670"/>
      <c r="JIB45" s="670"/>
      <c r="JIC45" s="670"/>
      <c r="JID45" s="670"/>
      <c r="JIE45" s="670"/>
      <c r="JIF45" s="670"/>
      <c r="JIG45" s="670"/>
      <c r="JIH45" s="670"/>
      <c r="JII45" s="670"/>
      <c r="JIJ45" s="670"/>
      <c r="JIK45" s="670"/>
      <c r="JIL45" s="670"/>
      <c r="JIM45" s="670"/>
      <c r="JIN45" s="670"/>
      <c r="JIO45" s="670"/>
      <c r="JIP45" s="670"/>
      <c r="JIQ45" s="670"/>
      <c r="JIR45" s="670"/>
      <c r="JIS45" s="670"/>
      <c r="JIT45" s="670"/>
      <c r="JIU45" s="670"/>
      <c r="JIV45" s="670"/>
      <c r="JIW45" s="670"/>
      <c r="JIX45" s="670"/>
      <c r="JIY45" s="670"/>
      <c r="JIZ45" s="670"/>
      <c r="JJA45" s="670"/>
      <c r="JJB45" s="670"/>
      <c r="JJC45" s="670"/>
      <c r="JJD45" s="670"/>
      <c r="JJE45" s="670"/>
      <c r="JJF45" s="670"/>
      <c r="JJG45" s="670"/>
      <c r="JJH45" s="670"/>
      <c r="JJI45" s="670"/>
      <c r="JJJ45" s="670"/>
      <c r="JJK45" s="670"/>
      <c r="JJL45" s="670"/>
      <c r="JJM45" s="670"/>
      <c r="JJN45" s="670"/>
      <c r="JJO45" s="670"/>
      <c r="JJP45" s="670"/>
      <c r="JJQ45" s="670"/>
      <c r="JJR45" s="670"/>
      <c r="JJS45" s="670"/>
      <c r="JJT45" s="670"/>
      <c r="JJU45" s="670"/>
      <c r="JJV45" s="670"/>
      <c r="JJW45" s="670"/>
      <c r="JJX45" s="670"/>
      <c r="JJY45" s="670"/>
      <c r="JJZ45" s="670"/>
      <c r="JKA45" s="670"/>
      <c r="JKB45" s="670"/>
      <c r="JKC45" s="670"/>
      <c r="JKD45" s="670"/>
      <c r="JKE45" s="670"/>
      <c r="JKF45" s="670"/>
      <c r="JKG45" s="670"/>
      <c r="JKH45" s="670"/>
      <c r="JKI45" s="670"/>
      <c r="JKJ45" s="670"/>
      <c r="JKK45" s="670"/>
      <c r="JKL45" s="670"/>
      <c r="JKM45" s="670"/>
      <c r="JKN45" s="670"/>
      <c r="JKO45" s="670"/>
      <c r="JKP45" s="670"/>
      <c r="JKQ45" s="670"/>
      <c r="JKR45" s="670"/>
      <c r="JKS45" s="670"/>
      <c r="JKT45" s="670"/>
      <c r="JKU45" s="670"/>
      <c r="JKV45" s="670"/>
      <c r="JKW45" s="670"/>
      <c r="JKX45" s="670"/>
      <c r="JKY45" s="670"/>
      <c r="JKZ45" s="670"/>
      <c r="JLA45" s="670"/>
      <c r="JLB45" s="670"/>
      <c r="JLC45" s="670"/>
      <c r="JLD45" s="670"/>
      <c r="JLE45" s="670"/>
      <c r="JLF45" s="670"/>
      <c r="JLG45" s="670"/>
      <c r="JLH45" s="670"/>
      <c r="JLI45" s="670"/>
      <c r="JLJ45" s="670"/>
      <c r="JLK45" s="670"/>
      <c r="JLL45" s="670"/>
      <c r="JLM45" s="670"/>
      <c r="JLN45" s="670"/>
      <c r="JLO45" s="670"/>
      <c r="JLP45" s="670"/>
      <c r="JLQ45" s="670"/>
      <c r="JLR45" s="670"/>
      <c r="JLS45" s="670"/>
      <c r="JLT45" s="670"/>
      <c r="JLU45" s="670"/>
      <c r="JLV45" s="670"/>
      <c r="JLW45" s="670"/>
      <c r="JLX45" s="670"/>
      <c r="JLY45" s="670"/>
      <c r="JLZ45" s="670"/>
      <c r="JMA45" s="670"/>
      <c r="JMB45" s="670"/>
      <c r="JMC45" s="670"/>
      <c r="JMD45" s="670"/>
      <c r="JME45" s="670"/>
      <c r="JMF45" s="670"/>
      <c r="JMG45" s="670"/>
      <c r="JMH45" s="670"/>
      <c r="JMI45" s="670"/>
      <c r="JMJ45" s="670"/>
      <c r="JMK45" s="670"/>
      <c r="JML45" s="670"/>
      <c r="JMM45" s="670"/>
      <c r="JMN45" s="670"/>
      <c r="JMO45" s="670"/>
      <c r="JMP45" s="670"/>
      <c r="JMQ45" s="670"/>
      <c r="JMR45" s="670"/>
      <c r="JMS45" s="670"/>
      <c r="JMT45" s="670"/>
      <c r="JMU45" s="670"/>
      <c r="JMV45" s="670"/>
      <c r="JMW45" s="670"/>
      <c r="JMX45" s="670"/>
      <c r="JMY45" s="670"/>
      <c r="JMZ45" s="670"/>
      <c r="JNA45" s="670"/>
      <c r="JNB45" s="670"/>
      <c r="JNC45" s="670"/>
      <c r="JND45" s="670"/>
      <c r="JNE45" s="670"/>
      <c r="JNF45" s="670"/>
      <c r="JNG45" s="670"/>
      <c r="JNH45" s="670"/>
      <c r="JNI45" s="670"/>
      <c r="JNJ45" s="670"/>
      <c r="JNK45" s="670"/>
      <c r="JNL45" s="670"/>
      <c r="JNM45" s="670"/>
      <c r="JNN45" s="670"/>
      <c r="JNO45" s="670"/>
      <c r="JNP45" s="670"/>
      <c r="JNQ45" s="670"/>
      <c r="JNR45" s="670"/>
      <c r="JNS45" s="670"/>
      <c r="JNT45" s="670"/>
      <c r="JNU45" s="670"/>
      <c r="JNV45" s="670"/>
      <c r="JNW45" s="670"/>
      <c r="JNX45" s="670"/>
      <c r="JNY45" s="670"/>
      <c r="JNZ45" s="670"/>
      <c r="JOA45" s="670"/>
      <c r="JOB45" s="670"/>
      <c r="JOC45" s="670"/>
      <c r="JOD45" s="670"/>
      <c r="JOE45" s="670"/>
      <c r="JOF45" s="670"/>
      <c r="JOG45" s="670"/>
      <c r="JOH45" s="670"/>
      <c r="JOI45" s="670"/>
      <c r="JOJ45" s="670"/>
      <c r="JOK45" s="670"/>
      <c r="JOL45" s="670"/>
      <c r="JOM45" s="670"/>
      <c r="JON45" s="670"/>
      <c r="JOO45" s="670"/>
      <c r="JOP45" s="670"/>
      <c r="JOQ45" s="670"/>
      <c r="JOR45" s="670"/>
      <c r="JOS45" s="670"/>
      <c r="JOT45" s="670"/>
      <c r="JOU45" s="670"/>
      <c r="JOV45" s="670"/>
      <c r="JOW45" s="670"/>
      <c r="JOX45" s="670"/>
      <c r="JOY45" s="670"/>
      <c r="JOZ45" s="670"/>
      <c r="JPA45" s="670"/>
      <c r="JPB45" s="670"/>
      <c r="JPC45" s="670"/>
      <c r="JPD45" s="670"/>
      <c r="JPE45" s="670"/>
      <c r="JPF45" s="670"/>
      <c r="JPG45" s="670"/>
      <c r="JPH45" s="670"/>
      <c r="JPI45" s="670"/>
      <c r="JPJ45" s="670"/>
      <c r="JPK45" s="670"/>
      <c r="JPL45" s="670"/>
      <c r="JPM45" s="670"/>
      <c r="JPN45" s="670"/>
      <c r="JPO45" s="670"/>
      <c r="JPP45" s="670"/>
      <c r="JPQ45" s="670"/>
      <c r="JPR45" s="670"/>
      <c r="JPS45" s="670"/>
      <c r="JPT45" s="670"/>
      <c r="JPU45" s="670"/>
      <c r="JPV45" s="670"/>
      <c r="JPW45" s="670"/>
      <c r="JPX45" s="670"/>
      <c r="JPY45" s="670"/>
      <c r="JPZ45" s="670"/>
      <c r="JQA45" s="670"/>
      <c r="JQB45" s="670"/>
      <c r="JQC45" s="670"/>
      <c r="JQD45" s="670"/>
      <c r="JQE45" s="670"/>
      <c r="JQF45" s="670"/>
      <c r="JQG45" s="670"/>
      <c r="JQH45" s="670"/>
      <c r="JQI45" s="670"/>
      <c r="JQJ45" s="670"/>
      <c r="JQK45" s="670"/>
      <c r="JQL45" s="670"/>
      <c r="JQM45" s="670"/>
      <c r="JQN45" s="670"/>
      <c r="JQO45" s="670"/>
      <c r="JQP45" s="670"/>
      <c r="JQQ45" s="670"/>
      <c r="JQR45" s="670"/>
      <c r="JQS45" s="670"/>
      <c r="JQT45" s="670"/>
      <c r="JQU45" s="670"/>
      <c r="JQV45" s="670"/>
      <c r="JQW45" s="670"/>
      <c r="JQX45" s="670"/>
      <c r="JQY45" s="670"/>
      <c r="JQZ45" s="670"/>
      <c r="JRA45" s="670"/>
      <c r="JRB45" s="670"/>
      <c r="JRC45" s="670"/>
      <c r="JRD45" s="670"/>
      <c r="JRE45" s="670"/>
      <c r="JRF45" s="670"/>
      <c r="JRG45" s="670"/>
      <c r="JRH45" s="670"/>
      <c r="JRI45" s="670"/>
      <c r="JRJ45" s="670"/>
      <c r="JRK45" s="670"/>
      <c r="JRL45" s="670"/>
      <c r="JRM45" s="670"/>
      <c r="JRN45" s="670"/>
      <c r="JRO45" s="670"/>
      <c r="JRP45" s="670"/>
      <c r="JRQ45" s="670"/>
      <c r="JRR45" s="670"/>
      <c r="JRS45" s="670"/>
      <c r="JRT45" s="670"/>
      <c r="JRU45" s="670"/>
      <c r="JRV45" s="670"/>
      <c r="JRW45" s="670"/>
      <c r="JRX45" s="670"/>
      <c r="JRY45" s="670"/>
      <c r="JRZ45" s="670"/>
      <c r="JSA45" s="670"/>
      <c r="JSB45" s="670"/>
      <c r="JSC45" s="670"/>
      <c r="JSD45" s="670"/>
      <c r="JSE45" s="670"/>
      <c r="JSF45" s="670"/>
      <c r="JSG45" s="670"/>
      <c r="JSH45" s="670"/>
      <c r="JSI45" s="670"/>
      <c r="JSJ45" s="670"/>
      <c r="JSK45" s="670"/>
      <c r="JSL45" s="670"/>
      <c r="JSM45" s="670"/>
      <c r="JSN45" s="670"/>
      <c r="JSO45" s="670"/>
      <c r="JSP45" s="670"/>
      <c r="JSQ45" s="670"/>
      <c r="JSR45" s="670"/>
      <c r="JSS45" s="670"/>
      <c r="JST45" s="670"/>
      <c r="JSU45" s="670"/>
      <c r="JSV45" s="670"/>
      <c r="JSW45" s="670"/>
      <c r="JSX45" s="670"/>
      <c r="JSY45" s="670"/>
      <c r="JSZ45" s="670"/>
      <c r="JTA45" s="670"/>
      <c r="JTB45" s="670"/>
      <c r="JTC45" s="670"/>
      <c r="JTD45" s="670"/>
      <c r="JTE45" s="670"/>
      <c r="JTF45" s="670"/>
      <c r="JTG45" s="670"/>
      <c r="JTH45" s="670"/>
      <c r="JTI45" s="670"/>
      <c r="JTJ45" s="670"/>
      <c r="JTK45" s="670"/>
      <c r="JTL45" s="670"/>
      <c r="JTM45" s="670"/>
      <c r="JTN45" s="670"/>
      <c r="JTO45" s="670"/>
      <c r="JTP45" s="670"/>
      <c r="JTQ45" s="670"/>
      <c r="JTR45" s="670"/>
      <c r="JTS45" s="670"/>
      <c r="JTT45" s="670"/>
      <c r="JTU45" s="670"/>
      <c r="JTV45" s="670"/>
      <c r="JTW45" s="670"/>
      <c r="JTX45" s="670"/>
      <c r="JTY45" s="670"/>
      <c r="JTZ45" s="670"/>
      <c r="JUA45" s="670"/>
      <c r="JUB45" s="670"/>
      <c r="JUC45" s="670"/>
      <c r="JUD45" s="670"/>
      <c r="JUE45" s="670"/>
      <c r="JUF45" s="670"/>
      <c r="JUG45" s="670"/>
      <c r="JUH45" s="670"/>
      <c r="JUI45" s="670"/>
      <c r="JUJ45" s="670"/>
      <c r="JUK45" s="670"/>
      <c r="JUL45" s="670"/>
      <c r="JUM45" s="670"/>
      <c r="JUN45" s="670"/>
      <c r="JUO45" s="670"/>
      <c r="JUP45" s="670"/>
      <c r="JUQ45" s="670"/>
      <c r="JUR45" s="670"/>
      <c r="JUS45" s="670"/>
      <c r="JUT45" s="670"/>
      <c r="JUU45" s="670"/>
      <c r="JUV45" s="670"/>
      <c r="JUW45" s="670"/>
      <c r="JUX45" s="670"/>
      <c r="JUY45" s="670"/>
      <c r="JUZ45" s="670"/>
      <c r="JVA45" s="670"/>
      <c r="JVB45" s="670"/>
      <c r="JVC45" s="670"/>
      <c r="JVD45" s="670"/>
      <c r="JVE45" s="670"/>
      <c r="JVF45" s="670"/>
      <c r="JVG45" s="670"/>
      <c r="JVH45" s="670"/>
      <c r="JVI45" s="670"/>
      <c r="JVJ45" s="670"/>
      <c r="JVK45" s="670"/>
      <c r="JVL45" s="670"/>
      <c r="JVM45" s="670"/>
      <c r="JVN45" s="670"/>
      <c r="JVO45" s="670"/>
      <c r="JVP45" s="670"/>
      <c r="JVQ45" s="670"/>
      <c r="JVR45" s="670"/>
      <c r="JVS45" s="670"/>
      <c r="JVT45" s="670"/>
      <c r="JVU45" s="670"/>
      <c r="JVV45" s="670"/>
      <c r="JVW45" s="670"/>
      <c r="JVX45" s="670"/>
      <c r="JVY45" s="670"/>
      <c r="JVZ45" s="670"/>
      <c r="JWA45" s="670"/>
      <c r="JWB45" s="670"/>
      <c r="JWC45" s="670"/>
      <c r="JWD45" s="670"/>
      <c r="JWE45" s="670"/>
      <c r="JWF45" s="670"/>
      <c r="JWG45" s="670"/>
      <c r="JWH45" s="670"/>
      <c r="JWI45" s="670"/>
      <c r="JWJ45" s="670"/>
      <c r="JWK45" s="670"/>
      <c r="JWL45" s="670"/>
      <c r="JWM45" s="670"/>
      <c r="JWN45" s="670"/>
      <c r="JWO45" s="670"/>
      <c r="JWP45" s="670"/>
      <c r="JWQ45" s="670"/>
      <c r="JWR45" s="670"/>
      <c r="JWS45" s="670"/>
      <c r="JWT45" s="670"/>
      <c r="JWU45" s="670"/>
      <c r="JWV45" s="670"/>
      <c r="JWW45" s="670"/>
      <c r="JWX45" s="670"/>
      <c r="JWY45" s="670"/>
      <c r="JWZ45" s="670"/>
      <c r="JXA45" s="670"/>
      <c r="JXB45" s="670"/>
      <c r="JXC45" s="670"/>
      <c r="JXD45" s="670"/>
      <c r="JXE45" s="670"/>
      <c r="JXF45" s="670"/>
      <c r="JXG45" s="670"/>
      <c r="JXH45" s="670"/>
      <c r="JXI45" s="670"/>
      <c r="JXJ45" s="670"/>
      <c r="JXK45" s="670"/>
      <c r="JXL45" s="670"/>
      <c r="JXM45" s="670"/>
      <c r="JXN45" s="670"/>
      <c r="JXO45" s="670"/>
      <c r="JXP45" s="670"/>
      <c r="JXQ45" s="670"/>
      <c r="JXR45" s="670"/>
      <c r="JXS45" s="670"/>
      <c r="JXT45" s="670"/>
      <c r="JXU45" s="670"/>
      <c r="JXV45" s="670"/>
      <c r="JXW45" s="670"/>
      <c r="JXX45" s="670"/>
      <c r="JXY45" s="670"/>
      <c r="JXZ45" s="670"/>
      <c r="JYA45" s="670"/>
      <c r="JYB45" s="670"/>
      <c r="JYC45" s="670"/>
      <c r="JYD45" s="670"/>
      <c r="JYE45" s="670"/>
      <c r="JYF45" s="670"/>
      <c r="JYG45" s="670"/>
      <c r="JYH45" s="670"/>
      <c r="JYI45" s="670"/>
      <c r="JYJ45" s="670"/>
      <c r="JYK45" s="670"/>
      <c r="JYL45" s="670"/>
      <c r="JYM45" s="670"/>
      <c r="JYN45" s="670"/>
      <c r="JYO45" s="670"/>
      <c r="JYP45" s="670"/>
      <c r="JYQ45" s="670"/>
      <c r="JYR45" s="670"/>
      <c r="JYS45" s="670"/>
      <c r="JYT45" s="670"/>
      <c r="JYU45" s="670"/>
      <c r="JYV45" s="670"/>
      <c r="JYW45" s="670"/>
      <c r="JYX45" s="670"/>
      <c r="JYY45" s="670"/>
      <c r="JYZ45" s="670"/>
      <c r="JZA45" s="670"/>
      <c r="JZB45" s="670"/>
      <c r="JZC45" s="670"/>
      <c r="JZD45" s="670"/>
      <c r="JZE45" s="670"/>
      <c r="JZF45" s="670"/>
      <c r="JZG45" s="670"/>
      <c r="JZH45" s="670"/>
      <c r="JZI45" s="670"/>
      <c r="JZJ45" s="670"/>
      <c r="JZK45" s="670"/>
      <c r="JZL45" s="670"/>
      <c r="JZM45" s="670"/>
      <c r="JZN45" s="670"/>
      <c r="JZO45" s="670"/>
      <c r="JZP45" s="670"/>
      <c r="JZQ45" s="670"/>
      <c r="JZR45" s="670"/>
      <c r="JZS45" s="670"/>
      <c r="JZT45" s="670"/>
      <c r="JZU45" s="670"/>
      <c r="JZV45" s="670"/>
      <c r="JZW45" s="670"/>
      <c r="JZX45" s="670"/>
      <c r="JZY45" s="670"/>
      <c r="JZZ45" s="670"/>
      <c r="KAA45" s="670"/>
      <c r="KAB45" s="670"/>
      <c r="KAC45" s="670"/>
      <c r="KAD45" s="670"/>
      <c r="KAE45" s="670"/>
      <c r="KAF45" s="670"/>
      <c r="KAG45" s="670"/>
      <c r="KAH45" s="670"/>
      <c r="KAI45" s="670"/>
      <c r="KAJ45" s="670"/>
      <c r="KAK45" s="670"/>
      <c r="KAL45" s="670"/>
      <c r="KAM45" s="670"/>
      <c r="KAN45" s="670"/>
      <c r="KAO45" s="670"/>
      <c r="KAP45" s="670"/>
      <c r="KAQ45" s="670"/>
      <c r="KAR45" s="670"/>
      <c r="KAS45" s="670"/>
      <c r="KAT45" s="670"/>
      <c r="KAU45" s="670"/>
      <c r="KAV45" s="670"/>
      <c r="KAW45" s="670"/>
      <c r="KAX45" s="670"/>
      <c r="KAY45" s="670"/>
      <c r="KAZ45" s="670"/>
      <c r="KBA45" s="670"/>
      <c r="KBB45" s="670"/>
      <c r="KBC45" s="670"/>
      <c r="KBD45" s="670"/>
      <c r="KBE45" s="670"/>
      <c r="KBF45" s="670"/>
      <c r="KBG45" s="670"/>
      <c r="KBH45" s="670"/>
      <c r="KBI45" s="670"/>
      <c r="KBJ45" s="670"/>
      <c r="KBK45" s="670"/>
      <c r="KBL45" s="670"/>
      <c r="KBM45" s="670"/>
      <c r="KBN45" s="670"/>
      <c r="KBO45" s="670"/>
      <c r="KBP45" s="670"/>
      <c r="KBQ45" s="670"/>
      <c r="KBR45" s="670"/>
      <c r="KBS45" s="670"/>
      <c r="KBT45" s="670"/>
      <c r="KBU45" s="670"/>
      <c r="KBV45" s="670"/>
      <c r="KBW45" s="670"/>
      <c r="KBX45" s="670"/>
      <c r="KBY45" s="670"/>
      <c r="KBZ45" s="670"/>
      <c r="KCA45" s="670"/>
      <c r="KCB45" s="670"/>
      <c r="KCC45" s="670"/>
      <c r="KCD45" s="670"/>
      <c r="KCE45" s="670"/>
      <c r="KCF45" s="670"/>
      <c r="KCG45" s="670"/>
      <c r="KCH45" s="670"/>
      <c r="KCI45" s="670"/>
      <c r="KCJ45" s="670"/>
      <c r="KCK45" s="670"/>
      <c r="KCL45" s="670"/>
      <c r="KCM45" s="670"/>
      <c r="KCN45" s="670"/>
      <c r="KCO45" s="670"/>
      <c r="KCP45" s="670"/>
      <c r="KCQ45" s="670"/>
      <c r="KCR45" s="670"/>
      <c r="KCS45" s="670"/>
      <c r="KCT45" s="670"/>
      <c r="KCU45" s="670"/>
      <c r="KCV45" s="670"/>
      <c r="KCW45" s="670"/>
      <c r="KCX45" s="670"/>
      <c r="KCY45" s="670"/>
      <c r="KCZ45" s="670"/>
      <c r="KDA45" s="670"/>
      <c r="KDB45" s="670"/>
      <c r="KDC45" s="670"/>
      <c r="KDD45" s="670"/>
      <c r="KDE45" s="670"/>
      <c r="KDF45" s="670"/>
      <c r="KDG45" s="670"/>
      <c r="KDH45" s="670"/>
      <c r="KDI45" s="670"/>
      <c r="KDJ45" s="670"/>
      <c r="KDK45" s="670"/>
      <c r="KDL45" s="670"/>
      <c r="KDM45" s="670"/>
      <c r="KDN45" s="670"/>
      <c r="KDO45" s="670"/>
      <c r="KDP45" s="670"/>
      <c r="KDQ45" s="670"/>
      <c r="KDR45" s="670"/>
      <c r="KDS45" s="670"/>
      <c r="KDT45" s="670"/>
      <c r="KDU45" s="670"/>
      <c r="KDV45" s="670"/>
      <c r="KDW45" s="670"/>
      <c r="KDX45" s="670"/>
      <c r="KDY45" s="670"/>
      <c r="KDZ45" s="670"/>
      <c r="KEA45" s="670"/>
      <c r="KEB45" s="670"/>
      <c r="KEC45" s="670"/>
      <c r="KED45" s="670"/>
      <c r="KEE45" s="670"/>
      <c r="KEF45" s="670"/>
      <c r="KEG45" s="670"/>
      <c r="KEH45" s="670"/>
      <c r="KEI45" s="670"/>
      <c r="KEJ45" s="670"/>
      <c r="KEK45" s="670"/>
      <c r="KEL45" s="670"/>
      <c r="KEM45" s="670"/>
      <c r="KEN45" s="670"/>
      <c r="KEO45" s="670"/>
      <c r="KEP45" s="670"/>
      <c r="KEQ45" s="670"/>
      <c r="KER45" s="670"/>
      <c r="KES45" s="670"/>
      <c r="KET45" s="670"/>
      <c r="KEU45" s="670"/>
      <c r="KEV45" s="670"/>
      <c r="KEW45" s="670"/>
      <c r="KEX45" s="670"/>
      <c r="KEY45" s="670"/>
      <c r="KEZ45" s="670"/>
      <c r="KFA45" s="670"/>
      <c r="KFB45" s="670"/>
      <c r="KFC45" s="670"/>
      <c r="KFD45" s="670"/>
      <c r="KFE45" s="670"/>
      <c r="KFF45" s="670"/>
      <c r="KFG45" s="670"/>
      <c r="KFH45" s="670"/>
      <c r="KFI45" s="670"/>
      <c r="KFJ45" s="670"/>
      <c r="KFK45" s="670"/>
      <c r="KFL45" s="670"/>
      <c r="KFM45" s="670"/>
      <c r="KFN45" s="670"/>
      <c r="KFO45" s="670"/>
      <c r="KFP45" s="670"/>
      <c r="KFQ45" s="670"/>
      <c r="KFR45" s="670"/>
      <c r="KFS45" s="670"/>
      <c r="KFT45" s="670"/>
      <c r="KFU45" s="670"/>
      <c r="KFV45" s="670"/>
      <c r="KFW45" s="670"/>
      <c r="KFX45" s="670"/>
      <c r="KFY45" s="670"/>
      <c r="KFZ45" s="670"/>
      <c r="KGA45" s="670"/>
      <c r="KGB45" s="670"/>
      <c r="KGC45" s="670"/>
      <c r="KGD45" s="670"/>
      <c r="KGE45" s="670"/>
      <c r="KGF45" s="670"/>
      <c r="KGG45" s="670"/>
      <c r="KGH45" s="670"/>
      <c r="KGI45" s="670"/>
      <c r="KGJ45" s="670"/>
      <c r="KGK45" s="670"/>
      <c r="KGL45" s="670"/>
      <c r="KGM45" s="670"/>
      <c r="KGN45" s="670"/>
      <c r="KGO45" s="670"/>
      <c r="KGP45" s="670"/>
      <c r="KGQ45" s="670"/>
      <c r="KGR45" s="670"/>
      <c r="KGS45" s="670"/>
      <c r="KGT45" s="670"/>
      <c r="KGU45" s="670"/>
      <c r="KGV45" s="670"/>
      <c r="KGW45" s="670"/>
      <c r="KGX45" s="670"/>
      <c r="KGY45" s="670"/>
      <c r="KGZ45" s="670"/>
      <c r="KHA45" s="670"/>
      <c r="KHB45" s="670"/>
      <c r="KHC45" s="670"/>
      <c r="KHD45" s="670"/>
      <c r="KHE45" s="670"/>
      <c r="KHF45" s="670"/>
      <c r="KHG45" s="670"/>
      <c r="KHH45" s="670"/>
      <c r="KHI45" s="670"/>
      <c r="KHJ45" s="670"/>
      <c r="KHK45" s="670"/>
      <c r="KHL45" s="670"/>
      <c r="KHM45" s="670"/>
      <c r="KHN45" s="670"/>
      <c r="KHO45" s="670"/>
      <c r="KHP45" s="670"/>
      <c r="KHQ45" s="670"/>
      <c r="KHR45" s="670"/>
      <c r="KHS45" s="670"/>
      <c r="KHT45" s="670"/>
      <c r="KHU45" s="670"/>
      <c r="KHV45" s="670"/>
      <c r="KHW45" s="670"/>
      <c r="KHX45" s="670"/>
      <c r="KHY45" s="670"/>
      <c r="KHZ45" s="670"/>
      <c r="KIA45" s="670"/>
      <c r="KIB45" s="670"/>
      <c r="KIC45" s="670"/>
      <c r="KID45" s="670"/>
      <c r="KIE45" s="670"/>
      <c r="KIF45" s="670"/>
      <c r="KIG45" s="670"/>
      <c r="KIH45" s="670"/>
      <c r="KII45" s="670"/>
      <c r="KIJ45" s="670"/>
      <c r="KIK45" s="670"/>
      <c r="KIL45" s="670"/>
      <c r="KIM45" s="670"/>
      <c r="KIN45" s="670"/>
      <c r="KIO45" s="670"/>
      <c r="KIP45" s="670"/>
      <c r="KIQ45" s="670"/>
      <c r="KIR45" s="670"/>
      <c r="KIS45" s="670"/>
      <c r="KIT45" s="670"/>
      <c r="KIU45" s="670"/>
      <c r="KIV45" s="670"/>
      <c r="KIW45" s="670"/>
      <c r="KIX45" s="670"/>
      <c r="KIY45" s="670"/>
      <c r="KIZ45" s="670"/>
      <c r="KJA45" s="670"/>
      <c r="KJB45" s="670"/>
      <c r="KJC45" s="670"/>
      <c r="KJD45" s="670"/>
      <c r="KJE45" s="670"/>
      <c r="KJF45" s="670"/>
      <c r="KJG45" s="670"/>
      <c r="KJH45" s="670"/>
      <c r="KJI45" s="670"/>
      <c r="KJJ45" s="670"/>
      <c r="KJK45" s="670"/>
      <c r="KJL45" s="670"/>
      <c r="KJM45" s="670"/>
      <c r="KJN45" s="670"/>
      <c r="KJO45" s="670"/>
      <c r="KJP45" s="670"/>
      <c r="KJQ45" s="670"/>
      <c r="KJR45" s="670"/>
      <c r="KJS45" s="670"/>
      <c r="KJT45" s="670"/>
      <c r="KJU45" s="670"/>
      <c r="KJV45" s="670"/>
      <c r="KJW45" s="670"/>
      <c r="KJX45" s="670"/>
      <c r="KJY45" s="670"/>
      <c r="KJZ45" s="670"/>
      <c r="KKA45" s="670"/>
      <c r="KKB45" s="670"/>
      <c r="KKC45" s="670"/>
      <c r="KKD45" s="670"/>
      <c r="KKE45" s="670"/>
      <c r="KKF45" s="670"/>
      <c r="KKG45" s="670"/>
      <c r="KKH45" s="670"/>
      <c r="KKI45" s="670"/>
      <c r="KKJ45" s="670"/>
      <c r="KKK45" s="670"/>
      <c r="KKL45" s="670"/>
      <c r="KKM45" s="670"/>
      <c r="KKN45" s="670"/>
      <c r="KKO45" s="670"/>
      <c r="KKP45" s="670"/>
      <c r="KKQ45" s="670"/>
      <c r="KKR45" s="670"/>
      <c r="KKS45" s="670"/>
      <c r="KKT45" s="670"/>
      <c r="KKU45" s="670"/>
      <c r="KKV45" s="670"/>
      <c r="KKW45" s="670"/>
      <c r="KKX45" s="670"/>
      <c r="KKY45" s="670"/>
      <c r="KKZ45" s="670"/>
      <c r="KLA45" s="670"/>
      <c r="KLB45" s="670"/>
      <c r="KLC45" s="670"/>
      <c r="KLD45" s="670"/>
      <c r="KLE45" s="670"/>
      <c r="KLF45" s="670"/>
      <c r="KLG45" s="670"/>
      <c r="KLH45" s="670"/>
      <c r="KLI45" s="670"/>
      <c r="KLJ45" s="670"/>
      <c r="KLK45" s="670"/>
      <c r="KLL45" s="670"/>
      <c r="KLM45" s="670"/>
      <c r="KLN45" s="670"/>
      <c r="KLO45" s="670"/>
      <c r="KLP45" s="670"/>
      <c r="KLQ45" s="670"/>
      <c r="KLR45" s="670"/>
      <c r="KLS45" s="670"/>
      <c r="KLT45" s="670"/>
      <c r="KLU45" s="670"/>
      <c r="KLV45" s="670"/>
      <c r="KLW45" s="670"/>
      <c r="KLX45" s="670"/>
      <c r="KLY45" s="670"/>
      <c r="KLZ45" s="670"/>
      <c r="KMA45" s="670"/>
      <c r="KMB45" s="670"/>
      <c r="KMC45" s="670"/>
      <c r="KMD45" s="670"/>
      <c r="KME45" s="670"/>
      <c r="KMF45" s="670"/>
      <c r="KMG45" s="670"/>
      <c r="KMH45" s="670"/>
      <c r="KMI45" s="670"/>
      <c r="KMJ45" s="670"/>
      <c r="KMK45" s="670"/>
      <c r="KML45" s="670"/>
      <c r="KMM45" s="670"/>
      <c r="KMN45" s="670"/>
      <c r="KMO45" s="670"/>
      <c r="KMP45" s="670"/>
      <c r="KMQ45" s="670"/>
      <c r="KMR45" s="670"/>
      <c r="KMS45" s="670"/>
      <c r="KMT45" s="670"/>
      <c r="KMU45" s="670"/>
      <c r="KMV45" s="670"/>
      <c r="KMW45" s="670"/>
      <c r="KMX45" s="670"/>
      <c r="KMY45" s="670"/>
      <c r="KMZ45" s="670"/>
      <c r="KNA45" s="670"/>
      <c r="KNB45" s="670"/>
      <c r="KNC45" s="670"/>
      <c r="KND45" s="670"/>
      <c r="KNE45" s="670"/>
      <c r="KNF45" s="670"/>
      <c r="KNG45" s="670"/>
      <c r="KNH45" s="670"/>
      <c r="KNI45" s="670"/>
      <c r="KNJ45" s="670"/>
      <c r="KNK45" s="670"/>
      <c r="KNL45" s="670"/>
      <c r="KNM45" s="670"/>
      <c r="KNN45" s="670"/>
      <c r="KNO45" s="670"/>
      <c r="KNP45" s="670"/>
      <c r="KNQ45" s="670"/>
      <c r="KNR45" s="670"/>
      <c r="KNS45" s="670"/>
      <c r="KNT45" s="670"/>
      <c r="KNU45" s="670"/>
      <c r="KNV45" s="670"/>
      <c r="KNW45" s="670"/>
      <c r="KNX45" s="670"/>
      <c r="KNY45" s="670"/>
      <c r="KNZ45" s="670"/>
      <c r="KOA45" s="670"/>
      <c r="KOB45" s="670"/>
      <c r="KOC45" s="670"/>
      <c r="KOD45" s="670"/>
      <c r="KOE45" s="670"/>
      <c r="KOF45" s="670"/>
      <c r="KOG45" s="670"/>
      <c r="KOH45" s="670"/>
      <c r="KOI45" s="670"/>
      <c r="KOJ45" s="670"/>
      <c r="KOK45" s="670"/>
      <c r="KOL45" s="670"/>
      <c r="KOM45" s="670"/>
      <c r="KON45" s="670"/>
      <c r="KOO45" s="670"/>
      <c r="KOP45" s="670"/>
      <c r="KOQ45" s="670"/>
      <c r="KOR45" s="670"/>
      <c r="KOS45" s="670"/>
      <c r="KOT45" s="670"/>
      <c r="KOU45" s="670"/>
      <c r="KOV45" s="670"/>
      <c r="KOW45" s="670"/>
      <c r="KOX45" s="670"/>
      <c r="KOY45" s="670"/>
      <c r="KOZ45" s="670"/>
      <c r="KPA45" s="670"/>
      <c r="KPB45" s="670"/>
      <c r="KPC45" s="670"/>
      <c r="KPD45" s="670"/>
      <c r="KPE45" s="670"/>
      <c r="KPF45" s="670"/>
      <c r="KPG45" s="670"/>
      <c r="KPH45" s="670"/>
      <c r="KPI45" s="670"/>
      <c r="KPJ45" s="670"/>
      <c r="KPK45" s="670"/>
      <c r="KPL45" s="670"/>
      <c r="KPM45" s="670"/>
      <c r="KPN45" s="670"/>
      <c r="KPO45" s="670"/>
      <c r="KPP45" s="670"/>
      <c r="KPQ45" s="670"/>
      <c r="KPR45" s="670"/>
      <c r="KPS45" s="670"/>
      <c r="KPT45" s="670"/>
      <c r="KPU45" s="670"/>
      <c r="KPV45" s="670"/>
      <c r="KPW45" s="670"/>
      <c r="KPX45" s="670"/>
      <c r="KPY45" s="670"/>
      <c r="KPZ45" s="670"/>
      <c r="KQA45" s="670"/>
      <c r="KQB45" s="670"/>
      <c r="KQC45" s="670"/>
      <c r="KQD45" s="670"/>
      <c r="KQE45" s="670"/>
      <c r="KQF45" s="670"/>
      <c r="KQG45" s="670"/>
      <c r="KQH45" s="670"/>
      <c r="KQI45" s="670"/>
      <c r="KQJ45" s="670"/>
      <c r="KQK45" s="670"/>
      <c r="KQL45" s="670"/>
      <c r="KQM45" s="670"/>
      <c r="KQN45" s="670"/>
      <c r="KQO45" s="670"/>
      <c r="KQP45" s="670"/>
      <c r="KQQ45" s="670"/>
      <c r="KQR45" s="670"/>
      <c r="KQS45" s="670"/>
      <c r="KQT45" s="670"/>
      <c r="KQU45" s="670"/>
      <c r="KQV45" s="670"/>
      <c r="KQW45" s="670"/>
      <c r="KQX45" s="670"/>
      <c r="KQY45" s="670"/>
      <c r="KQZ45" s="670"/>
      <c r="KRA45" s="670"/>
      <c r="KRB45" s="670"/>
      <c r="KRC45" s="670"/>
      <c r="KRD45" s="670"/>
      <c r="KRE45" s="670"/>
      <c r="KRF45" s="670"/>
      <c r="KRG45" s="670"/>
      <c r="KRH45" s="670"/>
      <c r="KRI45" s="670"/>
      <c r="KRJ45" s="670"/>
      <c r="KRK45" s="670"/>
      <c r="KRL45" s="670"/>
      <c r="KRM45" s="670"/>
      <c r="KRN45" s="670"/>
      <c r="KRO45" s="670"/>
      <c r="KRP45" s="670"/>
      <c r="KRQ45" s="670"/>
      <c r="KRR45" s="670"/>
      <c r="KRS45" s="670"/>
      <c r="KRT45" s="670"/>
      <c r="KRU45" s="670"/>
      <c r="KRV45" s="670"/>
      <c r="KRW45" s="670"/>
      <c r="KRX45" s="670"/>
      <c r="KRY45" s="670"/>
      <c r="KRZ45" s="670"/>
      <c r="KSA45" s="670"/>
      <c r="KSB45" s="670"/>
      <c r="KSC45" s="670"/>
      <c r="KSD45" s="670"/>
      <c r="KSE45" s="670"/>
      <c r="KSF45" s="670"/>
      <c r="KSG45" s="670"/>
      <c r="KSH45" s="670"/>
      <c r="KSI45" s="670"/>
      <c r="KSJ45" s="670"/>
      <c r="KSK45" s="670"/>
      <c r="KSL45" s="670"/>
      <c r="KSM45" s="670"/>
      <c r="KSN45" s="670"/>
      <c r="KSO45" s="670"/>
      <c r="KSP45" s="670"/>
      <c r="KSQ45" s="670"/>
      <c r="KSR45" s="670"/>
      <c r="KSS45" s="670"/>
      <c r="KST45" s="670"/>
      <c r="KSU45" s="670"/>
      <c r="KSV45" s="670"/>
      <c r="KSW45" s="670"/>
      <c r="KSX45" s="670"/>
      <c r="KSY45" s="670"/>
      <c r="KSZ45" s="670"/>
      <c r="KTA45" s="670"/>
      <c r="KTB45" s="670"/>
      <c r="KTC45" s="670"/>
      <c r="KTD45" s="670"/>
      <c r="KTE45" s="670"/>
      <c r="KTF45" s="670"/>
      <c r="KTG45" s="670"/>
      <c r="KTH45" s="670"/>
      <c r="KTI45" s="670"/>
      <c r="KTJ45" s="670"/>
      <c r="KTK45" s="670"/>
      <c r="KTL45" s="670"/>
      <c r="KTM45" s="670"/>
      <c r="KTN45" s="670"/>
      <c r="KTO45" s="670"/>
      <c r="KTP45" s="670"/>
      <c r="KTQ45" s="670"/>
      <c r="KTR45" s="670"/>
      <c r="KTS45" s="670"/>
      <c r="KTT45" s="670"/>
      <c r="KTU45" s="670"/>
      <c r="KTV45" s="670"/>
      <c r="KTW45" s="670"/>
      <c r="KTX45" s="670"/>
      <c r="KTY45" s="670"/>
      <c r="KTZ45" s="670"/>
      <c r="KUA45" s="670"/>
      <c r="KUB45" s="670"/>
      <c r="KUC45" s="670"/>
      <c r="KUD45" s="670"/>
      <c r="KUE45" s="670"/>
      <c r="KUF45" s="670"/>
      <c r="KUG45" s="670"/>
      <c r="KUH45" s="670"/>
      <c r="KUI45" s="670"/>
      <c r="KUJ45" s="670"/>
      <c r="KUK45" s="670"/>
      <c r="KUL45" s="670"/>
      <c r="KUM45" s="670"/>
      <c r="KUN45" s="670"/>
      <c r="KUO45" s="670"/>
      <c r="KUP45" s="670"/>
      <c r="KUQ45" s="670"/>
      <c r="KUR45" s="670"/>
      <c r="KUS45" s="670"/>
      <c r="KUT45" s="670"/>
      <c r="KUU45" s="670"/>
      <c r="KUV45" s="670"/>
      <c r="KUW45" s="670"/>
      <c r="KUX45" s="670"/>
      <c r="KUY45" s="670"/>
      <c r="KUZ45" s="670"/>
      <c r="KVA45" s="670"/>
      <c r="KVB45" s="670"/>
      <c r="KVC45" s="670"/>
      <c r="KVD45" s="670"/>
      <c r="KVE45" s="670"/>
      <c r="KVF45" s="670"/>
      <c r="KVG45" s="670"/>
      <c r="KVH45" s="670"/>
      <c r="KVI45" s="670"/>
      <c r="KVJ45" s="670"/>
      <c r="KVK45" s="670"/>
      <c r="KVL45" s="670"/>
      <c r="KVM45" s="670"/>
      <c r="KVN45" s="670"/>
      <c r="KVO45" s="670"/>
      <c r="KVP45" s="670"/>
      <c r="KVQ45" s="670"/>
      <c r="KVR45" s="670"/>
      <c r="KVS45" s="670"/>
      <c r="KVT45" s="670"/>
      <c r="KVU45" s="670"/>
      <c r="KVV45" s="670"/>
      <c r="KVW45" s="670"/>
      <c r="KVX45" s="670"/>
      <c r="KVY45" s="670"/>
      <c r="KVZ45" s="670"/>
      <c r="KWA45" s="670"/>
      <c r="KWB45" s="670"/>
      <c r="KWC45" s="670"/>
      <c r="KWD45" s="670"/>
      <c r="KWE45" s="670"/>
      <c r="KWF45" s="670"/>
      <c r="KWG45" s="670"/>
      <c r="KWH45" s="670"/>
      <c r="KWI45" s="670"/>
      <c r="KWJ45" s="670"/>
      <c r="KWK45" s="670"/>
      <c r="KWL45" s="670"/>
      <c r="KWM45" s="670"/>
      <c r="KWN45" s="670"/>
      <c r="KWO45" s="670"/>
      <c r="KWP45" s="670"/>
      <c r="KWQ45" s="670"/>
      <c r="KWR45" s="670"/>
      <c r="KWS45" s="670"/>
      <c r="KWT45" s="670"/>
      <c r="KWU45" s="670"/>
      <c r="KWV45" s="670"/>
      <c r="KWW45" s="670"/>
      <c r="KWX45" s="670"/>
      <c r="KWY45" s="670"/>
      <c r="KWZ45" s="670"/>
      <c r="KXA45" s="670"/>
      <c r="KXB45" s="670"/>
      <c r="KXC45" s="670"/>
      <c r="KXD45" s="670"/>
      <c r="KXE45" s="670"/>
      <c r="KXF45" s="670"/>
      <c r="KXG45" s="670"/>
      <c r="KXH45" s="670"/>
      <c r="KXI45" s="670"/>
      <c r="KXJ45" s="670"/>
      <c r="KXK45" s="670"/>
      <c r="KXL45" s="670"/>
      <c r="KXM45" s="670"/>
      <c r="KXN45" s="670"/>
      <c r="KXO45" s="670"/>
      <c r="KXP45" s="670"/>
      <c r="KXQ45" s="670"/>
      <c r="KXR45" s="670"/>
      <c r="KXS45" s="670"/>
      <c r="KXT45" s="670"/>
      <c r="KXU45" s="670"/>
      <c r="KXV45" s="670"/>
      <c r="KXW45" s="670"/>
      <c r="KXX45" s="670"/>
      <c r="KXY45" s="670"/>
      <c r="KXZ45" s="670"/>
      <c r="KYA45" s="670"/>
      <c r="KYB45" s="670"/>
      <c r="KYC45" s="670"/>
      <c r="KYD45" s="670"/>
      <c r="KYE45" s="670"/>
      <c r="KYF45" s="670"/>
      <c r="KYG45" s="670"/>
      <c r="KYH45" s="670"/>
      <c r="KYI45" s="670"/>
      <c r="KYJ45" s="670"/>
      <c r="KYK45" s="670"/>
      <c r="KYL45" s="670"/>
      <c r="KYM45" s="670"/>
      <c r="KYN45" s="670"/>
      <c r="KYO45" s="670"/>
      <c r="KYP45" s="670"/>
      <c r="KYQ45" s="670"/>
      <c r="KYR45" s="670"/>
      <c r="KYS45" s="670"/>
      <c r="KYT45" s="670"/>
      <c r="KYU45" s="670"/>
      <c r="KYV45" s="670"/>
      <c r="KYW45" s="670"/>
      <c r="KYX45" s="670"/>
      <c r="KYY45" s="670"/>
      <c r="KYZ45" s="670"/>
      <c r="KZA45" s="670"/>
      <c r="KZB45" s="670"/>
      <c r="KZC45" s="670"/>
      <c r="KZD45" s="670"/>
      <c r="KZE45" s="670"/>
      <c r="KZF45" s="670"/>
      <c r="KZG45" s="670"/>
      <c r="KZH45" s="670"/>
      <c r="KZI45" s="670"/>
      <c r="KZJ45" s="670"/>
      <c r="KZK45" s="670"/>
      <c r="KZL45" s="670"/>
      <c r="KZM45" s="670"/>
      <c r="KZN45" s="670"/>
      <c r="KZO45" s="670"/>
      <c r="KZP45" s="670"/>
      <c r="KZQ45" s="670"/>
      <c r="KZR45" s="670"/>
      <c r="KZS45" s="670"/>
      <c r="KZT45" s="670"/>
      <c r="KZU45" s="670"/>
      <c r="KZV45" s="670"/>
      <c r="KZW45" s="670"/>
      <c r="KZX45" s="670"/>
      <c r="KZY45" s="670"/>
      <c r="KZZ45" s="670"/>
      <c r="LAA45" s="670"/>
      <c r="LAB45" s="670"/>
      <c r="LAC45" s="670"/>
      <c r="LAD45" s="670"/>
      <c r="LAE45" s="670"/>
      <c r="LAF45" s="670"/>
      <c r="LAG45" s="670"/>
      <c r="LAH45" s="670"/>
      <c r="LAI45" s="670"/>
      <c r="LAJ45" s="670"/>
      <c r="LAK45" s="670"/>
      <c r="LAL45" s="670"/>
      <c r="LAM45" s="670"/>
      <c r="LAN45" s="670"/>
      <c r="LAO45" s="670"/>
      <c r="LAP45" s="670"/>
      <c r="LAQ45" s="670"/>
      <c r="LAR45" s="670"/>
      <c r="LAS45" s="670"/>
      <c r="LAT45" s="670"/>
      <c r="LAU45" s="670"/>
      <c r="LAV45" s="670"/>
      <c r="LAW45" s="670"/>
      <c r="LAX45" s="670"/>
      <c r="LAY45" s="670"/>
      <c r="LAZ45" s="670"/>
      <c r="LBA45" s="670"/>
      <c r="LBB45" s="670"/>
      <c r="LBC45" s="670"/>
      <c r="LBD45" s="670"/>
      <c r="LBE45" s="670"/>
      <c r="LBF45" s="670"/>
      <c r="LBG45" s="670"/>
      <c r="LBH45" s="670"/>
      <c r="LBI45" s="670"/>
      <c r="LBJ45" s="670"/>
      <c r="LBK45" s="670"/>
      <c r="LBL45" s="670"/>
      <c r="LBM45" s="670"/>
      <c r="LBN45" s="670"/>
      <c r="LBO45" s="670"/>
      <c r="LBP45" s="670"/>
      <c r="LBQ45" s="670"/>
      <c r="LBR45" s="670"/>
      <c r="LBS45" s="670"/>
      <c r="LBT45" s="670"/>
      <c r="LBU45" s="670"/>
      <c r="LBV45" s="670"/>
      <c r="LBW45" s="670"/>
      <c r="LBX45" s="670"/>
      <c r="LBY45" s="670"/>
      <c r="LBZ45" s="670"/>
      <c r="LCA45" s="670"/>
      <c r="LCB45" s="670"/>
      <c r="LCC45" s="670"/>
      <c r="LCD45" s="670"/>
      <c r="LCE45" s="670"/>
      <c r="LCF45" s="670"/>
      <c r="LCG45" s="670"/>
      <c r="LCH45" s="670"/>
      <c r="LCI45" s="670"/>
      <c r="LCJ45" s="670"/>
      <c r="LCK45" s="670"/>
      <c r="LCL45" s="670"/>
      <c r="LCM45" s="670"/>
      <c r="LCN45" s="670"/>
      <c r="LCO45" s="670"/>
      <c r="LCP45" s="670"/>
      <c r="LCQ45" s="670"/>
      <c r="LCR45" s="670"/>
      <c r="LCS45" s="670"/>
      <c r="LCT45" s="670"/>
      <c r="LCU45" s="670"/>
      <c r="LCV45" s="670"/>
      <c r="LCW45" s="670"/>
      <c r="LCX45" s="670"/>
      <c r="LCY45" s="670"/>
      <c r="LCZ45" s="670"/>
      <c r="LDA45" s="670"/>
      <c r="LDB45" s="670"/>
      <c r="LDC45" s="670"/>
      <c r="LDD45" s="670"/>
      <c r="LDE45" s="670"/>
      <c r="LDF45" s="670"/>
      <c r="LDG45" s="670"/>
      <c r="LDH45" s="670"/>
      <c r="LDI45" s="670"/>
      <c r="LDJ45" s="670"/>
      <c r="LDK45" s="670"/>
      <c r="LDL45" s="670"/>
      <c r="LDM45" s="670"/>
      <c r="LDN45" s="670"/>
      <c r="LDO45" s="670"/>
      <c r="LDP45" s="670"/>
      <c r="LDQ45" s="670"/>
      <c r="LDR45" s="670"/>
      <c r="LDS45" s="670"/>
      <c r="LDT45" s="670"/>
      <c r="LDU45" s="670"/>
      <c r="LDV45" s="670"/>
      <c r="LDW45" s="670"/>
      <c r="LDX45" s="670"/>
      <c r="LDY45" s="670"/>
      <c r="LDZ45" s="670"/>
      <c r="LEA45" s="670"/>
      <c r="LEB45" s="670"/>
      <c r="LEC45" s="670"/>
      <c r="LED45" s="670"/>
      <c r="LEE45" s="670"/>
      <c r="LEF45" s="670"/>
      <c r="LEG45" s="670"/>
      <c r="LEH45" s="670"/>
      <c r="LEI45" s="670"/>
      <c r="LEJ45" s="670"/>
      <c r="LEK45" s="670"/>
      <c r="LEL45" s="670"/>
      <c r="LEM45" s="670"/>
      <c r="LEN45" s="670"/>
      <c r="LEO45" s="670"/>
      <c r="LEP45" s="670"/>
      <c r="LEQ45" s="670"/>
      <c r="LER45" s="670"/>
      <c r="LES45" s="670"/>
      <c r="LET45" s="670"/>
      <c r="LEU45" s="670"/>
      <c r="LEV45" s="670"/>
      <c r="LEW45" s="670"/>
      <c r="LEX45" s="670"/>
      <c r="LEY45" s="670"/>
      <c r="LEZ45" s="670"/>
      <c r="LFA45" s="670"/>
      <c r="LFB45" s="670"/>
      <c r="LFC45" s="670"/>
      <c r="LFD45" s="670"/>
      <c r="LFE45" s="670"/>
      <c r="LFF45" s="670"/>
      <c r="LFG45" s="670"/>
      <c r="LFH45" s="670"/>
      <c r="LFI45" s="670"/>
      <c r="LFJ45" s="670"/>
      <c r="LFK45" s="670"/>
      <c r="LFL45" s="670"/>
      <c r="LFM45" s="670"/>
      <c r="LFN45" s="670"/>
      <c r="LFO45" s="670"/>
      <c r="LFP45" s="670"/>
      <c r="LFQ45" s="670"/>
      <c r="LFR45" s="670"/>
      <c r="LFS45" s="670"/>
      <c r="LFT45" s="670"/>
      <c r="LFU45" s="670"/>
      <c r="LFV45" s="670"/>
      <c r="LFW45" s="670"/>
      <c r="LFX45" s="670"/>
      <c r="LFY45" s="670"/>
      <c r="LFZ45" s="670"/>
      <c r="LGA45" s="670"/>
      <c r="LGB45" s="670"/>
      <c r="LGC45" s="670"/>
      <c r="LGD45" s="670"/>
      <c r="LGE45" s="670"/>
      <c r="LGF45" s="670"/>
      <c r="LGG45" s="670"/>
      <c r="LGH45" s="670"/>
      <c r="LGI45" s="670"/>
      <c r="LGJ45" s="670"/>
      <c r="LGK45" s="670"/>
      <c r="LGL45" s="670"/>
      <c r="LGM45" s="670"/>
      <c r="LGN45" s="670"/>
      <c r="LGO45" s="670"/>
      <c r="LGP45" s="670"/>
      <c r="LGQ45" s="670"/>
      <c r="LGR45" s="670"/>
      <c r="LGS45" s="670"/>
      <c r="LGT45" s="670"/>
      <c r="LGU45" s="670"/>
      <c r="LGV45" s="670"/>
      <c r="LGW45" s="670"/>
      <c r="LGX45" s="670"/>
      <c r="LGY45" s="670"/>
      <c r="LGZ45" s="670"/>
      <c r="LHA45" s="670"/>
      <c r="LHB45" s="670"/>
      <c r="LHC45" s="670"/>
      <c r="LHD45" s="670"/>
      <c r="LHE45" s="670"/>
      <c r="LHF45" s="670"/>
      <c r="LHG45" s="670"/>
      <c r="LHH45" s="670"/>
      <c r="LHI45" s="670"/>
      <c r="LHJ45" s="670"/>
      <c r="LHK45" s="670"/>
      <c r="LHL45" s="670"/>
      <c r="LHM45" s="670"/>
      <c r="LHN45" s="670"/>
      <c r="LHO45" s="670"/>
      <c r="LHP45" s="670"/>
      <c r="LHQ45" s="670"/>
      <c r="LHR45" s="670"/>
      <c r="LHS45" s="670"/>
      <c r="LHT45" s="670"/>
      <c r="LHU45" s="670"/>
      <c r="LHV45" s="670"/>
      <c r="LHW45" s="670"/>
      <c r="LHX45" s="670"/>
      <c r="LHY45" s="670"/>
      <c r="LHZ45" s="670"/>
      <c r="LIA45" s="670"/>
      <c r="LIB45" s="670"/>
      <c r="LIC45" s="670"/>
      <c r="LID45" s="670"/>
      <c r="LIE45" s="670"/>
      <c r="LIF45" s="670"/>
      <c r="LIG45" s="670"/>
      <c r="LIH45" s="670"/>
      <c r="LII45" s="670"/>
      <c r="LIJ45" s="670"/>
      <c r="LIK45" s="670"/>
      <c r="LIL45" s="670"/>
      <c r="LIM45" s="670"/>
      <c r="LIN45" s="670"/>
      <c r="LIO45" s="670"/>
      <c r="LIP45" s="670"/>
      <c r="LIQ45" s="670"/>
      <c r="LIR45" s="670"/>
      <c r="LIS45" s="670"/>
      <c r="LIT45" s="670"/>
      <c r="LIU45" s="670"/>
      <c r="LIV45" s="670"/>
      <c r="LIW45" s="670"/>
      <c r="LIX45" s="670"/>
      <c r="LIY45" s="670"/>
      <c r="LIZ45" s="670"/>
      <c r="LJA45" s="670"/>
      <c r="LJB45" s="670"/>
      <c r="LJC45" s="670"/>
      <c r="LJD45" s="670"/>
      <c r="LJE45" s="670"/>
      <c r="LJF45" s="670"/>
      <c r="LJG45" s="670"/>
      <c r="LJH45" s="670"/>
      <c r="LJI45" s="670"/>
      <c r="LJJ45" s="670"/>
      <c r="LJK45" s="670"/>
      <c r="LJL45" s="670"/>
      <c r="LJM45" s="670"/>
      <c r="LJN45" s="670"/>
      <c r="LJO45" s="670"/>
      <c r="LJP45" s="670"/>
      <c r="LJQ45" s="670"/>
      <c r="LJR45" s="670"/>
      <c r="LJS45" s="670"/>
      <c r="LJT45" s="670"/>
      <c r="LJU45" s="670"/>
      <c r="LJV45" s="670"/>
      <c r="LJW45" s="670"/>
      <c r="LJX45" s="670"/>
      <c r="LJY45" s="670"/>
      <c r="LJZ45" s="670"/>
      <c r="LKA45" s="670"/>
      <c r="LKB45" s="670"/>
      <c r="LKC45" s="670"/>
      <c r="LKD45" s="670"/>
      <c r="LKE45" s="670"/>
      <c r="LKF45" s="670"/>
      <c r="LKG45" s="670"/>
      <c r="LKH45" s="670"/>
      <c r="LKI45" s="670"/>
      <c r="LKJ45" s="670"/>
      <c r="LKK45" s="670"/>
      <c r="LKL45" s="670"/>
      <c r="LKM45" s="670"/>
      <c r="LKN45" s="670"/>
      <c r="LKO45" s="670"/>
      <c r="LKP45" s="670"/>
      <c r="LKQ45" s="670"/>
      <c r="LKR45" s="670"/>
      <c r="LKS45" s="670"/>
      <c r="LKT45" s="670"/>
      <c r="LKU45" s="670"/>
      <c r="LKV45" s="670"/>
      <c r="LKW45" s="670"/>
      <c r="LKX45" s="670"/>
      <c r="LKY45" s="670"/>
      <c r="LKZ45" s="670"/>
      <c r="LLA45" s="670"/>
      <c r="LLB45" s="670"/>
      <c r="LLC45" s="670"/>
      <c r="LLD45" s="670"/>
      <c r="LLE45" s="670"/>
      <c r="LLF45" s="670"/>
      <c r="LLG45" s="670"/>
      <c r="LLH45" s="670"/>
      <c r="LLI45" s="670"/>
      <c r="LLJ45" s="670"/>
      <c r="LLK45" s="670"/>
      <c r="LLL45" s="670"/>
      <c r="LLM45" s="670"/>
      <c r="LLN45" s="670"/>
      <c r="LLO45" s="670"/>
      <c r="LLP45" s="670"/>
      <c r="LLQ45" s="670"/>
      <c r="LLR45" s="670"/>
      <c r="LLS45" s="670"/>
      <c r="LLT45" s="670"/>
      <c r="LLU45" s="670"/>
      <c r="LLV45" s="670"/>
      <c r="LLW45" s="670"/>
      <c r="LLX45" s="670"/>
      <c r="LLY45" s="670"/>
      <c r="LLZ45" s="670"/>
      <c r="LMA45" s="670"/>
      <c r="LMB45" s="670"/>
      <c r="LMC45" s="670"/>
      <c r="LMD45" s="670"/>
      <c r="LME45" s="670"/>
      <c r="LMF45" s="670"/>
      <c r="LMG45" s="670"/>
      <c r="LMH45" s="670"/>
      <c r="LMI45" s="670"/>
      <c r="LMJ45" s="670"/>
      <c r="LMK45" s="670"/>
      <c r="LML45" s="670"/>
      <c r="LMM45" s="670"/>
      <c r="LMN45" s="670"/>
      <c r="LMO45" s="670"/>
      <c r="LMP45" s="670"/>
      <c r="LMQ45" s="670"/>
      <c r="LMR45" s="670"/>
      <c r="LMS45" s="670"/>
      <c r="LMT45" s="670"/>
      <c r="LMU45" s="670"/>
      <c r="LMV45" s="670"/>
      <c r="LMW45" s="670"/>
      <c r="LMX45" s="670"/>
      <c r="LMY45" s="670"/>
      <c r="LMZ45" s="670"/>
      <c r="LNA45" s="670"/>
      <c r="LNB45" s="670"/>
      <c r="LNC45" s="670"/>
      <c r="LND45" s="670"/>
      <c r="LNE45" s="670"/>
      <c r="LNF45" s="670"/>
      <c r="LNG45" s="670"/>
      <c r="LNH45" s="670"/>
      <c r="LNI45" s="670"/>
      <c r="LNJ45" s="670"/>
      <c r="LNK45" s="670"/>
      <c r="LNL45" s="670"/>
      <c r="LNM45" s="670"/>
      <c r="LNN45" s="670"/>
      <c r="LNO45" s="670"/>
      <c r="LNP45" s="670"/>
      <c r="LNQ45" s="670"/>
      <c r="LNR45" s="670"/>
      <c r="LNS45" s="670"/>
      <c r="LNT45" s="670"/>
      <c r="LNU45" s="670"/>
      <c r="LNV45" s="670"/>
      <c r="LNW45" s="670"/>
      <c r="LNX45" s="670"/>
      <c r="LNY45" s="670"/>
      <c r="LNZ45" s="670"/>
      <c r="LOA45" s="670"/>
      <c r="LOB45" s="670"/>
      <c r="LOC45" s="670"/>
      <c r="LOD45" s="670"/>
      <c r="LOE45" s="670"/>
      <c r="LOF45" s="670"/>
      <c r="LOG45" s="670"/>
      <c r="LOH45" s="670"/>
      <c r="LOI45" s="670"/>
      <c r="LOJ45" s="670"/>
      <c r="LOK45" s="670"/>
      <c r="LOL45" s="670"/>
      <c r="LOM45" s="670"/>
      <c r="LON45" s="670"/>
      <c r="LOO45" s="670"/>
      <c r="LOP45" s="670"/>
      <c r="LOQ45" s="670"/>
      <c r="LOR45" s="670"/>
      <c r="LOS45" s="670"/>
      <c r="LOT45" s="670"/>
      <c r="LOU45" s="670"/>
      <c r="LOV45" s="670"/>
      <c r="LOW45" s="670"/>
      <c r="LOX45" s="670"/>
      <c r="LOY45" s="670"/>
      <c r="LOZ45" s="670"/>
      <c r="LPA45" s="670"/>
      <c r="LPB45" s="670"/>
      <c r="LPC45" s="670"/>
      <c r="LPD45" s="670"/>
      <c r="LPE45" s="670"/>
      <c r="LPF45" s="670"/>
      <c r="LPG45" s="670"/>
      <c r="LPH45" s="670"/>
      <c r="LPI45" s="670"/>
      <c r="LPJ45" s="670"/>
      <c r="LPK45" s="670"/>
      <c r="LPL45" s="670"/>
      <c r="LPM45" s="670"/>
      <c r="LPN45" s="670"/>
      <c r="LPO45" s="670"/>
      <c r="LPP45" s="670"/>
      <c r="LPQ45" s="670"/>
      <c r="LPR45" s="670"/>
      <c r="LPS45" s="670"/>
      <c r="LPT45" s="670"/>
      <c r="LPU45" s="670"/>
      <c r="LPV45" s="670"/>
      <c r="LPW45" s="670"/>
      <c r="LPX45" s="670"/>
      <c r="LPY45" s="670"/>
      <c r="LPZ45" s="670"/>
      <c r="LQA45" s="670"/>
      <c r="LQB45" s="670"/>
      <c r="LQC45" s="670"/>
      <c r="LQD45" s="670"/>
      <c r="LQE45" s="670"/>
      <c r="LQF45" s="670"/>
      <c r="LQG45" s="670"/>
      <c r="LQH45" s="670"/>
      <c r="LQI45" s="670"/>
      <c r="LQJ45" s="670"/>
      <c r="LQK45" s="670"/>
      <c r="LQL45" s="670"/>
      <c r="LQM45" s="670"/>
      <c r="LQN45" s="670"/>
      <c r="LQO45" s="670"/>
      <c r="LQP45" s="670"/>
      <c r="LQQ45" s="670"/>
      <c r="LQR45" s="670"/>
      <c r="LQS45" s="670"/>
      <c r="LQT45" s="670"/>
      <c r="LQU45" s="670"/>
      <c r="LQV45" s="670"/>
      <c r="LQW45" s="670"/>
      <c r="LQX45" s="670"/>
      <c r="LQY45" s="670"/>
      <c r="LQZ45" s="670"/>
      <c r="LRA45" s="670"/>
      <c r="LRB45" s="670"/>
      <c r="LRC45" s="670"/>
      <c r="LRD45" s="670"/>
      <c r="LRE45" s="670"/>
      <c r="LRF45" s="670"/>
      <c r="LRG45" s="670"/>
      <c r="LRH45" s="670"/>
      <c r="LRI45" s="670"/>
      <c r="LRJ45" s="670"/>
      <c r="LRK45" s="670"/>
      <c r="LRL45" s="670"/>
      <c r="LRM45" s="670"/>
      <c r="LRN45" s="670"/>
      <c r="LRO45" s="670"/>
      <c r="LRP45" s="670"/>
      <c r="LRQ45" s="670"/>
      <c r="LRR45" s="670"/>
      <c r="LRS45" s="670"/>
      <c r="LRT45" s="670"/>
      <c r="LRU45" s="670"/>
      <c r="LRV45" s="670"/>
      <c r="LRW45" s="670"/>
      <c r="LRX45" s="670"/>
      <c r="LRY45" s="670"/>
      <c r="LRZ45" s="670"/>
      <c r="LSA45" s="670"/>
      <c r="LSB45" s="670"/>
      <c r="LSC45" s="670"/>
      <c r="LSD45" s="670"/>
      <c r="LSE45" s="670"/>
      <c r="LSF45" s="670"/>
      <c r="LSG45" s="670"/>
      <c r="LSH45" s="670"/>
      <c r="LSI45" s="670"/>
      <c r="LSJ45" s="670"/>
      <c r="LSK45" s="670"/>
      <c r="LSL45" s="670"/>
      <c r="LSM45" s="670"/>
      <c r="LSN45" s="670"/>
      <c r="LSO45" s="670"/>
      <c r="LSP45" s="670"/>
      <c r="LSQ45" s="670"/>
      <c r="LSR45" s="670"/>
      <c r="LSS45" s="670"/>
      <c r="LST45" s="670"/>
      <c r="LSU45" s="670"/>
      <c r="LSV45" s="670"/>
      <c r="LSW45" s="670"/>
      <c r="LSX45" s="670"/>
      <c r="LSY45" s="670"/>
      <c r="LSZ45" s="670"/>
      <c r="LTA45" s="670"/>
      <c r="LTB45" s="670"/>
      <c r="LTC45" s="670"/>
      <c r="LTD45" s="670"/>
      <c r="LTE45" s="670"/>
      <c r="LTF45" s="670"/>
      <c r="LTG45" s="670"/>
      <c r="LTH45" s="670"/>
      <c r="LTI45" s="670"/>
      <c r="LTJ45" s="670"/>
      <c r="LTK45" s="670"/>
      <c r="LTL45" s="670"/>
      <c r="LTM45" s="670"/>
      <c r="LTN45" s="670"/>
      <c r="LTO45" s="670"/>
      <c r="LTP45" s="670"/>
      <c r="LTQ45" s="670"/>
      <c r="LTR45" s="670"/>
      <c r="LTS45" s="670"/>
      <c r="LTT45" s="670"/>
      <c r="LTU45" s="670"/>
      <c r="LTV45" s="670"/>
      <c r="LTW45" s="670"/>
      <c r="LTX45" s="670"/>
      <c r="LTY45" s="670"/>
      <c r="LTZ45" s="670"/>
      <c r="LUA45" s="670"/>
      <c r="LUB45" s="670"/>
      <c r="LUC45" s="670"/>
      <c r="LUD45" s="670"/>
      <c r="LUE45" s="670"/>
      <c r="LUF45" s="670"/>
      <c r="LUG45" s="670"/>
      <c r="LUH45" s="670"/>
      <c r="LUI45" s="670"/>
      <c r="LUJ45" s="670"/>
      <c r="LUK45" s="670"/>
      <c r="LUL45" s="670"/>
      <c r="LUM45" s="670"/>
      <c r="LUN45" s="670"/>
      <c r="LUO45" s="670"/>
      <c r="LUP45" s="670"/>
      <c r="LUQ45" s="670"/>
      <c r="LUR45" s="670"/>
      <c r="LUS45" s="670"/>
      <c r="LUT45" s="670"/>
      <c r="LUU45" s="670"/>
      <c r="LUV45" s="670"/>
      <c r="LUW45" s="670"/>
      <c r="LUX45" s="670"/>
      <c r="LUY45" s="670"/>
      <c r="LUZ45" s="670"/>
      <c r="LVA45" s="670"/>
      <c r="LVB45" s="670"/>
      <c r="LVC45" s="670"/>
      <c r="LVD45" s="670"/>
      <c r="LVE45" s="670"/>
      <c r="LVF45" s="670"/>
      <c r="LVG45" s="670"/>
      <c r="LVH45" s="670"/>
      <c r="LVI45" s="670"/>
      <c r="LVJ45" s="670"/>
      <c r="LVK45" s="670"/>
      <c r="LVL45" s="670"/>
      <c r="LVM45" s="670"/>
      <c r="LVN45" s="670"/>
      <c r="LVO45" s="670"/>
      <c r="LVP45" s="670"/>
      <c r="LVQ45" s="670"/>
      <c r="LVR45" s="670"/>
      <c r="LVS45" s="670"/>
      <c r="LVT45" s="670"/>
      <c r="LVU45" s="670"/>
      <c r="LVV45" s="670"/>
      <c r="LVW45" s="670"/>
      <c r="LVX45" s="670"/>
      <c r="LVY45" s="670"/>
      <c r="LVZ45" s="670"/>
      <c r="LWA45" s="670"/>
      <c r="LWB45" s="670"/>
      <c r="LWC45" s="670"/>
      <c r="LWD45" s="670"/>
      <c r="LWE45" s="670"/>
      <c r="LWF45" s="670"/>
      <c r="LWG45" s="670"/>
      <c r="LWH45" s="670"/>
      <c r="LWI45" s="670"/>
      <c r="LWJ45" s="670"/>
      <c r="LWK45" s="670"/>
      <c r="LWL45" s="670"/>
      <c r="LWM45" s="670"/>
      <c r="LWN45" s="670"/>
      <c r="LWO45" s="670"/>
      <c r="LWP45" s="670"/>
      <c r="LWQ45" s="670"/>
      <c r="LWR45" s="670"/>
      <c r="LWS45" s="670"/>
      <c r="LWT45" s="670"/>
      <c r="LWU45" s="670"/>
      <c r="LWV45" s="670"/>
      <c r="LWW45" s="670"/>
      <c r="LWX45" s="670"/>
      <c r="LWY45" s="670"/>
      <c r="LWZ45" s="670"/>
      <c r="LXA45" s="670"/>
      <c r="LXB45" s="670"/>
      <c r="LXC45" s="670"/>
      <c r="LXD45" s="670"/>
      <c r="LXE45" s="670"/>
      <c r="LXF45" s="670"/>
      <c r="LXG45" s="670"/>
      <c r="LXH45" s="670"/>
      <c r="LXI45" s="670"/>
      <c r="LXJ45" s="670"/>
      <c r="LXK45" s="670"/>
      <c r="LXL45" s="670"/>
      <c r="LXM45" s="670"/>
      <c r="LXN45" s="670"/>
      <c r="LXO45" s="670"/>
      <c r="LXP45" s="670"/>
      <c r="LXQ45" s="670"/>
      <c r="LXR45" s="670"/>
      <c r="LXS45" s="670"/>
      <c r="LXT45" s="670"/>
      <c r="LXU45" s="670"/>
      <c r="LXV45" s="670"/>
      <c r="LXW45" s="670"/>
      <c r="LXX45" s="670"/>
      <c r="LXY45" s="670"/>
      <c r="LXZ45" s="670"/>
      <c r="LYA45" s="670"/>
      <c r="LYB45" s="670"/>
      <c r="LYC45" s="670"/>
      <c r="LYD45" s="670"/>
      <c r="LYE45" s="670"/>
      <c r="LYF45" s="670"/>
      <c r="LYG45" s="670"/>
      <c r="LYH45" s="670"/>
      <c r="LYI45" s="670"/>
      <c r="LYJ45" s="670"/>
      <c r="LYK45" s="670"/>
      <c r="LYL45" s="670"/>
      <c r="LYM45" s="670"/>
      <c r="LYN45" s="670"/>
      <c r="LYO45" s="670"/>
      <c r="LYP45" s="670"/>
      <c r="LYQ45" s="670"/>
      <c r="LYR45" s="670"/>
      <c r="LYS45" s="670"/>
      <c r="LYT45" s="670"/>
      <c r="LYU45" s="670"/>
      <c r="LYV45" s="670"/>
      <c r="LYW45" s="670"/>
      <c r="LYX45" s="670"/>
      <c r="LYY45" s="670"/>
      <c r="LYZ45" s="670"/>
      <c r="LZA45" s="670"/>
      <c r="LZB45" s="670"/>
      <c r="LZC45" s="670"/>
      <c r="LZD45" s="670"/>
      <c r="LZE45" s="670"/>
      <c r="LZF45" s="670"/>
      <c r="LZG45" s="670"/>
      <c r="LZH45" s="670"/>
      <c r="LZI45" s="670"/>
      <c r="LZJ45" s="670"/>
      <c r="LZK45" s="670"/>
      <c r="LZL45" s="670"/>
      <c r="LZM45" s="670"/>
      <c r="LZN45" s="670"/>
      <c r="LZO45" s="670"/>
      <c r="LZP45" s="670"/>
      <c r="LZQ45" s="670"/>
      <c r="LZR45" s="670"/>
      <c r="LZS45" s="670"/>
      <c r="LZT45" s="670"/>
      <c r="LZU45" s="670"/>
      <c r="LZV45" s="670"/>
      <c r="LZW45" s="670"/>
      <c r="LZX45" s="670"/>
      <c r="LZY45" s="670"/>
      <c r="LZZ45" s="670"/>
      <c r="MAA45" s="670"/>
      <c r="MAB45" s="670"/>
      <c r="MAC45" s="670"/>
      <c r="MAD45" s="670"/>
      <c r="MAE45" s="670"/>
      <c r="MAF45" s="670"/>
      <c r="MAG45" s="670"/>
      <c r="MAH45" s="670"/>
      <c r="MAI45" s="670"/>
      <c r="MAJ45" s="670"/>
      <c r="MAK45" s="670"/>
      <c r="MAL45" s="670"/>
      <c r="MAM45" s="670"/>
      <c r="MAN45" s="670"/>
      <c r="MAO45" s="670"/>
      <c r="MAP45" s="670"/>
      <c r="MAQ45" s="670"/>
      <c r="MAR45" s="670"/>
      <c r="MAS45" s="670"/>
      <c r="MAT45" s="670"/>
      <c r="MAU45" s="670"/>
      <c r="MAV45" s="670"/>
      <c r="MAW45" s="670"/>
      <c r="MAX45" s="670"/>
      <c r="MAY45" s="670"/>
      <c r="MAZ45" s="670"/>
      <c r="MBA45" s="670"/>
      <c r="MBB45" s="670"/>
      <c r="MBC45" s="670"/>
      <c r="MBD45" s="670"/>
      <c r="MBE45" s="670"/>
      <c r="MBF45" s="670"/>
      <c r="MBG45" s="670"/>
      <c r="MBH45" s="670"/>
      <c r="MBI45" s="670"/>
      <c r="MBJ45" s="670"/>
      <c r="MBK45" s="670"/>
      <c r="MBL45" s="670"/>
      <c r="MBM45" s="670"/>
      <c r="MBN45" s="670"/>
      <c r="MBO45" s="670"/>
      <c r="MBP45" s="670"/>
      <c r="MBQ45" s="670"/>
      <c r="MBR45" s="670"/>
      <c r="MBS45" s="670"/>
      <c r="MBT45" s="670"/>
      <c r="MBU45" s="670"/>
      <c r="MBV45" s="670"/>
      <c r="MBW45" s="670"/>
      <c r="MBX45" s="670"/>
      <c r="MBY45" s="670"/>
      <c r="MBZ45" s="670"/>
      <c r="MCA45" s="670"/>
      <c r="MCB45" s="670"/>
      <c r="MCC45" s="670"/>
      <c r="MCD45" s="670"/>
      <c r="MCE45" s="670"/>
      <c r="MCF45" s="670"/>
      <c r="MCG45" s="670"/>
      <c r="MCH45" s="670"/>
      <c r="MCI45" s="670"/>
      <c r="MCJ45" s="670"/>
      <c r="MCK45" s="670"/>
      <c r="MCL45" s="670"/>
      <c r="MCM45" s="670"/>
      <c r="MCN45" s="670"/>
      <c r="MCO45" s="670"/>
      <c r="MCP45" s="670"/>
      <c r="MCQ45" s="670"/>
      <c r="MCR45" s="670"/>
      <c r="MCS45" s="670"/>
      <c r="MCT45" s="670"/>
      <c r="MCU45" s="670"/>
      <c r="MCV45" s="670"/>
      <c r="MCW45" s="670"/>
      <c r="MCX45" s="670"/>
      <c r="MCY45" s="670"/>
      <c r="MCZ45" s="670"/>
      <c r="MDA45" s="670"/>
      <c r="MDB45" s="670"/>
      <c r="MDC45" s="670"/>
      <c r="MDD45" s="670"/>
      <c r="MDE45" s="670"/>
      <c r="MDF45" s="670"/>
      <c r="MDG45" s="670"/>
      <c r="MDH45" s="670"/>
      <c r="MDI45" s="670"/>
      <c r="MDJ45" s="670"/>
      <c r="MDK45" s="670"/>
      <c r="MDL45" s="670"/>
      <c r="MDM45" s="670"/>
      <c r="MDN45" s="670"/>
      <c r="MDO45" s="670"/>
      <c r="MDP45" s="670"/>
      <c r="MDQ45" s="670"/>
      <c r="MDR45" s="670"/>
      <c r="MDS45" s="670"/>
      <c r="MDT45" s="670"/>
      <c r="MDU45" s="670"/>
      <c r="MDV45" s="670"/>
      <c r="MDW45" s="670"/>
      <c r="MDX45" s="670"/>
      <c r="MDY45" s="670"/>
      <c r="MDZ45" s="670"/>
      <c r="MEA45" s="670"/>
      <c r="MEB45" s="670"/>
      <c r="MEC45" s="670"/>
      <c r="MED45" s="670"/>
      <c r="MEE45" s="670"/>
      <c r="MEF45" s="670"/>
      <c r="MEG45" s="670"/>
      <c r="MEH45" s="670"/>
      <c r="MEI45" s="670"/>
      <c r="MEJ45" s="670"/>
      <c r="MEK45" s="670"/>
      <c r="MEL45" s="670"/>
      <c r="MEM45" s="670"/>
      <c r="MEN45" s="670"/>
      <c r="MEO45" s="670"/>
      <c r="MEP45" s="670"/>
      <c r="MEQ45" s="670"/>
      <c r="MER45" s="670"/>
      <c r="MES45" s="670"/>
      <c r="MET45" s="670"/>
      <c r="MEU45" s="670"/>
      <c r="MEV45" s="670"/>
      <c r="MEW45" s="670"/>
      <c r="MEX45" s="670"/>
      <c r="MEY45" s="670"/>
      <c r="MEZ45" s="670"/>
      <c r="MFA45" s="670"/>
      <c r="MFB45" s="670"/>
      <c r="MFC45" s="670"/>
      <c r="MFD45" s="670"/>
      <c r="MFE45" s="670"/>
      <c r="MFF45" s="670"/>
      <c r="MFG45" s="670"/>
      <c r="MFH45" s="670"/>
      <c r="MFI45" s="670"/>
      <c r="MFJ45" s="670"/>
      <c r="MFK45" s="670"/>
      <c r="MFL45" s="670"/>
      <c r="MFM45" s="670"/>
      <c r="MFN45" s="670"/>
      <c r="MFO45" s="670"/>
      <c r="MFP45" s="670"/>
      <c r="MFQ45" s="670"/>
      <c r="MFR45" s="670"/>
      <c r="MFS45" s="670"/>
      <c r="MFT45" s="670"/>
      <c r="MFU45" s="670"/>
      <c r="MFV45" s="670"/>
      <c r="MFW45" s="670"/>
      <c r="MFX45" s="670"/>
      <c r="MFY45" s="670"/>
      <c r="MFZ45" s="670"/>
      <c r="MGA45" s="670"/>
      <c r="MGB45" s="670"/>
      <c r="MGC45" s="670"/>
      <c r="MGD45" s="670"/>
      <c r="MGE45" s="670"/>
      <c r="MGF45" s="670"/>
      <c r="MGG45" s="670"/>
      <c r="MGH45" s="670"/>
      <c r="MGI45" s="670"/>
      <c r="MGJ45" s="670"/>
      <c r="MGK45" s="670"/>
      <c r="MGL45" s="670"/>
      <c r="MGM45" s="670"/>
      <c r="MGN45" s="670"/>
      <c r="MGO45" s="670"/>
      <c r="MGP45" s="670"/>
      <c r="MGQ45" s="670"/>
      <c r="MGR45" s="670"/>
      <c r="MGS45" s="670"/>
      <c r="MGT45" s="670"/>
      <c r="MGU45" s="670"/>
      <c r="MGV45" s="670"/>
      <c r="MGW45" s="670"/>
      <c r="MGX45" s="670"/>
      <c r="MGY45" s="670"/>
      <c r="MGZ45" s="670"/>
      <c r="MHA45" s="670"/>
      <c r="MHB45" s="670"/>
      <c r="MHC45" s="670"/>
      <c r="MHD45" s="670"/>
      <c r="MHE45" s="670"/>
      <c r="MHF45" s="670"/>
      <c r="MHG45" s="670"/>
      <c r="MHH45" s="670"/>
      <c r="MHI45" s="670"/>
      <c r="MHJ45" s="670"/>
      <c r="MHK45" s="670"/>
      <c r="MHL45" s="670"/>
      <c r="MHM45" s="670"/>
      <c r="MHN45" s="670"/>
      <c r="MHO45" s="670"/>
      <c r="MHP45" s="670"/>
      <c r="MHQ45" s="670"/>
      <c r="MHR45" s="670"/>
      <c r="MHS45" s="670"/>
      <c r="MHT45" s="670"/>
      <c r="MHU45" s="670"/>
      <c r="MHV45" s="670"/>
      <c r="MHW45" s="670"/>
      <c r="MHX45" s="670"/>
      <c r="MHY45" s="670"/>
      <c r="MHZ45" s="670"/>
      <c r="MIA45" s="670"/>
      <c r="MIB45" s="670"/>
      <c r="MIC45" s="670"/>
      <c r="MID45" s="670"/>
      <c r="MIE45" s="670"/>
      <c r="MIF45" s="670"/>
      <c r="MIG45" s="670"/>
      <c r="MIH45" s="670"/>
      <c r="MII45" s="670"/>
      <c r="MIJ45" s="670"/>
      <c r="MIK45" s="670"/>
      <c r="MIL45" s="670"/>
      <c r="MIM45" s="670"/>
      <c r="MIN45" s="670"/>
      <c r="MIO45" s="670"/>
      <c r="MIP45" s="670"/>
      <c r="MIQ45" s="670"/>
      <c r="MIR45" s="670"/>
      <c r="MIS45" s="670"/>
      <c r="MIT45" s="670"/>
      <c r="MIU45" s="670"/>
      <c r="MIV45" s="670"/>
      <c r="MIW45" s="670"/>
      <c r="MIX45" s="670"/>
      <c r="MIY45" s="670"/>
      <c r="MIZ45" s="670"/>
      <c r="MJA45" s="670"/>
      <c r="MJB45" s="670"/>
      <c r="MJC45" s="670"/>
      <c r="MJD45" s="670"/>
      <c r="MJE45" s="670"/>
      <c r="MJF45" s="670"/>
      <c r="MJG45" s="670"/>
      <c r="MJH45" s="670"/>
      <c r="MJI45" s="670"/>
      <c r="MJJ45" s="670"/>
      <c r="MJK45" s="670"/>
      <c r="MJL45" s="670"/>
      <c r="MJM45" s="670"/>
      <c r="MJN45" s="670"/>
      <c r="MJO45" s="670"/>
      <c r="MJP45" s="670"/>
      <c r="MJQ45" s="670"/>
      <c r="MJR45" s="670"/>
      <c r="MJS45" s="670"/>
      <c r="MJT45" s="670"/>
      <c r="MJU45" s="670"/>
      <c r="MJV45" s="670"/>
      <c r="MJW45" s="670"/>
      <c r="MJX45" s="670"/>
      <c r="MJY45" s="670"/>
      <c r="MJZ45" s="670"/>
      <c r="MKA45" s="670"/>
      <c r="MKB45" s="670"/>
      <c r="MKC45" s="670"/>
      <c r="MKD45" s="670"/>
      <c r="MKE45" s="670"/>
      <c r="MKF45" s="670"/>
      <c r="MKG45" s="670"/>
      <c r="MKH45" s="670"/>
      <c r="MKI45" s="670"/>
      <c r="MKJ45" s="670"/>
      <c r="MKK45" s="670"/>
      <c r="MKL45" s="670"/>
      <c r="MKM45" s="670"/>
      <c r="MKN45" s="670"/>
      <c r="MKO45" s="670"/>
      <c r="MKP45" s="670"/>
      <c r="MKQ45" s="670"/>
      <c r="MKR45" s="670"/>
      <c r="MKS45" s="670"/>
      <c r="MKT45" s="670"/>
      <c r="MKU45" s="670"/>
      <c r="MKV45" s="670"/>
      <c r="MKW45" s="670"/>
      <c r="MKX45" s="670"/>
      <c r="MKY45" s="670"/>
      <c r="MKZ45" s="670"/>
      <c r="MLA45" s="670"/>
      <c r="MLB45" s="670"/>
      <c r="MLC45" s="670"/>
      <c r="MLD45" s="670"/>
      <c r="MLE45" s="670"/>
      <c r="MLF45" s="670"/>
      <c r="MLG45" s="670"/>
      <c r="MLH45" s="670"/>
      <c r="MLI45" s="670"/>
      <c r="MLJ45" s="670"/>
      <c r="MLK45" s="670"/>
      <c r="MLL45" s="670"/>
      <c r="MLM45" s="670"/>
      <c r="MLN45" s="670"/>
      <c r="MLO45" s="670"/>
      <c r="MLP45" s="670"/>
      <c r="MLQ45" s="670"/>
      <c r="MLR45" s="670"/>
      <c r="MLS45" s="670"/>
      <c r="MLT45" s="670"/>
      <c r="MLU45" s="670"/>
      <c r="MLV45" s="670"/>
      <c r="MLW45" s="670"/>
      <c r="MLX45" s="670"/>
      <c r="MLY45" s="670"/>
      <c r="MLZ45" s="670"/>
      <c r="MMA45" s="670"/>
      <c r="MMB45" s="670"/>
      <c r="MMC45" s="670"/>
      <c r="MMD45" s="670"/>
      <c r="MME45" s="670"/>
      <c r="MMF45" s="670"/>
      <c r="MMG45" s="670"/>
      <c r="MMH45" s="670"/>
      <c r="MMI45" s="670"/>
      <c r="MMJ45" s="670"/>
      <c r="MMK45" s="670"/>
      <c r="MML45" s="670"/>
      <c r="MMM45" s="670"/>
      <c r="MMN45" s="670"/>
      <c r="MMO45" s="670"/>
      <c r="MMP45" s="670"/>
      <c r="MMQ45" s="670"/>
      <c r="MMR45" s="670"/>
      <c r="MMS45" s="670"/>
      <c r="MMT45" s="670"/>
      <c r="MMU45" s="670"/>
      <c r="MMV45" s="670"/>
      <c r="MMW45" s="670"/>
      <c r="MMX45" s="670"/>
      <c r="MMY45" s="670"/>
      <c r="MMZ45" s="670"/>
      <c r="MNA45" s="670"/>
      <c r="MNB45" s="670"/>
      <c r="MNC45" s="670"/>
      <c r="MND45" s="670"/>
      <c r="MNE45" s="670"/>
      <c r="MNF45" s="670"/>
      <c r="MNG45" s="670"/>
      <c r="MNH45" s="670"/>
      <c r="MNI45" s="670"/>
      <c r="MNJ45" s="670"/>
      <c r="MNK45" s="670"/>
      <c r="MNL45" s="670"/>
      <c r="MNM45" s="670"/>
      <c r="MNN45" s="670"/>
      <c r="MNO45" s="670"/>
      <c r="MNP45" s="670"/>
      <c r="MNQ45" s="670"/>
      <c r="MNR45" s="670"/>
      <c r="MNS45" s="670"/>
      <c r="MNT45" s="670"/>
      <c r="MNU45" s="670"/>
      <c r="MNV45" s="670"/>
      <c r="MNW45" s="670"/>
      <c r="MNX45" s="670"/>
      <c r="MNY45" s="670"/>
      <c r="MNZ45" s="670"/>
      <c r="MOA45" s="670"/>
      <c r="MOB45" s="670"/>
      <c r="MOC45" s="670"/>
      <c r="MOD45" s="670"/>
      <c r="MOE45" s="670"/>
      <c r="MOF45" s="670"/>
      <c r="MOG45" s="670"/>
      <c r="MOH45" s="670"/>
      <c r="MOI45" s="670"/>
      <c r="MOJ45" s="670"/>
      <c r="MOK45" s="670"/>
      <c r="MOL45" s="670"/>
      <c r="MOM45" s="670"/>
      <c r="MON45" s="670"/>
      <c r="MOO45" s="670"/>
      <c r="MOP45" s="670"/>
      <c r="MOQ45" s="670"/>
      <c r="MOR45" s="670"/>
      <c r="MOS45" s="670"/>
      <c r="MOT45" s="670"/>
      <c r="MOU45" s="670"/>
      <c r="MOV45" s="670"/>
      <c r="MOW45" s="670"/>
      <c r="MOX45" s="670"/>
      <c r="MOY45" s="670"/>
      <c r="MOZ45" s="670"/>
      <c r="MPA45" s="670"/>
      <c r="MPB45" s="670"/>
      <c r="MPC45" s="670"/>
      <c r="MPD45" s="670"/>
      <c r="MPE45" s="670"/>
      <c r="MPF45" s="670"/>
      <c r="MPG45" s="670"/>
      <c r="MPH45" s="670"/>
      <c r="MPI45" s="670"/>
      <c r="MPJ45" s="670"/>
      <c r="MPK45" s="670"/>
      <c r="MPL45" s="670"/>
      <c r="MPM45" s="670"/>
      <c r="MPN45" s="670"/>
      <c r="MPO45" s="670"/>
      <c r="MPP45" s="670"/>
      <c r="MPQ45" s="670"/>
      <c r="MPR45" s="670"/>
      <c r="MPS45" s="670"/>
      <c r="MPT45" s="670"/>
      <c r="MPU45" s="670"/>
      <c r="MPV45" s="670"/>
      <c r="MPW45" s="670"/>
      <c r="MPX45" s="670"/>
      <c r="MPY45" s="670"/>
      <c r="MPZ45" s="670"/>
      <c r="MQA45" s="670"/>
      <c r="MQB45" s="670"/>
      <c r="MQC45" s="670"/>
      <c r="MQD45" s="670"/>
      <c r="MQE45" s="670"/>
      <c r="MQF45" s="670"/>
      <c r="MQG45" s="670"/>
      <c r="MQH45" s="670"/>
      <c r="MQI45" s="670"/>
      <c r="MQJ45" s="670"/>
      <c r="MQK45" s="670"/>
      <c r="MQL45" s="670"/>
      <c r="MQM45" s="670"/>
      <c r="MQN45" s="670"/>
      <c r="MQO45" s="670"/>
      <c r="MQP45" s="670"/>
      <c r="MQQ45" s="670"/>
      <c r="MQR45" s="670"/>
      <c r="MQS45" s="670"/>
      <c r="MQT45" s="670"/>
      <c r="MQU45" s="670"/>
      <c r="MQV45" s="670"/>
      <c r="MQW45" s="670"/>
      <c r="MQX45" s="670"/>
      <c r="MQY45" s="670"/>
      <c r="MQZ45" s="670"/>
      <c r="MRA45" s="670"/>
      <c r="MRB45" s="670"/>
      <c r="MRC45" s="670"/>
      <c r="MRD45" s="670"/>
      <c r="MRE45" s="670"/>
      <c r="MRF45" s="670"/>
      <c r="MRG45" s="670"/>
      <c r="MRH45" s="670"/>
      <c r="MRI45" s="670"/>
      <c r="MRJ45" s="670"/>
      <c r="MRK45" s="670"/>
      <c r="MRL45" s="670"/>
      <c r="MRM45" s="670"/>
      <c r="MRN45" s="670"/>
      <c r="MRO45" s="670"/>
      <c r="MRP45" s="670"/>
      <c r="MRQ45" s="670"/>
      <c r="MRR45" s="670"/>
      <c r="MRS45" s="670"/>
      <c r="MRT45" s="670"/>
      <c r="MRU45" s="670"/>
      <c r="MRV45" s="670"/>
      <c r="MRW45" s="670"/>
      <c r="MRX45" s="670"/>
      <c r="MRY45" s="670"/>
      <c r="MRZ45" s="670"/>
      <c r="MSA45" s="670"/>
      <c r="MSB45" s="670"/>
      <c r="MSC45" s="670"/>
      <c r="MSD45" s="670"/>
      <c r="MSE45" s="670"/>
      <c r="MSF45" s="670"/>
      <c r="MSG45" s="670"/>
      <c r="MSH45" s="670"/>
      <c r="MSI45" s="670"/>
      <c r="MSJ45" s="670"/>
      <c r="MSK45" s="670"/>
      <c r="MSL45" s="670"/>
      <c r="MSM45" s="670"/>
      <c r="MSN45" s="670"/>
      <c r="MSO45" s="670"/>
      <c r="MSP45" s="670"/>
      <c r="MSQ45" s="670"/>
      <c r="MSR45" s="670"/>
      <c r="MSS45" s="670"/>
      <c r="MST45" s="670"/>
      <c r="MSU45" s="670"/>
      <c r="MSV45" s="670"/>
      <c r="MSW45" s="670"/>
      <c r="MSX45" s="670"/>
      <c r="MSY45" s="670"/>
      <c r="MSZ45" s="670"/>
      <c r="MTA45" s="670"/>
      <c r="MTB45" s="670"/>
      <c r="MTC45" s="670"/>
      <c r="MTD45" s="670"/>
      <c r="MTE45" s="670"/>
      <c r="MTF45" s="670"/>
      <c r="MTG45" s="670"/>
      <c r="MTH45" s="670"/>
      <c r="MTI45" s="670"/>
      <c r="MTJ45" s="670"/>
      <c r="MTK45" s="670"/>
      <c r="MTL45" s="670"/>
      <c r="MTM45" s="670"/>
      <c r="MTN45" s="670"/>
      <c r="MTO45" s="670"/>
      <c r="MTP45" s="670"/>
      <c r="MTQ45" s="670"/>
      <c r="MTR45" s="670"/>
      <c r="MTS45" s="670"/>
      <c r="MTT45" s="670"/>
      <c r="MTU45" s="670"/>
      <c r="MTV45" s="670"/>
      <c r="MTW45" s="670"/>
      <c r="MTX45" s="670"/>
      <c r="MTY45" s="670"/>
      <c r="MTZ45" s="670"/>
      <c r="MUA45" s="670"/>
      <c r="MUB45" s="670"/>
      <c r="MUC45" s="670"/>
      <c r="MUD45" s="670"/>
      <c r="MUE45" s="670"/>
      <c r="MUF45" s="670"/>
      <c r="MUG45" s="670"/>
      <c r="MUH45" s="670"/>
      <c r="MUI45" s="670"/>
      <c r="MUJ45" s="670"/>
      <c r="MUK45" s="670"/>
      <c r="MUL45" s="670"/>
      <c r="MUM45" s="670"/>
      <c r="MUN45" s="670"/>
      <c r="MUO45" s="670"/>
      <c r="MUP45" s="670"/>
      <c r="MUQ45" s="670"/>
      <c r="MUR45" s="670"/>
      <c r="MUS45" s="670"/>
      <c r="MUT45" s="670"/>
      <c r="MUU45" s="670"/>
      <c r="MUV45" s="670"/>
      <c r="MUW45" s="670"/>
      <c r="MUX45" s="670"/>
      <c r="MUY45" s="670"/>
      <c r="MUZ45" s="670"/>
      <c r="MVA45" s="670"/>
      <c r="MVB45" s="670"/>
      <c r="MVC45" s="670"/>
      <c r="MVD45" s="670"/>
      <c r="MVE45" s="670"/>
      <c r="MVF45" s="670"/>
      <c r="MVG45" s="670"/>
      <c r="MVH45" s="670"/>
      <c r="MVI45" s="670"/>
      <c r="MVJ45" s="670"/>
      <c r="MVK45" s="670"/>
      <c r="MVL45" s="670"/>
      <c r="MVM45" s="670"/>
      <c r="MVN45" s="670"/>
      <c r="MVO45" s="670"/>
      <c r="MVP45" s="670"/>
      <c r="MVQ45" s="670"/>
      <c r="MVR45" s="670"/>
      <c r="MVS45" s="670"/>
      <c r="MVT45" s="670"/>
      <c r="MVU45" s="670"/>
      <c r="MVV45" s="670"/>
      <c r="MVW45" s="670"/>
      <c r="MVX45" s="670"/>
      <c r="MVY45" s="670"/>
      <c r="MVZ45" s="670"/>
      <c r="MWA45" s="670"/>
      <c r="MWB45" s="670"/>
      <c r="MWC45" s="670"/>
      <c r="MWD45" s="670"/>
      <c r="MWE45" s="670"/>
      <c r="MWF45" s="670"/>
      <c r="MWG45" s="670"/>
      <c r="MWH45" s="670"/>
      <c r="MWI45" s="670"/>
      <c r="MWJ45" s="670"/>
      <c r="MWK45" s="670"/>
      <c r="MWL45" s="670"/>
      <c r="MWM45" s="670"/>
      <c r="MWN45" s="670"/>
      <c r="MWO45" s="670"/>
      <c r="MWP45" s="670"/>
      <c r="MWQ45" s="670"/>
      <c r="MWR45" s="670"/>
      <c r="MWS45" s="670"/>
      <c r="MWT45" s="670"/>
      <c r="MWU45" s="670"/>
      <c r="MWV45" s="670"/>
      <c r="MWW45" s="670"/>
      <c r="MWX45" s="670"/>
      <c r="MWY45" s="670"/>
      <c r="MWZ45" s="670"/>
      <c r="MXA45" s="670"/>
      <c r="MXB45" s="670"/>
      <c r="MXC45" s="670"/>
      <c r="MXD45" s="670"/>
      <c r="MXE45" s="670"/>
      <c r="MXF45" s="670"/>
      <c r="MXG45" s="670"/>
      <c r="MXH45" s="670"/>
      <c r="MXI45" s="670"/>
      <c r="MXJ45" s="670"/>
      <c r="MXK45" s="670"/>
      <c r="MXL45" s="670"/>
      <c r="MXM45" s="670"/>
      <c r="MXN45" s="670"/>
      <c r="MXO45" s="670"/>
      <c r="MXP45" s="670"/>
      <c r="MXQ45" s="670"/>
      <c r="MXR45" s="670"/>
      <c r="MXS45" s="670"/>
      <c r="MXT45" s="670"/>
      <c r="MXU45" s="670"/>
      <c r="MXV45" s="670"/>
      <c r="MXW45" s="670"/>
      <c r="MXX45" s="670"/>
      <c r="MXY45" s="670"/>
      <c r="MXZ45" s="670"/>
      <c r="MYA45" s="670"/>
      <c r="MYB45" s="670"/>
      <c r="MYC45" s="670"/>
      <c r="MYD45" s="670"/>
      <c r="MYE45" s="670"/>
      <c r="MYF45" s="670"/>
      <c r="MYG45" s="670"/>
      <c r="MYH45" s="670"/>
      <c r="MYI45" s="670"/>
      <c r="MYJ45" s="670"/>
      <c r="MYK45" s="670"/>
      <c r="MYL45" s="670"/>
      <c r="MYM45" s="670"/>
      <c r="MYN45" s="670"/>
      <c r="MYO45" s="670"/>
      <c r="MYP45" s="670"/>
      <c r="MYQ45" s="670"/>
      <c r="MYR45" s="670"/>
      <c r="MYS45" s="670"/>
      <c r="MYT45" s="670"/>
      <c r="MYU45" s="670"/>
      <c r="MYV45" s="670"/>
      <c r="MYW45" s="670"/>
      <c r="MYX45" s="670"/>
      <c r="MYY45" s="670"/>
      <c r="MYZ45" s="670"/>
      <c r="MZA45" s="670"/>
      <c r="MZB45" s="670"/>
      <c r="MZC45" s="670"/>
      <c r="MZD45" s="670"/>
      <c r="MZE45" s="670"/>
      <c r="MZF45" s="670"/>
      <c r="MZG45" s="670"/>
      <c r="MZH45" s="670"/>
      <c r="MZI45" s="670"/>
      <c r="MZJ45" s="670"/>
      <c r="MZK45" s="670"/>
      <c r="MZL45" s="670"/>
      <c r="MZM45" s="670"/>
      <c r="MZN45" s="670"/>
      <c r="MZO45" s="670"/>
      <c r="MZP45" s="670"/>
      <c r="MZQ45" s="670"/>
      <c r="MZR45" s="670"/>
      <c r="MZS45" s="670"/>
      <c r="MZT45" s="670"/>
      <c r="MZU45" s="670"/>
      <c r="MZV45" s="670"/>
      <c r="MZW45" s="670"/>
      <c r="MZX45" s="670"/>
      <c r="MZY45" s="670"/>
      <c r="MZZ45" s="670"/>
      <c r="NAA45" s="670"/>
      <c r="NAB45" s="670"/>
      <c r="NAC45" s="670"/>
      <c r="NAD45" s="670"/>
      <c r="NAE45" s="670"/>
      <c r="NAF45" s="670"/>
      <c r="NAG45" s="670"/>
      <c r="NAH45" s="670"/>
      <c r="NAI45" s="670"/>
      <c r="NAJ45" s="670"/>
      <c r="NAK45" s="670"/>
      <c r="NAL45" s="670"/>
      <c r="NAM45" s="670"/>
      <c r="NAN45" s="670"/>
      <c r="NAO45" s="670"/>
      <c r="NAP45" s="670"/>
      <c r="NAQ45" s="670"/>
      <c r="NAR45" s="670"/>
      <c r="NAS45" s="670"/>
      <c r="NAT45" s="670"/>
      <c r="NAU45" s="670"/>
      <c r="NAV45" s="670"/>
      <c r="NAW45" s="670"/>
      <c r="NAX45" s="670"/>
      <c r="NAY45" s="670"/>
      <c r="NAZ45" s="670"/>
      <c r="NBA45" s="670"/>
      <c r="NBB45" s="670"/>
      <c r="NBC45" s="670"/>
      <c r="NBD45" s="670"/>
      <c r="NBE45" s="670"/>
      <c r="NBF45" s="670"/>
      <c r="NBG45" s="670"/>
      <c r="NBH45" s="670"/>
      <c r="NBI45" s="670"/>
      <c r="NBJ45" s="670"/>
      <c r="NBK45" s="670"/>
      <c r="NBL45" s="670"/>
      <c r="NBM45" s="670"/>
      <c r="NBN45" s="670"/>
      <c r="NBO45" s="670"/>
      <c r="NBP45" s="670"/>
      <c r="NBQ45" s="670"/>
      <c r="NBR45" s="670"/>
      <c r="NBS45" s="670"/>
      <c r="NBT45" s="670"/>
      <c r="NBU45" s="670"/>
      <c r="NBV45" s="670"/>
      <c r="NBW45" s="670"/>
      <c r="NBX45" s="670"/>
      <c r="NBY45" s="670"/>
      <c r="NBZ45" s="670"/>
      <c r="NCA45" s="670"/>
      <c r="NCB45" s="670"/>
      <c r="NCC45" s="670"/>
      <c r="NCD45" s="670"/>
      <c r="NCE45" s="670"/>
      <c r="NCF45" s="670"/>
      <c r="NCG45" s="670"/>
      <c r="NCH45" s="670"/>
      <c r="NCI45" s="670"/>
      <c r="NCJ45" s="670"/>
      <c r="NCK45" s="670"/>
      <c r="NCL45" s="670"/>
      <c r="NCM45" s="670"/>
      <c r="NCN45" s="670"/>
      <c r="NCO45" s="670"/>
      <c r="NCP45" s="670"/>
      <c r="NCQ45" s="670"/>
      <c r="NCR45" s="670"/>
      <c r="NCS45" s="670"/>
      <c r="NCT45" s="670"/>
      <c r="NCU45" s="670"/>
      <c r="NCV45" s="670"/>
      <c r="NCW45" s="670"/>
      <c r="NCX45" s="670"/>
      <c r="NCY45" s="670"/>
      <c r="NCZ45" s="670"/>
      <c r="NDA45" s="670"/>
      <c r="NDB45" s="670"/>
      <c r="NDC45" s="670"/>
      <c r="NDD45" s="670"/>
      <c r="NDE45" s="670"/>
      <c r="NDF45" s="670"/>
      <c r="NDG45" s="670"/>
      <c r="NDH45" s="670"/>
      <c r="NDI45" s="670"/>
      <c r="NDJ45" s="670"/>
      <c r="NDK45" s="670"/>
      <c r="NDL45" s="670"/>
      <c r="NDM45" s="670"/>
      <c r="NDN45" s="670"/>
      <c r="NDO45" s="670"/>
      <c r="NDP45" s="670"/>
      <c r="NDQ45" s="670"/>
      <c r="NDR45" s="670"/>
      <c r="NDS45" s="670"/>
      <c r="NDT45" s="670"/>
      <c r="NDU45" s="670"/>
      <c r="NDV45" s="670"/>
      <c r="NDW45" s="670"/>
      <c r="NDX45" s="670"/>
      <c r="NDY45" s="670"/>
      <c r="NDZ45" s="670"/>
      <c r="NEA45" s="670"/>
      <c r="NEB45" s="670"/>
      <c r="NEC45" s="670"/>
      <c r="NED45" s="670"/>
      <c r="NEE45" s="670"/>
      <c r="NEF45" s="670"/>
      <c r="NEG45" s="670"/>
      <c r="NEH45" s="670"/>
      <c r="NEI45" s="670"/>
      <c r="NEJ45" s="670"/>
      <c r="NEK45" s="670"/>
      <c r="NEL45" s="670"/>
      <c r="NEM45" s="670"/>
      <c r="NEN45" s="670"/>
      <c r="NEO45" s="670"/>
      <c r="NEP45" s="670"/>
      <c r="NEQ45" s="670"/>
      <c r="NER45" s="670"/>
      <c r="NES45" s="670"/>
      <c r="NET45" s="670"/>
      <c r="NEU45" s="670"/>
      <c r="NEV45" s="670"/>
      <c r="NEW45" s="670"/>
      <c r="NEX45" s="670"/>
      <c r="NEY45" s="670"/>
      <c r="NEZ45" s="670"/>
      <c r="NFA45" s="670"/>
      <c r="NFB45" s="670"/>
      <c r="NFC45" s="670"/>
      <c r="NFD45" s="670"/>
      <c r="NFE45" s="670"/>
      <c r="NFF45" s="670"/>
      <c r="NFG45" s="670"/>
      <c r="NFH45" s="670"/>
      <c r="NFI45" s="670"/>
      <c r="NFJ45" s="670"/>
      <c r="NFK45" s="670"/>
      <c r="NFL45" s="670"/>
      <c r="NFM45" s="670"/>
      <c r="NFN45" s="670"/>
      <c r="NFO45" s="670"/>
      <c r="NFP45" s="670"/>
      <c r="NFQ45" s="670"/>
      <c r="NFR45" s="670"/>
      <c r="NFS45" s="670"/>
      <c r="NFT45" s="670"/>
      <c r="NFU45" s="670"/>
      <c r="NFV45" s="670"/>
      <c r="NFW45" s="670"/>
      <c r="NFX45" s="670"/>
      <c r="NFY45" s="670"/>
      <c r="NFZ45" s="670"/>
      <c r="NGA45" s="670"/>
      <c r="NGB45" s="670"/>
      <c r="NGC45" s="670"/>
      <c r="NGD45" s="670"/>
      <c r="NGE45" s="670"/>
      <c r="NGF45" s="670"/>
      <c r="NGG45" s="670"/>
      <c r="NGH45" s="670"/>
      <c r="NGI45" s="670"/>
      <c r="NGJ45" s="670"/>
      <c r="NGK45" s="670"/>
      <c r="NGL45" s="670"/>
      <c r="NGM45" s="670"/>
      <c r="NGN45" s="670"/>
      <c r="NGO45" s="670"/>
      <c r="NGP45" s="670"/>
      <c r="NGQ45" s="670"/>
      <c r="NGR45" s="670"/>
      <c r="NGS45" s="670"/>
      <c r="NGT45" s="670"/>
      <c r="NGU45" s="670"/>
      <c r="NGV45" s="670"/>
      <c r="NGW45" s="670"/>
      <c r="NGX45" s="670"/>
      <c r="NGY45" s="670"/>
      <c r="NGZ45" s="670"/>
      <c r="NHA45" s="670"/>
      <c r="NHB45" s="670"/>
      <c r="NHC45" s="670"/>
      <c r="NHD45" s="670"/>
      <c r="NHE45" s="670"/>
      <c r="NHF45" s="670"/>
      <c r="NHG45" s="670"/>
      <c r="NHH45" s="670"/>
      <c r="NHI45" s="670"/>
      <c r="NHJ45" s="670"/>
      <c r="NHK45" s="670"/>
      <c r="NHL45" s="670"/>
      <c r="NHM45" s="670"/>
      <c r="NHN45" s="670"/>
      <c r="NHO45" s="670"/>
      <c r="NHP45" s="670"/>
      <c r="NHQ45" s="670"/>
      <c r="NHR45" s="670"/>
      <c r="NHS45" s="670"/>
      <c r="NHT45" s="670"/>
      <c r="NHU45" s="670"/>
      <c r="NHV45" s="670"/>
      <c r="NHW45" s="670"/>
      <c r="NHX45" s="670"/>
      <c r="NHY45" s="670"/>
      <c r="NHZ45" s="670"/>
      <c r="NIA45" s="670"/>
      <c r="NIB45" s="670"/>
      <c r="NIC45" s="670"/>
      <c r="NID45" s="670"/>
      <c r="NIE45" s="670"/>
      <c r="NIF45" s="670"/>
      <c r="NIG45" s="670"/>
      <c r="NIH45" s="670"/>
      <c r="NII45" s="670"/>
      <c r="NIJ45" s="670"/>
      <c r="NIK45" s="670"/>
      <c r="NIL45" s="670"/>
      <c r="NIM45" s="670"/>
      <c r="NIN45" s="670"/>
      <c r="NIO45" s="670"/>
      <c r="NIP45" s="670"/>
      <c r="NIQ45" s="670"/>
      <c r="NIR45" s="670"/>
      <c r="NIS45" s="670"/>
      <c r="NIT45" s="670"/>
      <c r="NIU45" s="670"/>
      <c r="NIV45" s="670"/>
      <c r="NIW45" s="670"/>
      <c r="NIX45" s="670"/>
      <c r="NIY45" s="670"/>
      <c r="NIZ45" s="670"/>
      <c r="NJA45" s="670"/>
      <c r="NJB45" s="670"/>
      <c r="NJC45" s="670"/>
      <c r="NJD45" s="670"/>
      <c r="NJE45" s="670"/>
      <c r="NJF45" s="670"/>
      <c r="NJG45" s="670"/>
      <c r="NJH45" s="670"/>
      <c r="NJI45" s="670"/>
      <c r="NJJ45" s="670"/>
      <c r="NJK45" s="670"/>
      <c r="NJL45" s="670"/>
      <c r="NJM45" s="670"/>
      <c r="NJN45" s="670"/>
      <c r="NJO45" s="670"/>
      <c r="NJP45" s="670"/>
      <c r="NJQ45" s="670"/>
      <c r="NJR45" s="670"/>
      <c r="NJS45" s="670"/>
      <c r="NJT45" s="670"/>
      <c r="NJU45" s="670"/>
      <c r="NJV45" s="670"/>
      <c r="NJW45" s="670"/>
      <c r="NJX45" s="670"/>
      <c r="NJY45" s="670"/>
      <c r="NJZ45" s="670"/>
      <c r="NKA45" s="670"/>
      <c r="NKB45" s="670"/>
      <c r="NKC45" s="670"/>
      <c r="NKD45" s="670"/>
      <c r="NKE45" s="670"/>
      <c r="NKF45" s="670"/>
      <c r="NKG45" s="670"/>
      <c r="NKH45" s="670"/>
      <c r="NKI45" s="670"/>
      <c r="NKJ45" s="670"/>
      <c r="NKK45" s="670"/>
      <c r="NKL45" s="670"/>
      <c r="NKM45" s="670"/>
      <c r="NKN45" s="670"/>
      <c r="NKO45" s="670"/>
      <c r="NKP45" s="670"/>
      <c r="NKQ45" s="670"/>
      <c r="NKR45" s="670"/>
      <c r="NKS45" s="670"/>
      <c r="NKT45" s="670"/>
      <c r="NKU45" s="670"/>
      <c r="NKV45" s="670"/>
      <c r="NKW45" s="670"/>
      <c r="NKX45" s="670"/>
      <c r="NKY45" s="670"/>
      <c r="NKZ45" s="670"/>
      <c r="NLA45" s="670"/>
      <c r="NLB45" s="670"/>
      <c r="NLC45" s="670"/>
      <c r="NLD45" s="670"/>
      <c r="NLE45" s="670"/>
      <c r="NLF45" s="670"/>
      <c r="NLG45" s="670"/>
      <c r="NLH45" s="670"/>
      <c r="NLI45" s="670"/>
      <c r="NLJ45" s="670"/>
      <c r="NLK45" s="670"/>
      <c r="NLL45" s="670"/>
      <c r="NLM45" s="670"/>
      <c r="NLN45" s="670"/>
      <c r="NLO45" s="670"/>
      <c r="NLP45" s="670"/>
      <c r="NLQ45" s="670"/>
      <c r="NLR45" s="670"/>
      <c r="NLS45" s="670"/>
      <c r="NLT45" s="670"/>
      <c r="NLU45" s="670"/>
      <c r="NLV45" s="670"/>
      <c r="NLW45" s="670"/>
      <c r="NLX45" s="670"/>
      <c r="NLY45" s="670"/>
      <c r="NLZ45" s="670"/>
      <c r="NMA45" s="670"/>
      <c r="NMB45" s="670"/>
      <c r="NMC45" s="670"/>
      <c r="NMD45" s="670"/>
      <c r="NME45" s="670"/>
      <c r="NMF45" s="670"/>
      <c r="NMG45" s="670"/>
      <c r="NMH45" s="670"/>
      <c r="NMI45" s="670"/>
      <c r="NMJ45" s="670"/>
      <c r="NMK45" s="670"/>
      <c r="NML45" s="670"/>
      <c r="NMM45" s="670"/>
      <c r="NMN45" s="670"/>
      <c r="NMO45" s="670"/>
      <c r="NMP45" s="670"/>
      <c r="NMQ45" s="670"/>
      <c r="NMR45" s="670"/>
      <c r="NMS45" s="670"/>
      <c r="NMT45" s="670"/>
      <c r="NMU45" s="670"/>
      <c r="NMV45" s="670"/>
      <c r="NMW45" s="670"/>
      <c r="NMX45" s="670"/>
      <c r="NMY45" s="670"/>
      <c r="NMZ45" s="670"/>
      <c r="NNA45" s="670"/>
      <c r="NNB45" s="670"/>
      <c r="NNC45" s="670"/>
      <c r="NND45" s="670"/>
      <c r="NNE45" s="670"/>
      <c r="NNF45" s="670"/>
      <c r="NNG45" s="670"/>
      <c r="NNH45" s="670"/>
      <c r="NNI45" s="670"/>
      <c r="NNJ45" s="670"/>
      <c r="NNK45" s="670"/>
      <c r="NNL45" s="670"/>
      <c r="NNM45" s="670"/>
      <c r="NNN45" s="670"/>
      <c r="NNO45" s="670"/>
      <c r="NNP45" s="670"/>
      <c r="NNQ45" s="670"/>
      <c r="NNR45" s="670"/>
      <c r="NNS45" s="670"/>
      <c r="NNT45" s="670"/>
      <c r="NNU45" s="670"/>
      <c r="NNV45" s="670"/>
      <c r="NNW45" s="670"/>
      <c r="NNX45" s="670"/>
      <c r="NNY45" s="670"/>
      <c r="NNZ45" s="670"/>
      <c r="NOA45" s="670"/>
      <c r="NOB45" s="670"/>
      <c r="NOC45" s="670"/>
      <c r="NOD45" s="670"/>
      <c r="NOE45" s="670"/>
      <c r="NOF45" s="670"/>
      <c r="NOG45" s="670"/>
      <c r="NOH45" s="670"/>
      <c r="NOI45" s="670"/>
      <c r="NOJ45" s="670"/>
      <c r="NOK45" s="670"/>
      <c r="NOL45" s="670"/>
      <c r="NOM45" s="670"/>
      <c r="NON45" s="670"/>
      <c r="NOO45" s="670"/>
      <c r="NOP45" s="670"/>
      <c r="NOQ45" s="670"/>
      <c r="NOR45" s="670"/>
      <c r="NOS45" s="670"/>
      <c r="NOT45" s="670"/>
      <c r="NOU45" s="670"/>
      <c r="NOV45" s="670"/>
      <c r="NOW45" s="670"/>
      <c r="NOX45" s="670"/>
      <c r="NOY45" s="670"/>
      <c r="NOZ45" s="670"/>
      <c r="NPA45" s="670"/>
      <c r="NPB45" s="670"/>
      <c r="NPC45" s="670"/>
      <c r="NPD45" s="670"/>
      <c r="NPE45" s="670"/>
      <c r="NPF45" s="670"/>
      <c r="NPG45" s="670"/>
      <c r="NPH45" s="670"/>
      <c r="NPI45" s="670"/>
      <c r="NPJ45" s="670"/>
      <c r="NPK45" s="670"/>
      <c r="NPL45" s="670"/>
      <c r="NPM45" s="670"/>
      <c r="NPN45" s="670"/>
      <c r="NPO45" s="670"/>
      <c r="NPP45" s="670"/>
      <c r="NPQ45" s="670"/>
      <c r="NPR45" s="670"/>
      <c r="NPS45" s="670"/>
      <c r="NPT45" s="670"/>
      <c r="NPU45" s="670"/>
      <c r="NPV45" s="670"/>
      <c r="NPW45" s="670"/>
      <c r="NPX45" s="670"/>
      <c r="NPY45" s="670"/>
      <c r="NPZ45" s="670"/>
      <c r="NQA45" s="670"/>
      <c r="NQB45" s="670"/>
      <c r="NQC45" s="670"/>
      <c r="NQD45" s="670"/>
      <c r="NQE45" s="670"/>
      <c r="NQF45" s="670"/>
      <c r="NQG45" s="670"/>
      <c r="NQH45" s="670"/>
      <c r="NQI45" s="670"/>
      <c r="NQJ45" s="670"/>
      <c r="NQK45" s="670"/>
      <c r="NQL45" s="670"/>
      <c r="NQM45" s="670"/>
      <c r="NQN45" s="670"/>
      <c r="NQO45" s="670"/>
      <c r="NQP45" s="670"/>
      <c r="NQQ45" s="670"/>
      <c r="NQR45" s="670"/>
      <c r="NQS45" s="670"/>
      <c r="NQT45" s="670"/>
      <c r="NQU45" s="670"/>
      <c r="NQV45" s="670"/>
      <c r="NQW45" s="670"/>
      <c r="NQX45" s="670"/>
      <c r="NQY45" s="670"/>
      <c r="NQZ45" s="670"/>
      <c r="NRA45" s="670"/>
      <c r="NRB45" s="670"/>
      <c r="NRC45" s="670"/>
      <c r="NRD45" s="670"/>
      <c r="NRE45" s="670"/>
      <c r="NRF45" s="670"/>
      <c r="NRG45" s="670"/>
      <c r="NRH45" s="670"/>
      <c r="NRI45" s="670"/>
      <c r="NRJ45" s="670"/>
      <c r="NRK45" s="670"/>
      <c r="NRL45" s="670"/>
      <c r="NRM45" s="670"/>
      <c r="NRN45" s="670"/>
      <c r="NRO45" s="670"/>
      <c r="NRP45" s="670"/>
      <c r="NRQ45" s="670"/>
      <c r="NRR45" s="670"/>
      <c r="NRS45" s="670"/>
      <c r="NRT45" s="670"/>
      <c r="NRU45" s="670"/>
      <c r="NRV45" s="670"/>
      <c r="NRW45" s="670"/>
      <c r="NRX45" s="670"/>
      <c r="NRY45" s="670"/>
      <c r="NRZ45" s="670"/>
      <c r="NSA45" s="670"/>
      <c r="NSB45" s="670"/>
      <c r="NSC45" s="670"/>
      <c r="NSD45" s="670"/>
      <c r="NSE45" s="670"/>
      <c r="NSF45" s="670"/>
      <c r="NSG45" s="670"/>
      <c r="NSH45" s="670"/>
      <c r="NSI45" s="670"/>
      <c r="NSJ45" s="670"/>
      <c r="NSK45" s="670"/>
      <c r="NSL45" s="670"/>
      <c r="NSM45" s="670"/>
      <c r="NSN45" s="670"/>
      <c r="NSO45" s="670"/>
      <c r="NSP45" s="670"/>
      <c r="NSQ45" s="670"/>
      <c r="NSR45" s="670"/>
      <c r="NSS45" s="670"/>
      <c r="NST45" s="670"/>
      <c r="NSU45" s="670"/>
      <c r="NSV45" s="670"/>
      <c r="NSW45" s="670"/>
      <c r="NSX45" s="670"/>
      <c r="NSY45" s="670"/>
      <c r="NSZ45" s="670"/>
      <c r="NTA45" s="670"/>
      <c r="NTB45" s="670"/>
      <c r="NTC45" s="670"/>
      <c r="NTD45" s="670"/>
      <c r="NTE45" s="670"/>
      <c r="NTF45" s="670"/>
      <c r="NTG45" s="670"/>
      <c r="NTH45" s="670"/>
      <c r="NTI45" s="670"/>
      <c r="NTJ45" s="670"/>
      <c r="NTK45" s="670"/>
      <c r="NTL45" s="670"/>
      <c r="NTM45" s="670"/>
      <c r="NTN45" s="670"/>
      <c r="NTO45" s="670"/>
      <c r="NTP45" s="670"/>
      <c r="NTQ45" s="670"/>
      <c r="NTR45" s="670"/>
      <c r="NTS45" s="670"/>
      <c r="NTT45" s="670"/>
      <c r="NTU45" s="670"/>
      <c r="NTV45" s="670"/>
      <c r="NTW45" s="670"/>
      <c r="NTX45" s="670"/>
      <c r="NTY45" s="670"/>
      <c r="NTZ45" s="670"/>
      <c r="NUA45" s="670"/>
      <c r="NUB45" s="670"/>
      <c r="NUC45" s="670"/>
      <c r="NUD45" s="670"/>
      <c r="NUE45" s="670"/>
      <c r="NUF45" s="670"/>
      <c r="NUG45" s="670"/>
      <c r="NUH45" s="670"/>
      <c r="NUI45" s="670"/>
      <c r="NUJ45" s="670"/>
      <c r="NUK45" s="670"/>
      <c r="NUL45" s="670"/>
      <c r="NUM45" s="670"/>
      <c r="NUN45" s="670"/>
      <c r="NUO45" s="670"/>
      <c r="NUP45" s="670"/>
      <c r="NUQ45" s="670"/>
      <c r="NUR45" s="670"/>
      <c r="NUS45" s="670"/>
      <c r="NUT45" s="670"/>
      <c r="NUU45" s="670"/>
      <c r="NUV45" s="670"/>
      <c r="NUW45" s="670"/>
      <c r="NUX45" s="670"/>
      <c r="NUY45" s="670"/>
      <c r="NUZ45" s="670"/>
      <c r="NVA45" s="670"/>
      <c r="NVB45" s="670"/>
      <c r="NVC45" s="670"/>
      <c r="NVD45" s="670"/>
      <c r="NVE45" s="670"/>
      <c r="NVF45" s="670"/>
      <c r="NVG45" s="670"/>
      <c r="NVH45" s="670"/>
      <c r="NVI45" s="670"/>
      <c r="NVJ45" s="670"/>
      <c r="NVK45" s="670"/>
      <c r="NVL45" s="670"/>
      <c r="NVM45" s="670"/>
      <c r="NVN45" s="670"/>
      <c r="NVO45" s="670"/>
      <c r="NVP45" s="670"/>
      <c r="NVQ45" s="670"/>
      <c r="NVR45" s="670"/>
      <c r="NVS45" s="670"/>
      <c r="NVT45" s="670"/>
      <c r="NVU45" s="670"/>
      <c r="NVV45" s="670"/>
      <c r="NVW45" s="670"/>
      <c r="NVX45" s="670"/>
      <c r="NVY45" s="670"/>
      <c r="NVZ45" s="670"/>
      <c r="NWA45" s="670"/>
      <c r="NWB45" s="670"/>
      <c r="NWC45" s="670"/>
      <c r="NWD45" s="670"/>
      <c r="NWE45" s="670"/>
      <c r="NWF45" s="670"/>
      <c r="NWG45" s="670"/>
      <c r="NWH45" s="670"/>
      <c r="NWI45" s="670"/>
      <c r="NWJ45" s="670"/>
      <c r="NWK45" s="670"/>
      <c r="NWL45" s="670"/>
      <c r="NWM45" s="670"/>
      <c r="NWN45" s="670"/>
      <c r="NWO45" s="670"/>
      <c r="NWP45" s="670"/>
      <c r="NWQ45" s="670"/>
      <c r="NWR45" s="670"/>
      <c r="NWS45" s="670"/>
      <c r="NWT45" s="670"/>
      <c r="NWU45" s="670"/>
      <c r="NWV45" s="670"/>
      <c r="NWW45" s="670"/>
      <c r="NWX45" s="670"/>
      <c r="NWY45" s="670"/>
      <c r="NWZ45" s="670"/>
      <c r="NXA45" s="670"/>
      <c r="NXB45" s="670"/>
      <c r="NXC45" s="670"/>
      <c r="NXD45" s="670"/>
      <c r="NXE45" s="670"/>
      <c r="NXF45" s="670"/>
      <c r="NXG45" s="670"/>
      <c r="NXH45" s="670"/>
      <c r="NXI45" s="670"/>
      <c r="NXJ45" s="670"/>
      <c r="NXK45" s="670"/>
      <c r="NXL45" s="670"/>
      <c r="NXM45" s="670"/>
      <c r="NXN45" s="670"/>
      <c r="NXO45" s="670"/>
      <c r="NXP45" s="670"/>
      <c r="NXQ45" s="670"/>
      <c r="NXR45" s="670"/>
      <c r="NXS45" s="670"/>
      <c r="NXT45" s="670"/>
      <c r="NXU45" s="670"/>
      <c r="NXV45" s="670"/>
      <c r="NXW45" s="670"/>
      <c r="NXX45" s="670"/>
      <c r="NXY45" s="670"/>
      <c r="NXZ45" s="670"/>
      <c r="NYA45" s="670"/>
      <c r="NYB45" s="670"/>
      <c r="NYC45" s="670"/>
      <c r="NYD45" s="670"/>
      <c r="NYE45" s="670"/>
      <c r="NYF45" s="670"/>
      <c r="NYG45" s="670"/>
      <c r="NYH45" s="670"/>
      <c r="NYI45" s="670"/>
      <c r="NYJ45" s="670"/>
      <c r="NYK45" s="670"/>
      <c r="NYL45" s="670"/>
      <c r="NYM45" s="670"/>
      <c r="NYN45" s="670"/>
      <c r="NYO45" s="670"/>
      <c r="NYP45" s="670"/>
      <c r="NYQ45" s="670"/>
      <c r="NYR45" s="670"/>
      <c r="NYS45" s="670"/>
      <c r="NYT45" s="670"/>
      <c r="NYU45" s="670"/>
      <c r="NYV45" s="670"/>
      <c r="NYW45" s="670"/>
      <c r="NYX45" s="670"/>
      <c r="NYY45" s="670"/>
      <c r="NYZ45" s="670"/>
      <c r="NZA45" s="670"/>
      <c r="NZB45" s="670"/>
      <c r="NZC45" s="670"/>
      <c r="NZD45" s="670"/>
      <c r="NZE45" s="670"/>
      <c r="NZF45" s="670"/>
      <c r="NZG45" s="670"/>
      <c r="NZH45" s="670"/>
      <c r="NZI45" s="670"/>
      <c r="NZJ45" s="670"/>
      <c r="NZK45" s="670"/>
      <c r="NZL45" s="670"/>
      <c r="NZM45" s="670"/>
      <c r="NZN45" s="670"/>
      <c r="NZO45" s="670"/>
      <c r="NZP45" s="670"/>
      <c r="NZQ45" s="670"/>
      <c r="NZR45" s="670"/>
      <c r="NZS45" s="670"/>
      <c r="NZT45" s="670"/>
      <c r="NZU45" s="670"/>
      <c r="NZV45" s="670"/>
      <c r="NZW45" s="670"/>
      <c r="NZX45" s="670"/>
      <c r="NZY45" s="670"/>
      <c r="NZZ45" s="670"/>
      <c r="OAA45" s="670"/>
      <c r="OAB45" s="670"/>
      <c r="OAC45" s="670"/>
      <c r="OAD45" s="670"/>
      <c r="OAE45" s="670"/>
      <c r="OAF45" s="670"/>
      <c r="OAG45" s="670"/>
      <c r="OAH45" s="670"/>
      <c r="OAI45" s="670"/>
      <c r="OAJ45" s="670"/>
      <c r="OAK45" s="670"/>
      <c r="OAL45" s="670"/>
      <c r="OAM45" s="670"/>
      <c r="OAN45" s="670"/>
      <c r="OAO45" s="670"/>
      <c r="OAP45" s="670"/>
      <c r="OAQ45" s="670"/>
      <c r="OAR45" s="670"/>
      <c r="OAS45" s="670"/>
      <c r="OAT45" s="670"/>
      <c r="OAU45" s="670"/>
      <c r="OAV45" s="670"/>
      <c r="OAW45" s="670"/>
      <c r="OAX45" s="670"/>
      <c r="OAY45" s="670"/>
      <c r="OAZ45" s="670"/>
      <c r="OBA45" s="670"/>
      <c r="OBB45" s="670"/>
      <c r="OBC45" s="670"/>
      <c r="OBD45" s="670"/>
      <c r="OBE45" s="670"/>
      <c r="OBF45" s="670"/>
      <c r="OBG45" s="670"/>
      <c r="OBH45" s="670"/>
      <c r="OBI45" s="670"/>
      <c r="OBJ45" s="670"/>
      <c r="OBK45" s="670"/>
      <c r="OBL45" s="670"/>
      <c r="OBM45" s="670"/>
      <c r="OBN45" s="670"/>
      <c r="OBO45" s="670"/>
      <c r="OBP45" s="670"/>
      <c r="OBQ45" s="670"/>
      <c r="OBR45" s="670"/>
      <c r="OBS45" s="670"/>
      <c r="OBT45" s="670"/>
      <c r="OBU45" s="670"/>
      <c r="OBV45" s="670"/>
      <c r="OBW45" s="670"/>
      <c r="OBX45" s="670"/>
      <c r="OBY45" s="670"/>
      <c r="OBZ45" s="670"/>
      <c r="OCA45" s="670"/>
      <c r="OCB45" s="670"/>
      <c r="OCC45" s="670"/>
      <c r="OCD45" s="670"/>
      <c r="OCE45" s="670"/>
      <c r="OCF45" s="670"/>
      <c r="OCG45" s="670"/>
      <c r="OCH45" s="670"/>
      <c r="OCI45" s="670"/>
      <c r="OCJ45" s="670"/>
      <c r="OCK45" s="670"/>
      <c r="OCL45" s="670"/>
      <c r="OCM45" s="670"/>
      <c r="OCN45" s="670"/>
      <c r="OCO45" s="670"/>
      <c r="OCP45" s="670"/>
      <c r="OCQ45" s="670"/>
      <c r="OCR45" s="670"/>
      <c r="OCS45" s="670"/>
      <c r="OCT45" s="670"/>
      <c r="OCU45" s="670"/>
      <c r="OCV45" s="670"/>
      <c r="OCW45" s="670"/>
      <c r="OCX45" s="670"/>
      <c r="OCY45" s="670"/>
      <c r="OCZ45" s="670"/>
      <c r="ODA45" s="670"/>
      <c r="ODB45" s="670"/>
      <c r="ODC45" s="670"/>
      <c r="ODD45" s="670"/>
      <c r="ODE45" s="670"/>
      <c r="ODF45" s="670"/>
      <c r="ODG45" s="670"/>
      <c r="ODH45" s="670"/>
      <c r="ODI45" s="670"/>
      <c r="ODJ45" s="670"/>
      <c r="ODK45" s="670"/>
      <c r="ODL45" s="670"/>
      <c r="ODM45" s="670"/>
      <c r="ODN45" s="670"/>
      <c r="ODO45" s="670"/>
      <c r="ODP45" s="670"/>
      <c r="ODQ45" s="670"/>
      <c r="ODR45" s="670"/>
      <c r="ODS45" s="670"/>
      <c r="ODT45" s="670"/>
      <c r="ODU45" s="670"/>
      <c r="ODV45" s="670"/>
      <c r="ODW45" s="670"/>
      <c r="ODX45" s="670"/>
      <c r="ODY45" s="670"/>
      <c r="ODZ45" s="670"/>
      <c r="OEA45" s="670"/>
      <c r="OEB45" s="670"/>
      <c r="OEC45" s="670"/>
      <c r="OED45" s="670"/>
      <c r="OEE45" s="670"/>
      <c r="OEF45" s="670"/>
      <c r="OEG45" s="670"/>
      <c r="OEH45" s="670"/>
      <c r="OEI45" s="670"/>
      <c r="OEJ45" s="670"/>
      <c r="OEK45" s="670"/>
      <c r="OEL45" s="670"/>
      <c r="OEM45" s="670"/>
      <c r="OEN45" s="670"/>
      <c r="OEO45" s="670"/>
      <c r="OEP45" s="670"/>
      <c r="OEQ45" s="670"/>
      <c r="OER45" s="670"/>
      <c r="OES45" s="670"/>
      <c r="OET45" s="670"/>
      <c r="OEU45" s="670"/>
      <c r="OEV45" s="670"/>
      <c r="OEW45" s="670"/>
      <c r="OEX45" s="670"/>
      <c r="OEY45" s="670"/>
      <c r="OEZ45" s="670"/>
      <c r="OFA45" s="670"/>
      <c r="OFB45" s="670"/>
      <c r="OFC45" s="670"/>
      <c r="OFD45" s="670"/>
      <c r="OFE45" s="670"/>
      <c r="OFF45" s="670"/>
      <c r="OFG45" s="670"/>
      <c r="OFH45" s="670"/>
      <c r="OFI45" s="670"/>
      <c r="OFJ45" s="670"/>
      <c r="OFK45" s="670"/>
      <c r="OFL45" s="670"/>
      <c r="OFM45" s="670"/>
      <c r="OFN45" s="670"/>
      <c r="OFO45" s="670"/>
      <c r="OFP45" s="670"/>
      <c r="OFQ45" s="670"/>
      <c r="OFR45" s="670"/>
      <c r="OFS45" s="670"/>
      <c r="OFT45" s="670"/>
      <c r="OFU45" s="670"/>
      <c r="OFV45" s="670"/>
      <c r="OFW45" s="670"/>
      <c r="OFX45" s="670"/>
      <c r="OFY45" s="670"/>
      <c r="OFZ45" s="670"/>
      <c r="OGA45" s="670"/>
      <c r="OGB45" s="670"/>
      <c r="OGC45" s="670"/>
      <c r="OGD45" s="670"/>
      <c r="OGE45" s="670"/>
      <c r="OGF45" s="670"/>
      <c r="OGG45" s="670"/>
      <c r="OGH45" s="670"/>
      <c r="OGI45" s="670"/>
      <c r="OGJ45" s="670"/>
      <c r="OGK45" s="670"/>
      <c r="OGL45" s="670"/>
      <c r="OGM45" s="670"/>
      <c r="OGN45" s="670"/>
      <c r="OGO45" s="670"/>
      <c r="OGP45" s="670"/>
      <c r="OGQ45" s="670"/>
      <c r="OGR45" s="670"/>
      <c r="OGS45" s="670"/>
      <c r="OGT45" s="670"/>
      <c r="OGU45" s="670"/>
      <c r="OGV45" s="670"/>
      <c r="OGW45" s="670"/>
      <c r="OGX45" s="670"/>
      <c r="OGY45" s="670"/>
      <c r="OGZ45" s="670"/>
      <c r="OHA45" s="670"/>
      <c r="OHB45" s="670"/>
      <c r="OHC45" s="670"/>
      <c r="OHD45" s="670"/>
      <c r="OHE45" s="670"/>
      <c r="OHF45" s="670"/>
      <c r="OHG45" s="670"/>
      <c r="OHH45" s="670"/>
      <c r="OHI45" s="670"/>
      <c r="OHJ45" s="670"/>
      <c r="OHK45" s="670"/>
      <c r="OHL45" s="670"/>
      <c r="OHM45" s="670"/>
      <c r="OHN45" s="670"/>
      <c r="OHO45" s="670"/>
      <c r="OHP45" s="670"/>
      <c r="OHQ45" s="670"/>
      <c r="OHR45" s="670"/>
      <c r="OHS45" s="670"/>
      <c r="OHT45" s="670"/>
      <c r="OHU45" s="670"/>
      <c r="OHV45" s="670"/>
      <c r="OHW45" s="670"/>
      <c r="OHX45" s="670"/>
      <c r="OHY45" s="670"/>
      <c r="OHZ45" s="670"/>
      <c r="OIA45" s="670"/>
      <c r="OIB45" s="670"/>
      <c r="OIC45" s="670"/>
      <c r="OID45" s="670"/>
      <c r="OIE45" s="670"/>
      <c r="OIF45" s="670"/>
      <c r="OIG45" s="670"/>
      <c r="OIH45" s="670"/>
      <c r="OII45" s="670"/>
      <c r="OIJ45" s="670"/>
      <c r="OIK45" s="670"/>
      <c r="OIL45" s="670"/>
      <c r="OIM45" s="670"/>
      <c r="OIN45" s="670"/>
      <c r="OIO45" s="670"/>
      <c r="OIP45" s="670"/>
      <c r="OIQ45" s="670"/>
      <c r="OIR45" s="670"/>
      <c r="OIS45" s="670"/>
      <c r="OIT45" s="670"/>
      <c r="OIU45" s="670"/>
      <c r="OIV45" s="670"/>
      <c r="OIW45" s="670"/>
      <c r="OIX45" s="670"/>
      <c r="OIY45" s="670"/>
      <c r="OIZ45" s="670"/>
      <c r="OJA45" s="670"/>
      <c r="OJB45" s="670"/>
      <c r="OJC45" s="670"/>
      <c r="OJD45" s="670"/>
      <c r="OJE45" s="670"/>
      <c r="OJF45" s="670"/>
      <c r="OJG45" s="670"/>
      <c r="OJH45" s="670"/>
      <c r="OJI45" s="670"/>
      <c r="OJJ45" s="670"/>
      <c r="OJK45" s="670"/>
      <c r="OJL45" s="670"/>
      <c r="OJM45" s="670"/>
      <c r="OJN45" s="670"/>
      <c r="OJO45" s="670"/>
      <c r="OJP45" s="670"/>
      <c r="OJQ45" s="670"/>
      <c r="OJR45" s="670"/>
      <c r="OJS45" s="670"/>
      <c r="OJT45" s="670"/>
      <c r="OJU45" s="670"/>
      <c r="OJV45" s="670"/>
      <c r="OJW45" s="670"/>
      <c r="OJX45" s="670"/>
      <c r="OJY45" s="670"/>
      <c r="OJZ45" s="670"/>
      <c r="OKA45" s="670"/>
      <c r="OKB45" s="670"/>
      <c r="OKC45" s="670"/>
      <c r="OKD45" s="670"/>
      <c r="OKE45" s="670"/>
      <c r="OKF45" s="670"/>
      <c r="OKG45" s="670"/>
      <c r="OKH45" s="670"/>
      <c r="OKI45" s="670"/>
      <c r="OKJ45" s="670"/>
      <c r="OKK45" s="670"/>
      <c r="OKL45" s="670"/>
      <c r="OKM45" s="670"/>
      <c r="OKN45" s="670"/>
      <c r="OKO45" s="670"/>
      <c r="OKP45" s="670"/>
      <c r="OKQ45" s="670"/>
      <c r="OKR45" s="670"/>
      <c r="OKS45" s="670"/>
      <c r="OKT45" s="670"/>
      <c r="OKU45" s="670"/>
      <c r="OKV45" s="670"/>
      <c r="OKW45" s="670"/>
      <c r="OKX45" s="670"/>
      <c r="OKY45" s="670"/>
      <c r="OKZ45" s="670"/>
      <c r="OLA45" s="670"/>
      <c r="OLB45" s="670"/>
      <c r="OLC45" s="670"/>
      <c r="OLD45" s="670"/>
      <c r="OLE45" s="670"/>
      <c r="OLF45" s="670"/>
      <c r="OLG45" s="670"/>
      <c r="OLH45" s="670"/>
      <c r="OLI45" s="670"/>
      <c r="OLJ45" s="670"/>
      <c r="OLK45" s="670"/>
      <c r="OLL45" s="670"/>
      <c r="OLM45" s="670"/>
      <c r="OLN45" s="670"/>
      <c r="OLO45" s="670"/>
      <c r="OLP45" s="670"/>
      <c r="OLQ45" s="670"/>
      <c r="OLR45" s="670"/>
      <c r="OLS45" s="670"/>
      <c r="OLT45" s="670"/>
      <c r="OLU45" s="670"/>
      <c r="OLV45" s="670"/>
      <c r="OLW45" s="670"/>
      <c r="OLX45" s="670"/>
      <c r="OLY45" s="670"/>
      <c r="OLZ45" s="670"/>
      <c r="OMA45" s="670"/>
      <c r="OMB45" s="670"/>
      <c r="OMC45" s="670"/>
      <c r="OMD45" s="670"/>
      <c r="OME45" s="670"/>
      <c r="OMF45" s="670"/>
      <c r="OMG45" s="670"/>
      <c r="OMH45" s="670"/>
      <c r="OMI45" s="670"/>
      <c r="OMJ45" s="670"/>
      <c r="OMK45" s="670"/>
      <c r="OML45" s="670"/>
      <c r="OMM45" s="670"/>
      <c r="OMN45" s="670"/>
      <c r="OMO45" s="670"/>
      <c r="OMP45" s="670"/>
      <c r="OMQ45" s="670"/>
      <c r="OMR45" s="670"/>
      <c r="OMS45" s="670"/>
      <c r="OMT45" s="670"/>
      <c r="OMU45" s="670"/>
      <c r="OMV45" s="670"/>
      <c r="OMW45" s="670"/>
      <c r="OMX45" s="670"/>
      <c r="OMY45" s="670"/>
      <c r="OMZ45" s="670"/>
      <c r="ONA45" s="670"/>
      <c r="ONB45" s="670"/>
      <c r="ONC45" s="670"/>
      <c r="OND45" s="670"/>
      <c r="ONE45" s="670"/>
      <c r="ONF45" s="670"/>
      <c r="ONG45" s="670"/>
      <c r="ONH45" s="670"/>
      <c r="ONI45" s="670"/>
      <c r="ONJ45" s="670"/>
      <c r="ONK45" s="670"/>
      <c r="ONL45" s="670"/>
      <c r="ONM45" s="670"/>
      <c r="ONN45" s="670"/>
      <c r="ONO45" s="670"/>
      <c r="ONP45" s="670"/>
      <c r="ONQ45" s="670"/>
      <c r="ONR45" s="670"/>
      <c r="ONS45" s="670"/>
      <c r="ONT45" s="670"/>
      <c r="ONU45" s="670"/>
      <c r="ONV45" s="670"/>
      <c r="ONW45" s="670"/>
      <c r="ONX45" s="670"/>
      <c r="ONY45" s="670"/>
      <c r="ONZ45" s="670"/>
      <c r="OOA45" s="670"/>
      <c r="OOB45" s="670"/>
      <c r="OOC45" s="670"/>
      <c r="OOD45" s="670"/>
      <c r="OOE45" s="670"/>
      <c r="OOF45" s="670"/>
      <c r="OOG45" s="670"/>
      <c r="OOH45" s="670"/>
      <c r="OOI45" s="670"/>
      <c r="OOJ45" s="670"/>
      <c r="OOK45" s="670"/>
      <c r="OOL45" s="670"/>
      <c r="OOM45" s="670"/>
      <c r="OON45" s="670"/>
      <c r="OOO45" s="670"/>
      <c r="OOP45" s="670"/>
      <c r="OOQ45" s="670"/>
      <c r="OOR45" s="670"/>
      <c r="OOS45" s="670"/>
      <c r="OOT45" s="670"/>
      <c r="OOU45" s="670"/>
      <c r="OOV45" s="670"/>
      <c r="OOW45" s="670"/>
      <c r="OOX45" s="670"/>
      <c r="OOY45" s="670"/>
      <c r="OOZ45" s="670"/>
      <c r="OPA45" s="670"/>
      <c r="OPB45" s="670"/>
      <c r="OPC45" s="670"/>
      <c r="OPD45" s="670"/>
      <c r="OPE45" s="670"/>
      <c r="OPF45" s="670"/>
      <c r="OPG45" s="670"/>
      <c r="OPH45" s="670"/>
      <c r="OPI45" s="670"/>
      <c r="OPJ45" s="670"/>
      <c r="OPK45" s="670"/>
      <c r="OPL45" s="670"/>
      <c r="OPM45" s="670"/>
      <c r="OPN45" s="670"/>
      <c r="OPO45" s="670"/>
      <c r="OPP45" s="670"/>
      <c r="OPQ45" s="670"/>
      <c r="OPR45" s="670"/>
      <c r="OPS45" s="670"/>
      <c r="OPT45" s="670"/>
      <c r="OPU45" s="670"/>
      <c r="OPV45" s="670"/>
      <c r="OPW45" s="670"/>
      <c r="OPX45" s="670"/>
      <c r="OPY45" s="670"/>
      <c r="OPZ45" s="670"/>
      <c r="OQA45" s="670"/>
      <c r="OQB45" s="670"/>
      <c r="OQC45" s="670"/>
      <c r="OQD45" s="670"/>
      <c r="OQE45" s="670"/>
      <c r="OQF45" s="670"/>
      <c r="OQG45" s="670"/>
      <c r="OQH45" s="670"/>
      <c r="OQI45" s="670"/>
      <c r="OQJ45" s="670"/>
      <c r="OQK45" s="670"/>
      <c r="OQL45" s="670"/>
      <c r="OQM45" s="670"/>
      <c r="OQN45" s="670"/>
      <c r="OQO45" s="670"/>
      <c r="OQP45" s="670"/>
      <c r="OQQ45" s="670"/>
      <c r="OQR45" s="670"/>
      <c r="OQS45" s="670"/>
      <c r="OQT45" s="670"/>
      <c r="OQU45" s="670"/>
      <c r="OQV45" s="670"/>
      <c r="OQW45" s="670"/>
      <c r="OQX45" s="670"/>
      <c r="OQY45" s="670"/>
      <c r="OQZ45" s="670"/>
      <c r="ORA45" s="670"/>
      <c r="ORB45" s="670"/>
      <c r="ORC45" s="670"/>
      <c r="ORD45" s="670"/>
      <c r="ORE45" s="670"/>
      <c r="ORF45" s="670"/>
      <c r="ORG45" s="670"/>
      <c r="ORH45" s="670"/>
      <c r="ORI45" s="670"/>
      <c r="ORJ45" s="670"/>
      <c r="ORK45" s="670"/>
      <c r="ORL45" s="670"/>
      <c r="ORM45" s="670"/>
      <c r="ORN45" s="670"/>
      <c r="ORO45" s="670"/>
      <c r="ORP45" s="670"/>
      <c r="ORQ45" s="670"/>
      <c r="ORR45" s="670"/>
      <c r="ORS45" s="670"/>
      <c r="ORT45" s="670"/>
      <c r="ORU45" s="670"/>
      <c r="ORV45" s="670"/>
      <c r="ORW45" s="670"/>
      <c r="ORX45" s="670"/>
      <c r="ORY45" s="670"/>
      <c r="ORZ45" s="670"/>
      <c r="OSA45" s="670"/>
      <c r="OSB45" s="670"/>
      <c r="OSC45" s="670"/>
      <c r="OSD45" s="670"/>
      <c r="OSE45" s="670"/>
      <c r="OSF45" s="670"/>
      <c r="OSG45" s="670"/>
      <c r="OSH45" s="670"/>
      <c r="OSI45" s="670"/>
      <c r="OSJ45" s="670"/>
      <c r="OSK45" s="670"/>
      <c r="OSL45" s="670"/>
      <c r="OSM45" s="670"/>
      <c r="OSN45" s="670"/>
      <c r="OSO45" s="670"/>
      <c r="OSP45" s="670"/>
      <c r="OSQ45" s="670"/>
      <c r="OSR45" s="670"/>
      <c r="OSS45" s="670"/>
      <c r="OST45" s="670"/>
      <c r="OSU45" s="670"/>
      <c r="OSV45" s="670"/>
      <c r="OSW45" s="670"/>
      <c r="OSX45" s="670"/>
      <c r="OSY45" s="670"/>
      <c r="OSZ45" s="670"/>
      <c r="OTA45" s="670"/>
      <c r="OTB45" s="670"/>
      <c r="OTC45" s="670"/>
      <c r="OTD45" s="670"/>
      <c r="OTE45" s="670"/>
      <c r="OTF45" s="670"/>
      <c r="OTG45" s="670"/>
      <c r="OTH45" s="670"/>
      <c r="OTI45" s="670"/>
      <c r="OTJ45" s="670"/>
      <c r="OTK45" s="670"/>
      <c r="OTL45" s="670"/>
      <c r="OTM45" s="670"/>
      <c r="OTN45" s="670"/>
      <c r="OTO45" s="670"/>
      <c r="OTP45" s="670"/>
      <c r="OTQ45" s="670"/>
      <c r="OTR45" s="670"/>
      <c r="OTS45" s="670"/>
      <c r="OTT45" s="670"/>
      <c r="OTU45" s="670"/>
      <c r="OTV45" s="670"/>
      <c r="OTW45" s="670"/>
      <c r="OTX45" s="670"/>
      <c r="OTY45" s="670"/>
      <c r="OTZ45" s="670"/>
      <c r="OUA45" s="670"/>
      <c r="OUB45" s="670"/>
      <c r="OUC45" s="670"/>
      <c r="OUD45" s="670"/>
      <c r="OUE45" s="670"/>
      <c r="OUF45" s="670"/>
      <c r="OUG45" s="670"/>
      <c r="OUH45" s="670"/>
      <c r="OUI45" s="670"/>
      <c r="OUJ45" s="670"/>
      <c r="OUK45" s="670"/>
      <c r="OUL45" s="670"/>
      <c r="OUM45" s="670"/>
      <c r="OUN45" s="670"/>
      <c r="OUO45" s="670"/>
      <c r="OUP45" s="670"/>
      <c r="OUQ45" s="670"/>
      <c r="OUR45" s="670"/>
      <c r="OUS45" s="670"/>
      <c r="OUT45" s="670"/>
      <c r="OUU45" s="670"/>
      <c r="OUV45" s="670"/>
      <c r="OUW45" s="670"/>
      <c r="OUX45" s="670"/>
      <c r="OUY45" s="670"/>
      <c r="OUZ45" s="670"/>
      <c r="OVA45" s="670"/>
      <c r="OVB45" s="670"/>
      <c r="OVC45" s="670"/>
      <c r="OVD45" s="670"/>
      <c r="OVE45" s="670"/>
      <c r="OVF45" s="670"/>
      <c r="OVG45" s="670"/>
      <c r="OVH45" s="670"/>
      <c r="OVI45" s="670"/>
      <c r="OVJ45" s="670"/>
      <c r="OVK45" s="670"/>
      <c r="OVL45" s="670"/>
      <c r="OVM45" s="670"/>
      <c r="OVN45" s="670"/>
      <c r="OVO45" s="670"/>
      <c r="OVP45" s="670"/>
      <c r="OVQ45" s="670"/>
      <c r="OVR45" s="670"/>
      <c r="OVS45" s="670"/>
      <c r="OVT45" s="670"/>
      <c r="OVU45" s="670"/>
      <c r="OVV45" s="670"/>
      <c r="OVW45" s="670"/>
      <c r="OVX45" s="670"/>
      <c r="OVY45" s="670"/>
      <c r="OVZ45" s="670"/>
      <c r="OWA45" s="670"/>
      <c r="OWB45" s="670"/>
      <c r="OWC45" s="670"/>
      <c r="OWD45" s="670"/>
      <c r="OWE45" s="670"/>
      <c r="OWF45" s="670"/>
      <c r="OWG45" s="670"/>
      <c r="OWH45" s="670"/>
      <c r="OWI45" s="670"/>
      <c r="OWJ45" s="670"/>
      <c r="OWK45" s="670"/>
      <c r="OWL45" s="670"/>
      <c r="OWM45" s="670"/>
      <c r="OWN45" s="670"/>
      <c r="OWO45" s="670"/>
      <c r="OWP45" s="670"/>
      <c r="OWQ45" s="670"/>
      <c r="OWR45" s="670"/>
      <c r="OWS45" s="670"/>
      <c r="OWT45" s="670"/>
      <c r="OWU45" s="670"/>
      <c r="OWV45" s="670"/>
      <c r="OWW45" s="670"/>
      <c r="OWX45" s="670"/>
      <c r="OWY45" s="670"/>
      <c r="OWZ45" s="670"/>
      <c r="OXA45" s="670"/>
      <c r="OXB45" s="670"/>
      <c r="OXC45" s="670"/>
      <c r="OXD45" s="670"/>
      <c r="OXE45" s="670"/>
      <c r="OXF45" s="670"/>
      <c r="OXG45" s="670"/>
      <c r="OXH45" s="670"/>
      <c r="OXI45" s="670"/>
      <c r="OXJ45" s="670"/>
      <c r="OXK45" s="670"/>
      <c r="OXL45" s="670"/>
      <c r="OXM45" s="670"/>
      <c r="OXN45" s="670"/>
      <c r="OXO45" s="670"/>
      <c r="OXP45" s="670"/>
      <c r="OXQ45" s="670"/>
      <c r="OXR45" s="670"/>
      <c r="OXS45" s="670"/>
      <c r="OXT45" s="670"/>
      <c r="OXU45" s="670"/>
      <c r="OXV45" s="670"/>
      <c r="OXW45" s="670"/>
      <c r="OXX45" s="670"/>
      <c r="OXY45" s="670"/>
      <c r="OXZ45" s="670"/>
      <c r="OYA45" s="670"/>
      <c r="OYB45" s="670"/>
      <c r="OYC45" s="670"/>
      <c r="OYD45" s="670"/>
      <c r="OYE45" s="670"/>
      <c r="OYF45" s="670"/>
      <c r="OYG45" s="670"/>
      <c r="OYH45" s="670"/>
      <c r="OYI45" s="670"/>
      <c r="OYJ45" s="670"/>
      <c r="OYK45" s="670"/>
      <c r="OYL45" s="670"/>
      <c r="OYM45" s="670"/>
      <c r="OYN45" s="670"/>
      <c r="OYO45" s="670"/>
      <c r="OYP45" s="670"/>
      <c r="OYQ45" s="670"/>
      <c r="OYR45" s="670"/>
      <c r="OYS45" s="670"/>
      <c r="OYT45" s="670"/>
      <c r="OYU45" s="670"/>
      <c r="OYV45" s="670"/>
      <c r="OYW45" s="670"/>
      <c r="OYX45" s="670"/>
      <c r="OYY45" s="670"/>
      <c r="OYZ45" s="670"/>
      <c r="OZA45" s="670"/>
      <c r="OZB45" s="670"/>
      <c r="OZC45" s="670"/>
      <c r="OZD45" s="670"/>
      <c r="OZE45" s="670"/>
      <c r="OZF45" s="670"/>
      <c r="OZG45" s="670"/>
      <c r="OZH45" s="670"/>
      <c r="OZI45" s="670"/>
      <c r="OZJ45" s="670"/>
      <c r="OZK45" s="670"/>
      <c r="OZL45" s="670"/>
      <c r="OZM45" s="670"/>
      <c r="OZN45" s="670"/>
      <c r="OZO45" s="670"/>
      <c r="OZP45" s="670"/>
      <c r="OZQ45" s="670"/>
      <c r="OZR45" s="670"/>
      <c r="OZS45" s="670"/>
      <c r="OZT45" s="670"/>
      <c r="OZU45" s="670"/>
      <c r="OZV45" s="670"/>
      <c r="OZW45" s="670"/>
      <c r="OZX45" s="670"/>
      <c r="OZY45" s="670"/>
      <c r="OZZ45" s="670"/>
      <c r="PAA45" s="670"/>
      <c r="PAB45" s="670"/>
      <c r="PAC45" s="670"/>
      <c r="PAD45" s="670"/>
      <c r="PAE45" s="670"/>
      <c r="PAF45" s="670"/>
      <c r="PAG45" s="670"/>
      <c r="PAH45" s="670"/>
      <c r="PAI45" s="670"/>
      <c r="PAJ45" s="670"/>
      <c r="PAK45" s="670"/>
      <c r="PAL45" s="670"/>
      <c r="PAM45" s="670"/>
      <c r="PAN45" s="670"/>
      <c r="PAO45" s="670"/>
      <c r="PAP45" s="670"/>
      <c r="PAQ45" s="670"/>
      <c r="PAR45" s="670"/>
      <c r="PAS45" s="670"/>
      <c r="PAT45" s="670"/>
      <c r="PAU45" s="670"/>
      <c r="PAV45" s="670"/>
      <c r="PAW45" s="670"/>
      <c r="PAX45" s="670"/>
      <c r="PAY45" s="670"/>
      <c r="PAZ45" s="670"/>
      <c r="PBA45" s="670"/>
      <c r="PBB45" s="670"/>
      <c r="PBC45" s="670"/>
      <c r="PBD45" s="670"/>
      <c r="PBE45" s="670"/>
      <c r="PBF45" s="670"/>
      <c r="PBG45" s="670"/>
      <c r="PBH45" s="670"/>
      <c r="PBI45" s="670"/>
      <c r="PBJ45" s="670"/>
      <c r="PBK45" s="670"/>
      <c r="PBL45" s="670"/>
      <c r="PBM45" s="670"/>
      <c r="PBN45" s="670"/>
      <c r="PBO45" s="670"/>
      <c r="PBP45" s="670"/>
      <c r="PBQ45" s="670"/>
      <c r="PBR45" s="670"/>
      <c r="PBS45" s="670"/>
      <c r="PBT45" s="670"/>
      <c r="PBU45" s="670"/>
      <c r="PBV45" s="670"/>
      <c r="PBW45" s="670"/>
      <c r="PBX45" s="670"/>
      <c r="PBY45" s="670"/>
      <c r="PBZ45" s="670"/>
      <c r="PCA45" s="670"/>
      <c r="PCB45" s="670"/>
      <c r="PCC45" s="670"/>
      <c r="PCD45" s="670"/>
      <c r="PCE45" s="670"/>
      <c r="PCF45" s="670"/>
      <c r="PCG45" s="670"/>
      <c r="PCH45" s="670"/>
      <c r="PCI45" s="670"/>
      <c r="PCJ45" s="670"/>
      <c r="PCK45" s="670"/>
      <c r="PCL45" s="670"/>
      <c r="PCM45" s="670"/>
      <c r="PCN45" s="670"/>
      <c r="PCO45" s="670"/>
      <c r="PCP45" s="670"/>
      <c r="PCQ45" s="670"/>
      <c r="PCR45" s="670"/>
      <c r="PCS45" s="670"/>
      <c r="PCT45" s="670"/>
      <c r="PCU45" s="670"/>
      <c r="PCV45" s="670"/>
      <c r="PCW45" s="670"/>
      <c r="PCX45" s="670"/>
      <c r="PCY45" s="670"/>
      <c r="PCZ45" s="670"/>
      <c r="PDA45" s="670"/>
      <c r="PDB45" s="670"/>
      <c r="PDC45" s="670"/>
      <c r="PDD45" s="670"/>
      <c r="PDE45" s="670"/>
      <c r="PDF45" s="670"/>
      <c r="PDG45" s="670"/>
      <c r="PDH45" s="670"/>
      <c r="PDI45" s="670"/>
      <c r="PDJ45" s="670"/>
      <c r="PDK45" s="670"/>
      <c r="PDL45" s="670"/>
      <c r="PDM45" s="670"/>
      <c r="PDN45" s="670"/>
      <c r="PDO45" s="670"/>
      <c r="PDP45" s="670"/>
      <c r="PDQ45" s="670"/>
      <c r="PDR45" s="670"/>
      <c r="PDS45" s="670"/>
      <c r="PDT45" s="670"/>
      <c r="PDU45" s="670"/>
      <c r="PDV45" s="670"/>
      <c r="PDW45" s="670"/>
      <c r="PDX45" s="670"/>
      <c r="PDY45" s="670"/>
      <c r="PDZ45" s="670"/>
      <c r="PEA45" s="670"/>
      <c r="PEB45" s="670"/>
      <c r="PEC45" s="670"/>
      <c r="PED45" s="670"/>
      <c r="PEE45" s="670"/>
      <c r="PEF45" s="670"/>
      <c r="PEG45" s="670"/>
      <c r="PEH45" s="670"/>
      <c r="PEI45" s="670"/>
      <c r="PEJ45" s="670"/>
      <c r="PEK45" s="670"/>
      <c r="PEL45" s="670"/>
      <c r="PEM45" s="670"/>
      <c r="PEN45" s="670"/>
      <c r="PEO45" s="670"/>
      <c r="PEP45" s="670"/>
      <c r="PEQ45" s="670"/>
      <c r="PER45" s="670"/>
      <c r="PES45" s="670"/>
      <c r="PET45" s="670"/>
      <c r="PEU45" s="670"/>
      <c r="PEV45" s="670"/>
      <c r="PEW45" s="670"/>
      <c r="PEX45" s="670"/>
      <c r="PEY45" s="670"/>
      <c r="PEZ45" s="670"/>
      <c r="PFA45" s="670"/>
      <c r="PFB45" s="670"/>
      <c r="PFC45" s="670"/>
      <c r="PFD45" s="670"/>
      <c r="PFE45" s="670"/>
      <c r="PFF45" s="670"/>
      <c r="PFG45" s="670"/>
      <c r="PFH45" s="670"/>
      <c r="PFI45" s="670"/>
      <c r="PFJ45" s="670"/>
      <c r="PFK45" s="670"/>
      <c r="PFL45" s="670"/>
      <c r="PFM45" s="670"/>
      <c r="PFN45" s="670"/>
      <c r="PFO45" s="670"/>
      <c r="PFP45" s="670"/>
      <c r="PFQ45" s="670"/>
      <c r="PFR45" s="670"/>
      <c r="PFS45" s="670"/>
      <c r="PFT45" s="670"/>
      <c r="PFU45" s="670"/>
      <c r="PFV45" s="670"/>
      <c r="PFW45" s="670"/>
      <c r="PFX45" s="670"/>
      <c r="PFY45" s="670"/>
      <c r="PFZ45" s="670"/>
      <c r="PGA45" s="670"/>
      <c r="PGB45" s="670"/>
      <c r="PGC45" s="670"/>
      <c r="PGD45" s="670"/>
      <c r="PGE45" s="670"/>
      <c r="PGF45" s="670"/>
      <c r="PGG45" s="670"/>
      <c r="PGH45" s="670"/>
      <c r="PGI45" s="670"/>
      <c r="PGJ45" s="670"/>
      <c r="PGK45" s="670"/>
      <c r="PGL45" s="670"/>
      <c r="PGM45" s="670"/>
      <c r="PGN45" s="670"/>
      <c r="PGO45" s="670"/>
      <c r="PGP45" s="670"/>
      <c r="PGQ45" s="670"/>
      <c r="PGR45" s="670"/>
      <c r="PGS45" s="670"/>
      <c r="PGT45" s="670"/>
      <c r="PGU45" s="670"/>
      <c r="PGV45" s="670"/>
      <c r="PGW45" s="670"/>
      <c r="PGX45" s="670"/>
      <c r="PGY45" s="670"/>
      <c r="PGZ45" s="670"/>
      <c r="PHA45" s="670"/>
      <c r="PHB45" s="670"/>
      <c r="PHC45" s="670"/>
      <c r="PHD45" s="670"/>
      <c r="PHE45" s="670"/>
      <c r="PHF45" s="670"/>
      <c r="PHG45" s="670"/>
      <c r="PHH45" s="670"/>
      <c r="PHI45" s="670"/>
      <c r="PHJ45" s="670"/>
      <c r="PHK45" s="670"/>
      <c r="PHL45" s="670"/>
      <c r="PHM45" s="670"/>
      <c r="PHN45" s="670"/>
      <c r="PHO45" s="670"/>
      <c r="PHP45" s="670"/>
      <c r="PHQ45" s="670"/>
      <c r="PHR45" s="670"/>
      <c r="PHS45" s="670"/>
      <c r="PHT45" s="670"/>
      <c r="PHU45" s="670"/>
      <c r="PHV45" s="670"/>
      <c r="PHW45" s="670"/>
      <c r="PHX45" s="670"/>
      <c r="PHY45" s="670"/>
      <c r="PHZ45" s="670"/>
      <c r="PIA45" s="670"/>
      <c r="PIB45" s="670"/>
      <c r="PIC45" s="670"/>
      <c r="PID45" s="670"/>
      <c r="PIE45" s="670"/>
      <c r="PIF45" s="670"/>
      <c r="PIG45" s="670"/>
      <c r="PIH45" s="670"/>
      <c r="PII45" s="670"/>
      <c r="PIJ45" s="670"/>
      <c r="PIK45" s="670"/>
      <c r="PIL45" s="670"/>
      <c r="PIM45" s="670"/>
      <c r="PIN45" s="670"/>
      <c r="PIO45" s="670"/>
      <c r="PIP45" s="670"/>
      <c r="PIQ45" s="670"/>
      <c r="PIR45" s="670"/>
      <c r="PIS45" s="670"/>
      <c r="PIT45" s="670"/>
      <c r="PIU45" s="670"/>
      <c r="PIV45" s="670"/>
      <c r="PIW45" s="670"/>
      <c r="PIX45" s="670"/>
      <c r="PIY45" s="670"/>
      <c r="PIZ45" s="670"/>
      <c r="PJA45" s="670"/>
      <c r="PJB45" s="670"/>
      <c r="PJC45" s="670"/>
      <c r="PJD45" s="670"/>
      <c r="PJE45" s="670"/>
      <c r="PJF45" s="670"/>
      <c r="PJG45" s="670"/>
      <c r="PJH45" s="670"/>
      <c r="PJI45" s="670"/>
      <c r="PJJ45" s="670"/>
      <c r="PJK45" s="670"/>
      <c r="PJL45" s="670"/>
      <c r="PJM45" s="670"/>
      <c r="PJN45" s="670"/>
      <c r="PJO45" s="670"/>
      <c r="PJP45" s="670"/>
      <c r="PJQ45" s="670"/>
      <c r="PJR45" s="670"/>
      <c r="PJS45" s="670"/>
      <c r="PJT45" s="670"/>
      <c r="PJU45" s="670"/>
      <c r="PJV45" s="670"/>
      <c r="PJW45" s="670"/>
      <c r="PJX45" s="670"/>
      <c r="PJY45" s="670"/>
      <c r="PJZ45" s="670"/>
      <c r="PKA45" s="670"/>
      <c r="PKB45" s="670"/>
      <c r="PKC45" s="670"/>
      <c r="PKD45" s="670"/>
      <c r="PKE45" s="670"/>
      <c r="PKF45" s="670"/>
      <c r="PKG45" s="670"/>
      <c r="PKH45" s="670"/>
      <c r="PKI45" s="670"/>
      <c r="PKJ45" s="670"/>
      <c r="PKK45" s="670"/>
      <c r="PKL45" s="670"/>
      <c r="PKM45" s="670"/>
      <c r="PKN45" s="670"/>
      <c r="PKO45" s="670"/>
      <c r="PKP45" s="670"/>
      <c r="PKQ45" s="670"/>
      <c r="PKR45" s="670"/>
      <c r="PKS45" s="670"/>
      <c r="PKT45" s="670"/>
      <c r="PKU45" s="670"/>
      <c r="PKV45" s="670"/>
      <c r="PKW45" s="670"/>
      <c r="PKX45" s="670"/>
      <c r="PKY45" s="670"/>
      <c r="PKZ45" s="670"/>
      <c r="PLA45" s="670"/>
      <c r="PLB45" s="670"/>
      <c r="PLC45" s="670"/>
      <c r="PLD45" s="670"/>
      <c r="PLE45" s="670"/>
      <c r="PLF45" s="670"/>
      <c r="PLG45" s="670"/>
      <c r="PLH45" s="670"/>
      <c r="PLI45" s="670"/>
      <c r="PLJ45" s="670"/>
      <c r="PLK45" s="670"/>
      <c r="PLL45" s="670"/>
      <c r="PLM45" s="670"/>
      <c r="PLN45" s="670"/>
      <c r="PLO45" s="670"/>
      <c r="PLP45" s="670"/>
      <c r="PLQ45" s="670"/>
      <c r="PLR45" s="670"/>
      <c r="PLS45" s="670"/>
      <c r="PLT45" s="670"/>
      <c r="PLU45" s="670"/>
      <c r="PLV45" s="670"/>
      <c r="PLW45" s="670"/>
      <c r="PLX45" s="670"/>
      <c r="PLY45" s="670"/>
      <c r="PLZ45" s="670"/>
      <c r="PMA45" s="670"/>
      <c r="PMB45" s="670"/>
      <c r="PMC45" s="670"/>
      <c r="PMD45" s="670"/>
      <c r="PME45" s="670"/>
      <c r="PMF45" s="670"/>
      <c r="PMG45" s="670"/>
      <c r="PMH45" s="670"/>
      <c r="PMI45" s="670"/>
      <c r="PMJ45" s="670"/>
      <c r="PMK45" s="670"/>
      <c r="PML45" s="670"/>
      <c r="PMM45" s="670"/>
      <c r="PMN45" s="670"/>
      <c r="PMO45" s="670"/>
      <c r="PMP45" s="670"/>
      <c r="PMQ45" s="670"/>
      <c r="PMR45" s="670"/>
      <c r="PMS45" s="670"/>
      <c r="PMT45" s="670"/>
      <c r="PMU45" s="670"/>
      <c r="PMV45" s="670"/>
      <c r="PMW45" s="670"/>
      <c r="PMX45" s="670"/>
      <c r="PMY45" s="670"/>
      <c r="PMZ45" s="670"/>
      <c r="PNA45" s="670"/>
      <c r="PNB45" s="670"/>
      <c r="PNC45" s="670"/>
      <c r="PND45" s="670"/>
      <c r="PNE45" s="670"/>
      <c r="PNF45" s="670"/>
      <c r="PNG45" s="670"/>
      <c r="PNH45" s="670"/>
      <c r="PNI45" s="670"/>
      <c r="PNJ45" s="670"/>
      <c r="PNK45" s="670"/>
      <c r="PNL45" s="670"/>
      <c r="PNM45" s="670"/>
      <c r="PNN45" s="670"/>
      <c r="PNO45" s="670"/>
      <c r="PNP45" s="670"/>
      <c r="PNQ45" s="670"/>
      <c r="PNR45" s="670"/>
      <c r="PNS45" s="670"/>
      <c r="PNT45" s="670"/>
      <c r="PNU45" s="670"/>
      <c r="PNV45" s="670"/>
      <c r="PNW45" s="670"/>
      <c r="PNX45" s="670"/>
      <c r="PNY45" s="670"/>
      <c r="PNZ45" s="670"/>
      <c r="POA45" s="670"/>
      <c r="POB45" s="670"/>
      <c r="POC45" s="670"/>
      <c r="POD45" s="670"/>
      <c r="POE45" s="670"/>
      <c r="POF45" s="670"/>
      <c r="POG45" s="670"/>
      <c r="POH45" s="670"/>
      <c r="POI45" s="670"/>
      <c r="POJ45" s="670"/>
      <c r="POK45" s="670"/>
      <c r="POL45" s="670"/>
      <c r="POM45" s="670"/>
      <c r="PON45" s="670"/>
      <c r="POO45" s="670"/>
      <c r="POP45" s="670"/>
      <c r="POQ45" s="670"/>
      <c r="POR45" s="670"/>
      <c r="POS45" s="670"/>
      <c r="POT45" s="670"/>
      <c r="POU45" s="670"/>
      <c r="POV45" s="670"/>
      <c r="POW45" s="670"/>
      <c r="POX45" s="670"/>
      <c r="POY45" s="670"/>
      <c r="POZ45" s="670"/>
      <c r="PPA45" s="670"/>
      <c r="PPB45" s="670"/>
      <c r="PPC45" s="670"/>
      <c r="PPD45" s="670"/>
      <c r="PPE45" s="670"/>
      <c r="PPF45" s="670"/>
      <c r="PPG45" s="670"/>
      <c r="PPH45" s="670"/>
      <c r="PPI45" s="670"/>
      <c r="PPJ45" s="670"/>
      <c r="PPK45" s="670"/>
      <c r="PPL45" s="670"/>
      <c r="PPM45" s="670"/>
      <c r="PPN45" s="670"/>
      <c r="PPO45" s="670"/>
      <c r="PPP45" s="670"/>
      <c r="PPQ45" s="670"/>
      <c r="PPR45" s="670"/>
      <c r="PPS45" s="670"/>
      <c r="PPT45" s="670"/>
      <c r="PPU45" s="670"/>
      <c r="PPV45" s="670"/>
      <c r="PPW45" s="670"/>
      <c r="PPX45" s="670"/>
      <c r="PPY45" s="670"/>
      <c r="PPZ45" s="670"/>
      <c r="PQA45" s="670"/>
      <c r="PQB45" s="670"/>
      <c r="PQC45" s="670"/>
      <c r="PQD45" s="670"/>
      <c r="PQE45" s="670"/>
      <c r="PQF45" s="670"/>
      <c r="PQG45" s="670"/>
      <c r="PQH45" s="670"/>
      <c r="PQI45" s="670"/>
      <c r="PQJ45" s="670"/>
      <c r="PQK45" s="670"/>
      <c r="PQL45" s="670"/>
      <c r="PQM45" s="670"/>
      <c r="PQN45" s="670"/>
      <c r="PQO45" s="670"/>
      <c r="PQP45" s="670"/>
      <c r="PQQ45" s="670"/>
      <c r="PQR45" s="670"/>
      <c r="PQS45" s="670"/>
      <c r="PQT45" s="670"/>
      <c r="PQU45" s="670"/>
      <c r="PQV45" s="670"/>
      <c r="PQW45" s="670"/>
      <c r="PQX45" s="670"/>
      <c r="PQY45" s="670"/>
      <c r="PQZ45" s="670"/>
      <c r="PRA45" s="670"/>
      <c r="PRB45" s="670"/>
      <c r="PRC45" s="670"/>
      <c r="PRD45" s="670"/>
      <c r="PRE45" s="670"/>
      <c r="PRF45" s="670"/>
      <c r="PRG45" s="670"/>
      <c r="PRH45" s="670"/>
      <c r="PRI45" s="670"/>
      <c r="PRJ45" s="670"/>
      <c r="PRK45" s="670"/>
      <c r="PRL45" s="670"/>
      <c r="PRM45" s="670"/>
      <c r="PRN45" s="670"/>
      <c r="PRO45" s="670"/>
      <c r="PRP45" s="670"/>
      <c r="PRQ45" s="670"/>
      <c r="PRR45" s="670"/>
      <c r="PRS45" s="670"/>
      <c r="PRT45" s="670"/>
      <c r="PRU45" s="670"/>
      <c r="PRV45" s="670"/>
      <c r="PRW45" s="670"/>
      <c r="PRX45" s="670"/>
      <c r="PRY45" s="670"/>
      <c r="PRZ45" s="670"/>
      <c r="PSA45" s="670"/>
      <c r="PSB45" s="670"/>
      <c r="PSC45" s="670"/>
      <c r="PSD45" s="670"/>
      <c r="PSE45" s="670"/>
      <c r="PSF45" s="670"/>
      <c r="PSG45" s="670"/>
      <c r="PSH45" s="670"/>
      <c r="PSI45" s="670"/>
      <c r="PSJ45" s="670"/>
      <c r="PSK45" s="670"/>
      <c r="PSL45" s="670"/>
      <c r="PSM45" s="670"/>
      <c r="PSN45" s="670"/>
      <c r="PSO45" s="670"/>
      <c r="PSP45" s="670"/>
      <c r="PSQ45" s="670"/>
      <c r="PSR45" s="670"/>
      <c r="PSS45" s="670"/>
      <c r="PST45" s="670"/>
      <c r="PSU45" s="670"/>
      <c r="PSV45" s="670"/>
      <c r="PSW45" s="670"/>
      <c r="PSX45" s="670"/>
      <c r="PSY45" s="670"/>
      <c r="PSZ45" s="670"/>
      <c r="PTA45" s="670"/>
      <c r="PTB45" s="670"/>
      <c r="PTC45" s="670"/>
      <c r="PTD45" s="670"/>
      <c r="PTE45" s="670"/>
      <c r="PTF45" s="670"/>
      <c r="PTG45" s="670"/>
      <c r="PTH45" s="670"/>
      <c r="PTI45" s="670"/>
      <c r="PTJ45" s="670"/>
      <c r="PTK45" s="670"/>
      <c r="PTL45" s="670"/>
      <c r="PTM45" s="670"/>
      <c r="PTN45" s="670"/>
      <c r="PTO45" s="670"/>
      <c r="PTP45" s="670"/>
      <c r="PTQ45" s="670"/>
      <c r="PTR45" s="670"/>
      <c r="PTS45" s="670"/>
      <c r="PTT45" s="670"/>
      <c r="PTU45" s="670"/>
      <c r="PTV45" s="670"/>
      <c r="PTW45" s="670"/>
      <c r="PTX45" s="670"/>
      <c r="PTY45" s="670"/>
      <c r="PTZ45" s="670"/>
      <c r="PUA45" s="670"/>
      <c r="PUB45" s="670"/>
      <c r="PUC45" s="670"/>
      <c r="PUD45" s="670"/>
      <c r="PUE45" s="670"/>
      <c r="PUF45" s="670"/>
      <c r="PUG45" s="670"/>
      <c r="PUH45" s="670"/>
      <c r="PUI45" s="670"/>
      <c r="PUJ45" s="670"/>
      <c r="PUK45" s="670"/>
      <c r="PUL45" s="670"/>
      <c r="PUM45" s="670"/>
      <c r="PUN45" s="670"/>
      <c r="PUO45" s="670"/>
      <c r="PUP45" s="670"/>
      <c r="PUQ45" s="670"/>
      <c r="PUR45" s="670"/>
      <c r="PUS45" s="670"/>
      <c r="PUT45" s="670"/>
      <c r="PUU45" s="670"/>
      <c r="PUV45" s="670"/>
      <c r="PUW45" s="670"/>
      <c r="PUX45" s="670"/>
      <c r="PUY45" s="670"/>
      <c r="PUZ45" s="670"/>
      <c r="PVA45" s="670"/>
      <c r="PVB45" s="670"/>
      <c r="PVC45" s="670"/>
      <c r="PVD45" s="670"/>
      <c r="PVE45" s="670"/>
      <c r="PVF45" s="670"/>
      <c r="PVG45" s="670"/>
      <c r="PVH45" s="670"/>
      <c r="PVI45" s="670"/>
      <c r="PVJ45" s="670"/>
      <c r="PVK45" s="670"/>
      <c r="PVL45" s="670"/>
      <c r="PVM45" s="670"/>
      <c r="PVN45" s="670"/>
      <c r="PVO45" s="670"/>
      <c r="PVP45" s="670"/>
      <c r="PVQ45" s="670"/>
      <c r="PVR45" s="670"/>
      <c r="PVS45" s="670"/>
      <c r="PVT45" s="670"/>
      <c r="PVU45" s="670"/>
      <c r="PVV45" s="670"/>
      <c r="PVW45" s="670"/>
      <c r="PVX45" s="670"/>
      <c r="PVY45" s="670"/>
      <c r="PVZ45" s="670"/>
      <c r="PWA45" s="670"/>
      <c r="PWB45" s="670"/>
      <c r="PWC45" s="670"/>
      <c r="PWD45" s="670"/>
      <c r="PWE45" s="670"/>
      <c r="PWF45" s="670"/>
      <c r="PWG45" s="670"/>
      <c r="PWH45" s="670"/>
      <c r="PWI45" s="670"/>
      <c r="PWJ45" s="670"/>
      <c r="PWK45" s="670"/>
      <c r="PWL45" s="670"/>
      <c r="PWM45" s="670"/>
      <c r="PWN45" s="670"/>
      <c r="PWO45" s="670"/>
      <c r="PWP45" s="670"/>
      <c r="PWQ45" s="670"/>
      <c r="PWR45" s="670"/>
      <c r="PWS45" s="670"/>
      <c r="PWT45" s="670"/>
      <c r="PWU45" s="670"/>
      <c r="PWV45" s="670"/>
      <c r="PWW45" s="670"/>
      <c r="PWX45" s="670"/>
      <c r="PWY45" s="670"/>
      <c r="PWZ45" s="670"/>
      <c r="PXA45" s="670"/>
      <c r="PXB45" s="670"/>
      <c r="PXC45" s="670"/>
      <c r="PXD45" s="670"/>
      <c r="PXE45" s="670"/>
      <c r="PXF45" s="670"/>
      <c r="PXG45" s="670"/>
      <c r="PXH45" s="670"/>
      <c r="PXI45" s="670"/>
      <c r="PXJ45" s="670"/>
      <c r="PXK45" s="670"/>
      <c r="PXL45" s="670"/>
      <c r="PXM45" s="670"/>
      <c r="PXN45" s="670"/>
      <c r="PXO45" s="670"/>
      <c r="PXP45" s="670"/>
      <c r="PXQ45" s="670"/>
      <c r="PXR45" s="670"/>
      <c r="PXS45" s="670"/>
      <c r="PXT45" s="670"/>
      <c r="PXU45" s="670"/>
      <c r="PXV45" s="670"/>
      <c r="PXW45" s="670"/>
      <c r="PXX45" s="670"/>
      <c r="PXY45" s="670"/>
      <c r="PXZ45" s="670"/>
      <c r="PYA45" s="670"/>
      <c r="PYB45" s="670"/>
      <c r="PYC45" s="670"/>
      <c r="PYD45" s="670"/>
      <c r="PYE45" s="670"/>
      <c r="PYF45" s="670"/>
      <c r="PYG45" s="670"/>
      <c r="PYH45" s="670"/>
      <c r="PYI45" s="670"/>
      <c r="PYJ45" s="670"/>
      <c r="PYK45" s="670"/>
      <c r="PYL45" s="670"/>
      <c r="PYM45" s="670"/>
      <c r="PYN45" s="670"/>
      <c r="PYO45" s="670"/>
      <c r="PYP45" s="670"/>
      <c r="PYQ45" s="670"/>
      <c r="PYR45" s="670"/>
      <c r="PYS45" s="670"/>
      <c r="PYT45" s="670"/>
      <c r="PYU45" s="670"/>
      <c r="PYV45" s="670"/>
      <c r="PYW45" s="670"/>
      <c r="PYX45" s="670"/>
      <c r="PYY45" s="670"/>
      <c r="PYZ45" s="670"/>
      <c r="PZA45" s="670"/>
      <c r="PZB45" s="670"/>
      <c r="PZC45" s="670"/>
      <c r="PZD45" s="670"/>
      <c r="PZE45" s="670"/>
      <c r="PZF45" s="670"/>
      <c r="PZG45" s="670"/>
      <c r="PZH45" s="670"/>
      <c r="PZI45" s="670"/>
      <c r="PZJ45" s="670"/>
      <c r="PZK45" s="670"/>
      <c r="PZL45" s="670"/>
      <c r="PZM45" s="670"/>
      <c r="PZN45" s="670"/>
      <c r="PZO45" s="670"/>
      <c r="PZP45" s="670"/>
      <c r="PZQ45" s="670"/>
      <c r="PZR45" s="670"/>
      <c r="PZS45" s="670"/>
      <c r="PZT45" s="670"/>
      <c r="PZU45" s="670"/>
      <c r="PZV45" s="670"/>
      <c r="PZW45" s="670"/>
      <c r="PZX45" s="670"/>
      <c r="PZY45" s="670"/>
      <c r="PZZ45" s="670"/>
      <c r="QAA45" s="670"/>
      <c r="QAB45" s="670"/>
      <c r="QAC45" s="670"/>
      <c r="QAD45" s="670"/>
      <c r="QAE45" s="670"/>
      <c r="QAF45" s="670"/>
      <c r="QAG45" s="670"/>
      <c r="QAH45" s="670"/>
      <c r="QAI45" s="670"/>
      <c r="QAJ45" s="670"/>
      <c r="QAK45" s="670"/>
      <c r="QAL45" s="670"/>
      <c r="QAM45" s="670"/>
      <c r="QAN45" s="670"/>
      <c r="QAO45" s="670"/>
      <c r="QAP45" s="670"/>
      <c r="QAQ45" s="670"/>
      <c r="QAR45" s="670"/>
      <c r="QAS45" s="670"/>
      <c r="QAT45" s="670"/>
      <c r="QAU45" s="670"/>
      <c r="QAV45" s="670"/>
      <c r="QAW45" s="670"/>
      <c r="QAX45" s="670"/>
      <c r="QAY45" s="670"/>
      <c r="QAZ45" s="670"/>
      <c r="QBA45" s="670"/>
      <c r="QBB45" s="670"/>
      <c r="QBC45" s="670"/>
      <c r="QBD45" s="670"/>
      <c r="QBE45" s="670"/>
      <c r="QBF45" s="670"/>
      <c r="QBG45" s="670"/>
      <c r="QBH45" s="670"/>
      <c r="QBI45" s="670"/>
      <c r="QBJ45" s="670"/>
      <c r="QBK45" s="670"/>
      <c r="QBL45" s="670"/>
      <c r="QBM45" s="670"/>
      <c r="QBN45" s="670"/>
      <c r="QBO45" s="670"/>
      <c r="QBP45" s="670"/>
      <c r="QBQ45" s="670"/>
      <c r="QBR45" s="670"/>
      <c r="QBS45" s="670"/>
      <c r="QBT45" s="670"/>
      <c r="QBU45" s="670"/>
      <c r="QBV45" s="670"/>
      <c r="QBW45" s="670"/>
      <c r="QBX45" s="670"/>
      <c r="QBY45" s="670"/>
      <c r="QBZ45" s="670"/>
      <c r="QCA45" s="670"/>
      <c r="QCB45" s="670"/>
      <c r="QCC45" s="670"/>
      <c r="QCD45" s="670"/>
      <c r="QCE45" s="670"/>
      <c r="QCF45" s="670"/>
      <c r="QCG45" s="670"/>
      <c r="QCH45" s="670"/>
      <c r="QCI45" s="670"/>
      <c r="QCJ45" s="670"/>
      <c r="QCK45" s="670"/>
      <c r="QCL45" s="670"/>
      <c r="QCM45" s="670"/>
      <c r="QCN45" s="670"/>
      <c r="QCO45" s="670"/>
      <c r="QCP45" s="670"/>
      <c r="QCQ45" s="670"/>
      <c r="QCR45" s="670"/>
      <c r="QCS45" s="670"/>
      <c r="QCT45" s="670"/>
      <c r="QCU45" s="670"/>
      <c r="QCV45" s="670"/>
      <c r="QCW45" s="670"/>
      <c r="QCX45" s="670"/>
      <c r="QCY45" s="670"/>
      <c r="QCZ45" s="670"/>
      <c r="QDA45" s="670"/>
      <c r="QDB45" s="670"/>
      <c r="QDC45" s="670"/>
      <c r="QDD45" s="670"/>
      <c r="QDE45" s="670"/>
      <c r="QDF45" s="670"/>
      <c r="QDG45" s="670"/>
      <c r="QDH45" s="670"/>
      <c r="QDI45" s="670"/>
      <c r="QDJ45" s="670"/>
      <c r="QDK45" s="670"/>
      <c r="QDL45" s="670"/>
      <c r="QDM45" s="670"/>
      <c r="QDN45" s="670"/>
      <c r="QDO45" s="670"/>
      <c r="QDP45" s="670"/>
      <c r="QDQ45" s="670"/>
      <c r="QDR45" s="670"/>
      <c r="QDS45" s="670"/>
      <c r="QDT45" s="670"/>
      <c r="QDU45" s="670"/>
      <c r="QDV45" s="670"/>
      <c r="QDW45" s="670"/>
      <c r="QDX45" s="670"/>
      <c r="QDY45" s="670"/>
      <c r="QDZ45" s="670"/>
      <c r="QEA45" s="670"/>
      <c r="QEB45" s="670"/>
      <c r="QEC45" s="670"/>
      <c r="QED45" s="670"/>
      <c r="QEE45" s="670"/>
      <c r="QEF45" s="670"/>
      <c r="QEG45" s="670"/>
      <c r="QEH45" s="670"/>
      <c r="QEI45" s="670"/>
      <c r="QEJ45" s="670"/>
      <c r="QEK45" s="670"/>
      <c r="QEL45" s="670"/>
      <c r="QEM45" s="670"/>
      <c r="QEN45" s="670"/>
      <c r="QEO45" s="670"/>
      <c r="QEP45" s="670"/>
      <c r="QEQ45" s="670"/>
      <c r="QER45" s="670"/>
      <c r="QES45" s="670"/>
      <c r="QET45" s="670"/>
      <c r="QEU45" s="670"/>
      <c r="QEV45" s="670"/>
      <c r="QEW45" s="670"/>
      <c r="QEX45" s="670"/>
      <c r="QEY45" s="670"/>
      <c r="QEZ45" s="670"/>
      <c r="QFA45" s="670"/>
      <c r="QFB45" s="670"/>
      <c r="QFC45" s="670"/>
      <c r="QFD45" s="670"/>
      <c r="QFE45" s="670"/>
      <c r="QFF45" s="670"/>
      <c r="QFG45" s="670"/>
      <c r="QFH45" s="670"/>
      <c r="QFI45" s="670"/>
      <c r="QFJ45" s="670"/>
      <c r="QFK45" s="670"/>
      <c r="QFL45" s="670"/>
      <c r="QFM45" s="670"/>
      <c r="QFN45" s="670"/>
      <c r="QFO45" s="670"/>
      <c r="QFP45" s="670"/>
      <c r="QFQ45" s="670"/>
      <c r="QFR45" s="670"/>
      <c r="QFS45" s="670"/>
      <c r="QFT45" s="670"/>
      <c r="QFU45" s="670"/>
      <c r="QFV45" s="670"/>
      <c r="QFW45" s="670"/>
      <c r="QFX45" s="670"/>
      <c r="QFY45" s="670"/>
      <c r="QFZ45" s="670"/>
      <c r="QGA45" s="670"/>
      <c r="QGB45" s="670"/>
      <c r="QGC45" s="670"/>
      <c r="QGD45" s="670"/>
      <c r="QGE45" s="670"/>
      <c r="QGF45" s="670"/>
      <c r="QGG45" s="670"/>
      <c r="QGH45" s="670"/>
      <c r="QGI45" s="670"/>
      <c r="QGJ45" s="670"/>
      <c r="QGK45" s="670"/>
      <c r="QGL45" s="670"/>
      <c r="QGM45" s="670"/>
      <c r="QGN45" s="670"/>
      <c r="QGO45" s="670"/>
      <c r="QGP45" s="670"/>
      <c r="QGQ45" s="670"/>
      <c r="QGR45" s="670"/>
      <c r="QGS45" s="670"/>
      <c r="QGT45" s="670"/>
      <c r="QGU45" s="670"/>
      <c r="QGV45" s="670"/>
      <c r="QGW45" s="670"/>
      <c r="QGX45" s="670"/>
      <c r="QGY45" s="670"/>
      <c r="QGZ45" s="670"/>
      <c r="QHA45" s="670"/>
      <c r="QHB45" s="670"/>
      <c r="QHC45" s="670"/>
      <c r="QHD45" s="670"/>
      <c r="QHE45" s="670"/>
      <c r="QHF45" s="670"/>
      <c r="QHG45" s="670"/>
      <c r="QHH45" s="670"/>
      <c r="QHI45" s="670"/>
      <c r="QHJ45" s="670"/>
      <c r="QHK45" s="670"/>
      <c r="QHL45" s="670"/>
      <c r="QHM45" s="670"/>
      <c r="QHN45" s="670"/>
      <c r="QHO45" s="670"/>
      <c r="QHP45" s="670"/>
      <c r="QHQ45" s="670"/>
      <c r="QHR45" s="670"/>
      <c r="QHS45" s="670"/>
      <c r="QHT45" s="670"/>
      <c r="QHU45" s="670"/>
      <c r="QHV45" s="670"/>
      <c r="QHW45" s="670"/>
      <c r="QHX45" s="670"/>
      <c r="QHY45" s="670"/>
      <c r="QHZ45" s="670"/>
      <c r="QIA45" s="670"/>
      <c r="QIB45" s="670"/>
      <c r="QIC45" s="670"/>
      <c r="QID45" s="670"/>
      <c r="QIE45" s="670"/>
      <c r="QIF45" s="670"/>
      <c r="QIG45" s="670"/>
      <c r="QIH45" s="670"/>
      <c r="QII45" s="670"/>
      <c r="QIJ45" s="670"/>
      <c r="QIK45" s="670"/>
      <c r="QIL45" s="670"/>
      <c r="QIM45" s="670"/>
      <c r="QIN45" s="670"/>
      <c r="QIO45" s="670"/>
      <c r="QIP45" s="670"/>
      <c r="QIQ45" s="670"/>
      <c r="QIR45" s="670"/>
      <c r="QIS45" s="670"/>
      <c r="QIT45" s="670"/>
      <c r="QIU45" s="670"/>
      <c r="QIV45" s="670"/>
      <c r="QIW45" s="670"/>
      <c r="QIX45" s="670"/>
      <c r="QIY45" s="670"/>
      <c r="QIZ45" s="670"/>
      <c r="QJA45" s="670"/>
      <c r="QJB45" s="670"/>
      <c r="QJC45" s="670"/>
      <c r="QJD45" s="670"/>
      <c r="QJE45" s="670"/>
      <c r="QJF45" s="670"/>
      <c r="QJG45" s="670"/>
      <c r="QJH45" s="670"/>
      <c r="QJI45" s="670"/>
      <c r="QJJ45" s="670"/>
      <c r="QJK45" s="670"/>
      <c r="QJL45" s="670"/>
      <c r="QJM45" s="670"/>
      <c r="QJN45" s="670"/>
      <c r="QJO45" s="670"/>
      <c r="QJP45" s="670"/>
      <c r="QJQ45" s="670"/>
      <c r="QJR45" s="670"/>
      <c r="QJS45" s="670"/>
      <c r="QJT45" s="670"/>
      <c r="QJU45" s="670"/>
      <c r="QJV45" s="670"/>
      <c r="QJW45" s="670"/>
      <c r="QJX45" s="670"/>
      <c r="QJY45" s="670"/>
      <c r="QJZ45" s="670"/>
      <c r="QKA45" s="670"/>
      <c r="QKB45" s="670"/>
      <c r="QKC45" s="670"/>
      <c r="QKD45" s="670"/>
      <c r="QKE45" s="670"/>
      <c r="QKF45" s="670"/>
      <c r="QKG45" s="670"/>
      <c r="QKH45" s="670"/>
      <c r="QKI45" s="670"/>
      <c r="QKJ45" s="670"/>
      <c r="QKK45" s="670"/>
      <c r="QKL45" s="670"/>
      <c r="QKM45" s="670"/>
      <c r="QKN45" s="670"/>
      <c r="QKO45" s="670"/>
      <c r="QKP45" s="670"/>
      <c r="QKQ45" s="670"/>
      <c r="QKR45" s="670"/>
      <c r="QKS45" s="670"/>
      <c r="QKT45" s="670"/>
      <c r="QKU45" s="670"/>
      <c r="QKV45" s="670"/>
      <c r="QKW45" s="670"/>
      <c r="QKX45" s="670"/>
      <c r="QKY45" s="670"/>
      <c r="QKZ45" s="670"/>
      <c r="QLA45" s="670"/>
      <c r="QLB45" s="670"/>
      <c r="QLC45" s="670"/>
      <c r="QLD45" s="670"/>
      <c r="QLE45" s="670"/>
      <c r="QLF45" s="670"/>
      <c r="QLG45" s="670"/>
      <c r="QLH45" s="670"/>
      <c r="QLI45" s="670"/>
      <c r="QLJ45" s="670"/>
      <c r="QLK45" s="670"/>
      <c r="QLL45" s="670"/>
      <c r="QLM45" s="670"/>
      <c r="QLN45" s="670"/>
      <c r="QLO45" s="670"/>
      <c r="QLP45" s="670"/>
      <c r="QLQ45" s="670"/>
      <c r="QLR45" s="670"/>
      <c r="QLS45" s="670"/>
      <c r="QLT45" s="670"/>
      <c r="QLU45" s="670"/>
      <c r="QLV45" s="670"/>
      <c r="QLW45" s="670"/>
      <c r="QLX45" s="670"/>
      <c r="QLY45" s="670"/>
      <c r="QLZ45" s="670"/>
      <c r="QMA45" s="670"/>
      <c r="QMB45" s="670"/>
      <c r="QMC45" s="670"/>
      <c r="QMD45" s="670"/>
      <c r="QME45" s="670"/>
      <c r="QMF45" s="670"/>
      <c r="QMG45" s="670"/>
      <c r="QMH45" s="670"/>
      <c r="QMI45" s="670"/>
      <c r="QMJ45" s="670"/>
      <c r="QMK45" s="670"/>
      <c r="QML45" s="670"/>
      <c r="QMM45" s="670"/>
      <c r="QMN45" s="670"/>
      <c r="QMO45" s="670"/>
      <c r="QMP45" s="670"/>
      <c r="QMQ45" s="670"/>
      <c r="QMR45" s="670"/>
      <c r="QMS45" s="670"/>
      <c r="QMT45" s="670"/>
      <c r="QMU45" s="670"/>
      <c r="QMV45" s="670"/>
      <c r="QMW45" s="670"/>
      <c r="QMX45" s="670"/>
      <c r="QMY45" s="670"/>
      <c r="QMZ45" s="670"/>
      <c r="QNA45" s="670"/>
      <c r="QNB45" s="670"/>
      <c r="QNC45" s="670"/>
      <c r="QND45" s="670"/>
      <c r="QNE45" s="670"/>
      <c r="QNF45" s="670"/>
      <c r="QNG45" s="670"/>
      <c r="QNH45" s="670"/>
      <c r="QNI45" s="670"/>
      <c r="QNJ45" s="670"/>
      <c r="QNK45" s="670"/>
      <c r="QNL45" s="670"/>
      <c r="QNM45" s="670"/>
      <c r="QNN45" s="670"/>
      <c r="QNO45" s="670"/>
      <c r="QNP45" s="670"/>
      <c r="QNQ45" s="670"/>
      <c r="QNR45" s="670"/>
      <c r="QNS45" s="670"/>
      <c r="QNT45" s="670"/>
      <c r="QNU45" s="670"/>
      <c r="QNV45" s="670"/>
      <c r="QNW45" s="670"/>
      <c r="QNX45" s="670"/>
      <c r="QNY45" s="670"/>
      <c r="QNZ45" s="670"/>
      <c r="QOA45" s="670"/>
      <c r="QOB45" s="670"/>
      <c r="QOC45" s="670"/>
      <c r="QOD45" s="670"/>
      <c r="QOE45" s="670"/>
      <c r="QOF45" s="670"/>
      <c r="QOG45" s="670"/>
      <c r="QOH45" s="670"/>
      <c r="QOI45" s="670"/>
      <c r="QOJ45" s="670"/>
      <c r="QOK45" s="670"/>
      <c r="QOL45" s="670"/>
      <c r="QOM45" s="670"/>
      <c r="QON45" s="670"/>
      <c r="QOO45" s="670"/>
      <c r="QOP45" s="670"/>
      <c r="QOQ45" s="670"/>
      <c r="QOR45" s="670"/>
      <c r="QOS45" s="670"/>
      <c r="QOT45" s="670"/>
      <c r="QOU45" s="670"/>
      <c r="QOV45" s="670"/>
      <c r="QOW45" s="670"/>
      <c r="QOX45" s="670"/>
      <c r="QOY45" s="670"/>
      <c r="QOZ45" s="670"/>
      <c r="QPA45" s="670"/>
      <c r="QPB45" s="670"/>
      <c r="QPC45" s="670"/>
      <c r="QPD45" s="670"/>
      <c r="QPE45" s="670"/>
      <c r="QPF45" s="670"/>
      <c r="QPG45" s="670"/>
      <c r="QPH45" s="670"/>
      <c r="QPI45" s="670"/>
      <c r="QPJ45" s="670"/>
      <c r="QPK45" s="670"/>
      <c r="QPL45" s="670"/>
      <c r="QPM45" s="670"/>
      <c r="QPN45" s="670"/>
      <c r="QPO45" s="670"/>
      <c r="QPP45" s="670"/>
      <c r="QPQ45" s="670"/>
      <c r="QPR45" s="670"/>
      <c r="QPS45" s="670"/>
      <c r="QPT45" s="670"/>
      <c r="QPU45" s="670"/>
      <c r="QPV45" s="670"/>
      <c r="QPW45" s="670"/>
      <c r="QPX45" s="670"/>
      <c r="QPY45" s="670"/>
      <c r="QPZ45" s="670"/>
      <c r="QQA45" s="670"/>
      <c r="QQB45" s="670"/>
      <c r="QQC45" s="670"/>
      <c r="QQD45" s="670"/>
      <c r="QQE45" s="670"/>
      <c r="QQF45" s="670"/>
      <c r="QQG45" s="670"/>
      <c r="QQH45" s="670"/>
      <c r="QQI45" s="670"/>
      <c r="QQJ45" s="670"/>
      <c r="QQK45" s="670"/>
      <c r="QQL45" s="670"/>
      <c r="QQM45" s="670"/>
      <c r="QQN45" s="670"/>
      <c r="QQO45" s="670"/>
      <c r="QQP45" s="670"/>
      <c r="QQQ45" s="670"/>
      <c r="QQR45" s="670"/>
      <c r="QQS45" s="670"/>
      <c r="QQT45" s="670"/>
      <c r="QQU45" s="670"/>
      <c r="QQV45" s="670"/>
      <c r="QQW45" s="670"/>
      <c r="QQX45" s="670"/>
      <c r="QQY45" s="670"/>
      <c r="QQZ45" s="670"/>
      <c r="QRA45" s="670"/>
      <c r="QRB45" s="670"/>
      <c r="QRC45" s="670"/>
      <c r="QRD45" s="670"/>
      <c r="QRE45" s="670"/>
      <c r="QRF45" s="670"/>
      <c r="QRG45" s="670"/>
      <c r="QRH45" s="670"/>
      <c r="QRI45" s="670"/>
      <c r="QRJ45" s="670"/>
      <c r="QRK45" s="670"/>
      <c r="QRL45" s="670"/>
      <c r="QRM45" s="670"/>
      <c r="QRN45" s="670"/>
      <c r="QRO45" s="670"/>
      <c r="QRP45" s="670"/>
      <c r="QRQ45" s="670"/>
      <c r="QRR45" s="670"/>
      <c r="QRS45" s="670"/>
      <c r="QRT45" s="670"/>
      <c r="QRU45" s="670"/>
      <c r="QRV45" s="670"/>
      <c r="QRW45" s="670"/>
      <c r="QRX45" s="670"/>
      <c r="QRY45" s="670"/>
      <c r="QRZ45" s="670"/>
      <c r="QSA45" s="670"/>
      <c r="QSB45" s="670"/>
      <c r="QSC45" s="670"/>
      <c r="QSD45" s="670"/>
      <c r="QSE45" s="670"/>
      <c r="QSF45" s="670"/>
      <c r="QSG45" s="670"/>
      <c r="QSH45" s="670"/>
      <c r="QSI45" s="670"/>
      <c r="QSJ45" s="670"/>
      <c r="QSK45" s="670"/>
      <c r="QSL45" s="670"/>
      <c r="QSM45" s="670"/>
      <c r="QSN45" s="670"/>
      <c r="QSO45" s="670"/>
      <c r="QSP45" s="670"/>
      <c r="QSQ45" s="670"/>
      <c r="QSR45" s="670"/>
      <c r="QSS45" s="670"/>
      <c r="QST45" s="670"/>
      <c r="QSU45" s="670"/>
      <c r="QSV45" s="670"/>
      <c r="QSW45" s="670"/>
      <c r="QSX45" s="670"/>
      <c r="QSY45" s="670"/>
      <c r="QSZ45" s="670"/>
      <c r="QTA45" s="670"/>
      <c r="QTB45" s="670"/>
      <c r="QTC45" s="670"/>
      <c r="QTD45" s="670"/>
      <c r="QTE45" s="670"/>
      <c r="QTF45" s="670"/>
      <c r="QTG45" s="670"/>
      <c r="QTH45" s="670"/>
      <c r="QTI45" s="670"/>
      <c r="QTJ45" s="670"/>
      <c r="QTK45" s="670"/>
      <c r="QTL45" s="670"/>
      <c r="QTM45" s="670"/>
      <c r="QTN45" s="670"/>
      <c r="QTO45" s="670"/>
      <c r="QTP45" s="670"/>
      <c r="QTQ45" s="670"/>
      <c r="QTR45" s="670"/>
      <c r="QTS45" s="670"/>
      <c r="QTT45" s="670"/>
      <c r="QTU45" s="670"/>
      <c r="QTV45" s="670"/>
      <c r="QTW45" s="670"/>
      <c r="QTX45" s="670"/>
      <c r="QTY45" s="670"/>
      <c r="QTZ45" s="670"/>
      <c r="QUA45" s="670"/>
      <c r="QUB45" s="670"/>
      <c r="QUC45" s="670"/>
      <c r="QUD45" s="670"/>
      <c r="QUE45" s="670"/>
      <c r="QUF45" s="670"/>
      <c r="QUG45" s="670"/>
      <c r="QUH45" s="670"/>
      <c r="QUI45" s="670"/>
      <c r="QUJ45" s="670"/>
      <c r="QUK45" s="670"/>
      <c r="QUL45" s="670"/>
      <c r="QUM45" s="670"/>
      <c r="QUN45" s="670"/>
      <c r="QUO45" s="670"/>
      <c r="QUP45" s="670"/>
      <c r="QUQ45" s="670"/>
      <c r="QUR45" s="670"/>
      <c r="QUS45" s="670"/>
      <c r="QUT45" s="670"/>
      <c r="QUU45" s="670"/>
      <c r="QUV45" s="670"/>
      <c r="QUW45" s="670"/>
      <c r="QUX45" s="670"/>
      <c r="QUY45" s="670"/>
      <c r="QUZ45" s="670"/>
      <c r="QVA45" s="670"/>
      <c r="QVB45" s="670"/>
      <c r="QVC45" s="670"/>
      <c r="QVD45" s="670"/>
      <c r="QVE45" s="670"/>
      <c r="QVF45" s="670"/>
      <c r="QVG45" s="670"/>
      <c r="QVH45" s="670"/>
      <c r="QVI45" s="670"/>
      <c r="QVJ45" s="670"/>
      <c r="QVK45" s="670"/>
      <c r="QVL45" s="670"/>
      <c r="QVM45" s="670"/>
      <c r="QVN45" s="670"/>
      <c r="QVO45" s="670"/>
      <c r="QVP45" s="670"/>
      <c r="QVQ45" s="670"/>
      <c r="QVR45" s="670"/>
      <c r="QVS45" s="670"/>
      <c r="QVT45" s="670"/>
      <c r="QVU45" s="670"/>
      <c r="QVV45" s="670"/>
      <c r="QVW45" s="670"/>
      <c r="QVX45" s="670"/>
      <c r="QVY45" s="670"/>
      <c r="QVZ45" s="670"/>
      <c r="QWA45" s="670"/>
      <c r="QWB45" s="670"/>
      <c r="QWC45" s="670"/>
      <c r="QWD45" s="670"/>
      <c r="QWE45" s="670"/>
      <c r="QWF45" s="670"/>
      <c r="QWG45" s="670"/>
      <c r="QWH45" s="670"/>
      <c r="QWI45" s="670"/>
      <c r="QWJ45" s="670"/>
      <c r="QWK45" s="670"/>
      <c r="QWL45" s="670"/>
      <c r="QWM45" s="670"/>
      <c r="QWN45" s="670"/>
      <c r="QWO45" s="670"/>
      <c r="QWP45" s="670"/>
      <c r="QWQ45" s="670"/>
      <c r="QWR45" s="670"/>
      <c r="QWS45" s="670"/>
      <c r="QWT45" s="670"/>
      <c r="QWU45" s="670"/>
      <c r="QWV45" s="670"/>
      <c r="QWW45" s="670"/>
      <c r="QWX45" s="670"/>
      <c r="QWY45" s="670"/>
      <c r="QWZ45" s="670"/>
      <c r="QXA45" s="670"/>
      <c r="QXB45" s="670"/>
      <c r="QXC45" s="670"/>
      <c r="QXD45" s="670"/>
      <c r="QXE45" s="670"/>
      <c r="QXF45" s="670"/>
      <c r="QXG45" s="670"/>
      <c r="QXH45" s="670"/>
      <c r="QXI45" s="670"/>
      <c r="QXJ45" s="670"/>
      <c r="QXK45" s="670"/>
      <c r="QXL45" s="670"/>
      <c r="QXM45" s="670"/>
      <c r="QXN45" s="670"/>
      <c r="QXO45" s="670"/>
      <c r="QXP45" s="670"/>
      <c r="QXQ45" s="670"/>
      <c r="QXR45" s="670"/>
      <c r="QXS45" s="670"/>
      <c r="QXT45" s="670"/>
      <c r="QXU45" s="670"/>
      <c r="QXV45" s="670"/>
      <c r="QXW45" s="670"/>
      <c r="QXX45" s="670"/>
      <c r="QXY45" s="670"/>
      <c r="QXZ45" s="670"/>
      <c r="QYA45" s="670"/>
      <c r="QYB45" s="670"/>
      <c r="QYC45" s="670"/>
      <c r="QYD45" s="670"/>
      <c r="QYE45" s="670"/>
      <c r="QYF45" s="670"/>
      <c r="QYG45" s="670"/>
      <c r="QYH45" s="670"/>
      <c r="QYI45" s="670"/>
      <c r="QYJ45" s="670"/>
      <c r="QYK45" s="670"/>
      <c r="QYL45" s="670"/>
      <c r="QYM45" s="670"/>
      <c r="QYN45" s="670"/>
      <c r="QYO45" s="670"/>
      <c r="QYP45" s="670"/>
      <c r="QYQ45" s="670"/>
      <c r="QYR45" s="670"/>
      <c r="QYS45" s="670"/>
      <c r="QYT45" s="670"/>
      <c r="QYU45" s="670"/>
      <c r="QYV45" s="670"/>
      <c r="QYW45" s="670"/>
      <c r="QYX45" s="670"/>
      <c r="QYY45" s="670"/>
      <c r="QYZ45" s="670"/>
      <c r="QZA45" s="670"/>
      <c r="QZB45" s="670"/>
      <c r="QZC45" s="670"/>
      <c r="QZD45" s="670"/>
      <c r="QZE45" s="670"/>
      <c r="QZF45" s="670"/>
      <c r="QZG45" s="670"/>
      <c r="QZH45" s="670"/>
      <c r="QZI45" s="670"/>
      <c r="QZJ45" s="670"/>
      <c r="QZK45" s="670"/>
      <c r="QZL45" s="670"/>
      <c r="QZM45" s="670"/>
      <c r="QZN45" s="670"/>
      <c r="QZO45" s="670"/>
      <c r="QZP45" s="670"/>
      <c r="QZQ45" s="670"/>
      <c r="QZR45" s="670"/>
      <c r="QZS45" s="670"/>
      <c r="QZT45" s="670"/>
      <c r="QZU45" s="670"/>
      <c r="QZV45" s="670"/>
      <c r="QZW45" s="670"/>
      <c r="QZX45" s="670"/>
      <c r="QZY45" s="670"/>
      <c r="QZZ45" s="670"/>
      <c r="RAA45" s="670"/>
      <c r="RAB45" s="670"/>
      <c r="RAC45" s="670"/>
      <c r="RAD45" s="670"/>
      <c r="RAE45" s="670"/>
      <c r="RAF45" s="670"/>
      <c r="RAG45" s="670"/>
      <c r="RAH45" s="670"/>
      <c r="RAI45" s="670"/>
      <c r="RAJ45" s="670"/>
      <c r="RAK45" s="670"/>
      <c r="RAL45" s="670"/>
      <c r="RAM45" s="670"/>
      <c r="RAN45" s="670"/>
      <c r="RAO45" s="670"/>
      <c r="RAP45" s="670"/>
      <c r="RAQ45" s="670"/>
      <c r="RAR45" s="670"/>
      <c r="RAS45" s="670"/>
      <c r="RAT45" s="670"/>
      <c r="RAU45" s="670"/>
      <c r="RAV45" s="670"/>
      <c r="RAW45" s="670"/>
      <c r="RAX45" s="670"/>
      <c r="RAY45" s="670"/>
      <c r="RAZ45" s="670"/>
      <c r="RBA45" s="670"/>
      <c r="RBB45" s="670"/>
      <c r="RBC45" s="670"/>
      <c r="RBD45" s="670"/>
      <c r="RBE45" s="670"/>
      <c r="RBF45" s="670"/>
      <c r="RBG45" s="670"/>
      <c r="RBH45" s="670"/>
      <c r="RBI45" s="670"/>
      <c r="RBJ45" s="670"/>
      <c r="RBK45" s="670"/>
      <c r="RBL45" s="670"/>
      <c r="RBM45" s="670"/>
      <c r="RBN45" s="670"/>
      <c r="RBO45" s="670"/>
      <c r="RBP45" s="670"/>
      <c r="RBQ45" s="670"/>
      <c r="RBR45" s="670"/>
      <c r="RBS45" s="670"/>
      <c r="RBT45" s="670"/>
      <c r="RBU45" s="670"/>
      <c r="RBV45" s="670"/>
      <c r="RBW45" s="670"/>
      <c r="RBX45" s="670"/>
      <c r="RBY45" s="670"/>
      <c r="RBZ45" s="670"/>
      <c r="RCA45" s="670"/>
      <c r="RCB45" s="670"/>
      <c r="RCC45" s="670"/>
      <c r="RCD45" s="670"/>
      <c r="RCE45" s="670"/>
      <c r="RCF45" s="670"/>
      <c r="RCG45" s="670"/>
      <c r="RCH45" s="670"/>
      <c r="RCI45" s="670"/>
      <c r="RCJ45" s="670"/>
      <c r="RCK45" s="670"/>
      <c r="RCL45" s="670"/>
      <c r="RCM45" s="670"/>
      <c r="RCN45" s="670"/>
      <c r="RCO45" s="670"/>
      <c r="RCP45" s="670"/>
      <c r="RCQ45" s="670"/>
      <c r="RCR45" s="670"/>
      <c r="RCS45" s="670"/>
      <c r="RCT45" s="670"/>
      <c r="RCU45" s="670"/>
      <c r="RCV45" s="670"/>
      <c r="RCW45" s="670"/>
      <c r="RCX45" s="670"/>
      <c r="RCY45" s="670"/>
      <c r="RCZ45" s="670"/>
      <c r="RDA45" s="670"/>
      <c r="RDB45" s="670"/>
      <c r="RDC45" s="670"/>
      <c r="RDD45" s="670"/>
      <c r="RDE45" s="670"/>
      <c r="RDF45" s="670"/>
      <c r="RDG45" s="670"/>
      <c r="RDH45" s="670"/>
      <c r="RDI45" s="670"/>
      <c r="RDJ45" s="670"/>
      <c r="RDK45" s="670"/>
      <c r="RDL45" s="670"/>
      <c r="RDM45" s="670"/>
      <c r="RDN45" s="670"/>
      <c r="RDO45" s="670"/>
      <c r="RDP45" s="670"/>
      <c r="RDQ45" s="670"/>
      <c r="RDR45" s="670"/>
      <c r="RDS45" s="670"/>
      <c r="RDT45" s="670"/>
      <c r="RDU45" s="670"/>
      <c r="RDV45" s="670"/>
      <c r="RDW45" s="670"/>
      <c r="RDX45" s="670"/>
      <c r="RDY45" s="670"/>
      <c r="RDZ45" s="670"/>
      <c r="REA45" s="670"/>
      <c r="REB45" s="670"/>
      <c r="REC45" s="670"/>
      <c r="RED45" s="670"/>
      <c r="REE45" s="670"/>
      <c r="REF45" s="670"/>
      <c r="REG45" s="670"/>
      <c r="REH45" s="670"/>
      <c r="REI45" s="670"/>
      <c r="REJ45" s="670"/>
      <c r="REK45" s="670"/>
      <c r="REL45" s="670"/>
      <c r="REM45" s="670"/>
      <c r="REN45" s="670"/>
      <c r="REO45" s="670"/>
      <c r="REP45" s="670"/>
      <c r="REQ45" s="670"/>
      <c r="RER45" s="670"/>
      <c r="RES45" s="670"/>
      <c r="RET45" s="670"/>
      <c r="REU45" s="670"/>
      <c r="REV45" s="670"/>
      <c r="REW45" s="670"/>
      <c r="REX45" s="670"/>
      <c r="REY45" s="670"/>
      <c r="REZ45" s="670"/>
      <c r="RFA45" s="670"/>
      <c r="RFB45" s="670"/>
      <c r="RFC45" s="670"/>
      <c r="RFD45" s="670"/>
      <c r="RFE45" s="670"/>
      <c r="RFF45" s="670"/>
      <c r="RFG45" s="670"/>
      <c r="RFH45" s="670"/>
      <c r="RFI45" s="670"/>
      <c r="RFJ45" s="670"/>
      <c r="RFK45" s="670"/>
      <c r="RFL45" s="670"/>
      <c r="RFM45" s="670"/>
      <c r="RFN45" s="670"/>
      <c r="RFO45" s="670"/>
      <c r="RFP45" s="670"/>
      <c r="RFQ45" s="670"/>
      <c r="RFR45" s="670"/>
      <c r="RFS45" s="670"/>
      <c r="RFT45" s="670"/>
      <c r="RFU45" s="670"/>
      <c r="RFV45" s="670"/>
      <c r="RFW45" s="670"/>
      <c r="RFX45" s="670"/>
      <c r="RFY45" s="670"/>
      <c r="RFZ45" s="670"/>
      <c r="RGA45" s="670"/>
      <c r="RGB45" s="670"/>
      <c r="RGC45" s="670"/>
      <c r="RGD45" s="670"/>
      <c r="RGE45" s="670"/>
      <c r="RGF45" s="670"/>
      <c r="RGG45" s="670"/>
      <c r="RGH45" s="670"/>
      <c r="RGI45" s="670"/>
      <c r="RGJ45" s="670"/>
      <c r="RGK45" s="670"/>
      <c r="RGL45" s="670"/>
      <c r="RGM45" s="670"/>
      <c r="RGN45" s="670"/>
      <c r="RGO45" s="670"/>
      <c r="RGP45" s="670"/>
      <c r="RGQ45" s="670"/>
      <c r="RGR45" s="670"/>
      <c r="RGS45" s="670"/>
      <c r="RGT45" s="670"/>
      <c r="RGU45" s="670"/>
      <c r="RGV45" s="670"/>
      <c r="RGW45" s="670"/>
      <c r="RGX45" s="670"/>
      <c r="RGY45" s="670"/>
      <c r="RGZ45" s="670"/>
      <c r="RHA45" s="670"/>
      <c r="RHB45" s="670"/>
      <c r="RHC45" s="670"/>
      <c r="RHD45" s="670"/>
      <c r="RHE45" s="670"/>
      <c r="RHF45" s="670"/>
      <c r="RHG45" s="670"/>
      <c r="RHH45" s="670"/>
      <c r="RHI45" s="670"/>
      <c r="RHJ45" s="670"/>
      <c r="RHK45" s="670"/>
      <c r="RHL45" s="670"/>
      <c r="RHM45" s="670"/>
      <c r="RHN45" s="670"/>
      <c r="RHO45" s="670"/>
      <c r="RHP45" s="670"/>
      <c r="RHQ45" s="670"/>
      <c r="RHR45" s="670"/>
      <c r="RHS45" s="670"/>
      <c r="RHT45" s="670"/>
      <c r="RHU45" s="670"/>
      <c r="RHV45" s="670"/>
      <c r="RHW45" s="670"/>
      <c r="RHX45" s="670"/>
      <c r="RHY45" s="670"/>
      <c r="RHZ45" s="670"/>
      <c r="RIA45" s="670"/>
      <c r="RIB45" s="670"/>
      <c r="RIC45" s="670"/>
      <c r="RID45" s="670"/>
      <c r="RIE45" s="670"/>
      <c r="RIF45" s="670"/>
      <c r="RIG45" s="670"/>
      <c r="RIH45" s="670"/>
      <c r="RII45" s="670"/>
      <c r="RIJ45" s="670"/>
      <c r="RIK45" s="670"/>
      <c r="RIL45" s="670"/>
      <c r="RIM45" s="670"/>
      <c r="RIN45" s="670"/>
      <c r="RIO45" s="670"/>
      <c r="RIP45" s="670"/>
      <c r="RIQ45" s="670"/>
      <c r="RIR45" s="670"/>
      <c r="RIS45" s="670"/>
      <c r="RIT45" s="670"/>
      <c r="RIU45" s="670"/>
      <c r="RIV45" s="670"/>
      <c r="RIW45" s="670"/>
      <c r="RIX45" s="670"/>
      <c r="RIY45" s="670"/>
      <c r="RIZ45" s="670"/>
      <c r="RJA45" s="670"/>
      <c r="RJB45" s="670"/>
      <c r="RJC45" s="670"/>
      <c r="RJD45" s="670"/>
      <c r="RJE45" s="670"/>
      <c r="RJF45" s="670"/>
      <c r="RJG45" s="670"/>
      <c r="RJH45" s="670"/>
      <c r="RJI45" s="670"/>
      <c r="RJJ45" s="670"/>
      <c r="RJK45" s="670"/>
      <c r="RJL45" s="670"/>
      <c r="RJM45" s="670"/>
      <c r="RJN45" s="670"/>
      <c r="RJO45" s="670"/>
      <c r="RJP45" s="670"/>
      <c r="RJQ45" s="670"/>
      <c r="RJR45" s="670"/>
      <c r="RJS45" s="670"/>
      <c r="RJT45" s="670"/>
      <c r="RJU45" s="670"/>
      <c r="RJV45" s="670"/>
      <c r="RJW45" s="670"/>
      <c r="RJX45" s="670"/>
      <c r="RJY45" s="670"/>
      <c r="RJZ45" s="670"/>
      <c r="RKA45" s="670"/>
      <c r="RKB45" s="670"/>
      <c r="RKC45" s="670"/>
      <c r="RKD45" s="670"/>
      <c r="RKE45" s="670"/>
      <c r="RKF45" s="670"/>
      <c r="RKG45" s="670"/>
      <c r="RKH45" s="670"/>
      <c r="RKI45" s="670"/>
      <c r="RKJ45" s="670"/>
      <c r="RKK45" s="670"/>
      <c r="RKL45" s="670"/>
      <c r="RKM45" s="670"/>
      <c r="RKN45" s="670"/>
      <c r="RKO45" s="670"/>
      <c r="RKP45" s="670"/>
      <c r="RKQ45" s="670"/>
      <c r="RKR45" s="670"/>
      <c r="RKS45" s="670"/>
      <c r="RKT45" s="670"/>
      <c r="RKU45" s="670"/>
      <c r="RKV45" s="670"/>
      <c r="RKW45" s="670"/>
      <c r="RKX45" s="670"/>
      <c r="RKY45" s="670"/>
      <c r="RKZ45" s="670"/>
      <c r="RLA45" s="670"/>
      <c r="RLB45" s="670"/>
      <c r="RLC45" s="670"/>
      <c r="RLD45" s="670"/>
      <c r="RLE45" s="670"/>
      <c r="RLF45" s="670"/>
      <c r="RLG45" s="670"/>
      <c r="RLH45" s="670"/>
      <c r="RLI45" s="670"/>
      <c r="RLJ45" s="670"/>
      <c r="RLK45" s="670"/>
      <c r="RLL45" s="670"/>
      <c r="RLM45" s="670"/>
      <c r="RLN45" s="670"/>
      <c r="RLO45" s="670"/>
      <c r="RLP45" s="670"/>
      <c r="RLQ45" s="670"/>
      <c r="RLR45" s="670"/>
      <c r="RLS45" s="670"/>
      <c r="RLT45" s="670"/>
      <c r="RLU45" s="670"/>
      <c r="RLV45" s="670"/>
      <c r="RLW45" s="670"/>
      <c r="RLX45" s="670"/>
      <c r="RLY45" s="670"/>
      <c r="RLZ45" s="670"/>
      <c r="RMA45" s="670"/>
      <c r="RMB45" s="670"/>
      <c r="RMC45" s="670"/>
      <c r="RMD45" s="670"/>
      <c r="RME45" s="670"/>
      <c r="RMF45" s="670"/>
      <c r="RMG45" s="670"/>
      <c r="RMH45" s="670"/>
      <c r="RMI45" s="670"/>
      <c r="RMJ45" s="670"/>
      <c r="RMK45" s="670"/>
      <c r="RML45" s="670"/>
      <c r="RMM45" s="670"/>
      <c r="RMN45" s="670"/>
      <c r="RMO45" s="670"/>
      <c r="RMP45" s="670"/>
      <c r="RMQ45" s="670"/>
      <c r="RMR45" s="670"/>
      <c r="RMS45" s="670"/>
      <c r="RMT45" s="670"/>
      <c r="RMU45" s="670"/>
      <c r="RMV45" s="670"/>
      <c r="RMW45" s="670"/>
      <c r="RMX45" s="670"/>
      <c r="RMY45" s="670"/>
      <c r="RMZ45" s="670"/>
      <c r="RNA45" s="670"/>
      <c r="RNB45" s="670"/>
      <c r="RNC45" s="670"/>
      <c r="RND45" s="670"/>
      <c r="RNE45" s="670"/>
      <c r="RNF45" s="670"/>
      <c r="RNG45" s="670"/>
      <c r="RNH45" s="670"/>
      <c r="RNI45" s="670"/>
      <c r="RNJ45" s="670"/>
      <c r="RNK45" s="670"/>
      <c r="RNL45" s="670"/>
      <c r="RNM45" s="670"/>
      <c r="RNN45" s="670"/>
      <c r="RNO45" s="670"/>
      <c r="RNP45" s="670"/>
      <c r="RNQ45" s="670"/>
      <c r="RNR45" s="670"/>
      <c r="RNS45" s="670"/>
      <c r="RNT45" s="670"/>
      <c r="RNU45" s="670"/>
      <c r="RNV45" s="670"/>
      <c r="RNW45" s="670"/>
      <c r="RNX45" s="670"/>
      <c r="RNY45" s="670"/>
      <c r="RNZ45" s="670"/>
      <c r="ROA45" s="670"/>
      <c r="ROB45" s="670"/>
      <c r="ROC45" s="670"/>
      <c r="ROD45" s="670"/>
      <c r="ROE45" s="670"/>
      <c r="ROF45" s="670"/>
      <c r="ROG45" s="670"/>
      <c r="ROH45" s="670"/>
      <c r="ROI45" s="670"/>
      <c r="ROJ45" s="670"/>
      <c r="ROK45" s="670"/>
      <c r="ROL45" s="670"/>
      <c r="ROM45" s="670"/>
      <c r="RON45" s="670"/>
      <c r="ROO45" s="670"/>
      <c r="ROP45" s="670"/>
      <c r="ROQ45" s="670"/>
      <c r="ROR45" s="670"/>
      <c r="ROS45" s="670"/>
      <c r="ROT45" s="670"/>
      <c r="ROU45" s="670"/>
      <c r="ROV45" s="670"/>
      <c r="ROW45" s="670"/>
      <c r="ROX45" s="670"/>
      <c r="ROY45" s="670"/>
      <c r="ROZ45" s="670"/>
      <c r="RPA45" s="670"/>
      <c r="RPB45" s="670"/>
      <c r="RPC45" s="670"/>
      <c r="RPD45" s="670"/>
      <c r="RPE45" s="670"/>
      <c r="RPF45" s="670"/>
      <c r="RPG45" s="670"/>
      <c r="RPH45" s="670"/>
      <c r="RPI45" s="670"/>
      <c r="RPJ45" s="670"/>
      <c r="RPK45" s="670"/>
      <c r="RPL45" s="670"/>
      <c r="RPM45" s="670"/>
      <c r="RPN45" s="670"/>
      <c r="RPO45" s="670"/>
      <c r="RPP45" s="670"/>
      <c r="RPQ45" s="670"/>
      <c r="RPR45" s="670"/>
      <c r="RPS45" s="670"/>
      <c r="RPT45" s="670"/>
      <c r="RPU45" s="670"/>
      <c r="RPV45" s="670"/>
      <c r="RPW45" s="670"/>
      <c r="RPX45" s="670"/>
      <c r="RPY45" s="670"/>
      <c r="RPZ45" s="670"/>
      <c r="RQA45" s="670"/>
      <c r="RQB45" s="670"/>
      <c r="RQC45" s="670"/>
      <c r="RQD45" s="670"/>
      <c r="RQE45" s="670"/>
      <c r="RQF45" s="670"/>
      <c r="RQG45" s="670"/>
      <c r="RQH45" s="670"/>
      <c r="RQI45" s="670"/>
      <c r="RQJ45" s="670"/>
      <c r="RQK45" s="670"/>
      <c r="RQL45" s="670"/>
      <c r="RQM45" s="670"/>
      <c r="RQN45" s="670"/>
      <c r="RQO45" s="670"/>
      <c r="RQP45" s="670"/>
      <c r="RQQ45" s="670"/>
      <c r="RQR45" s="670"/>
      <c r="RQS45" s="670"/>
      <c r="RQT45" s="670"/>
      <c r="RQU45" s="670"/>
      <c r="RQV45" s="670"/>
      <c r="RQW45" s="670"/>
      <c r="RQX45" s="670"/>
      <c r="RQY45" s="670"/>
      <c r="RQZ45" s="670"/>
      <c r="RRA45" s="670"/>
      <c r="RRB45" s="670"/>
      <c r="RRC45" s="670"/>
      <c r="RRD45" s="670"/>
      <c r="RRE45" s="670"/>
      <c r="RRF45" s="670"/>
      <c r="RRG45" s="670"/>
      <c r="RRH45" s="670"/>
      <c r="RRI45" s="670"/>
      <c r="RRJ45" s="670"/>
      <c r="RRK45" s="670"/>
      <c r="RRL45" s="670"/>
      <c r="RRM45" s="670"/>
      <c r="RRN45" s="670"/>
      <c r="RRO45" s="670"/>
      <c r="RRP45" s="670"/>
      <c r="RRQ45" s="670"/>
      <c r="RRR45" s="670"/>
      <c r="RRS45" s="670"/>
      <c r="RRT45" s="670"/>
      <c r="RRU45" s="670"/>
      <c r="RRV45" s="670"/>
      <c r="RRW45" s="670"/>
      <c r="RRX45" s="670"/>
      <c r="RRY45" s="670"/>
      <c r="RRZ45" s="670"/>
      <c r="RSA45" s="670"/>
      <c r="RSB45" s="670"/>
      <c r="RSC45" s="670"/>
      <c r="RSD45" s="670"/>
      <c r="RSE45" s="670"/>
      <c r="RSF45" s="670"/>
      <c r="RSG45" s="670"/>
      <c r="RSH45" s="670"/>
      <c r="RSI45" s="670"/>
      <c r="RSJ45" s="670"/>
      <c r="RSK45" s="670"/>
      <c r="RSL45" s="670"/>
      <c r="RSM45" s="670"/>
      <c r="RSN45" s="670"/>
      <c r="RSO45" s="670"/>
      <c r="RSP45" s="670"/>
      <c r="RSQ45" s="670"/>
      <c r="RSR45" s="670"/>
      <c r="RSS45" s="670"/>
      <c r="RST45" s="670"/>
      <c r="RSU45" s="670"/>
      <c r="RSV45" s="670"/>
      <c r="RSW45" s="670"/>
      <c r="RSX45" s="670"/>
      <c r="RSY45" s="670"/>
      <c r="RSZ45" s="670"/>
      <c r="RTA45" s="670"/>
      <c r="RTB45" s="670"/>
      <c r="RTC45" s="670"/>
      <c r="RTD45" s="670"/>
      <c r="RTE45" s="670"/>
      <c r="RTF45" s="670"/>
      <c r="RTG45" s="670"/>
      <c r="RTH45" s="670"/>
      <c r="RTI45" s="670"/>
      <c r="RTJ45" s="670"/>
      <c r="RTK45" s="670"/>
      <c r="RTL45" s="670"/>
      <c r="RTM45" s="670"/>
      <c r="RTN45" s="670"/>
      <c r="RTO45" s="670"/>
      <c r="RTP45" s="670"/>
      <c r="RTQ45" s="670"/>
      <c r="RTR45" s="670"/>
      <c r="RTS45" s="670"/>
      <c r="RTT45" s="670"/>
      <c r="RTU45" s="670"/>
      <c r="RTV45" s="670"/>
      <c r="RTW45" s="670"/>
      <c r="RTX45" s="670"/>
      <c r="RTY45" s="670"/>
      <c r="RTZ45" s="670"/>
      <c r="RUA45" s="670"/>
      <c r="RUB45" s="670"/>
      <c r="RUC45" s="670"/>
      <c r="RUD45" s="670"/>
      <c r="RUE45" s="670"/>
      <c r="RUF45" s="670"/>
      <c r="RUG45" s="670"/>
      <c r="RUH45" s="670"/>
      <c r="RUI45" s="670"/>
      <c r="RUJ45" s="670"/>
      <c r="RUK45" s="670"/>
      <c r="RUL45" s="670"/>
      <c r="RUM45" s="670"/>
      <c r="RUN45" s="670"/>
      <c r="RUO45" s="670"/>
      <c r="RUP45" s="670"/>
      <c r="RUQ45" s="670"/>
      <c r="RUR45" s="670"/>
      <c r="RUS45" s="670"/>
      <c r="RUT45" s="670"/>
      <c r="RUU45" s="670"/>
      <c r="RUV45" s="670"/>
      <c r="RUW45" s="670"/>
      <c r="RUX45" s="670"/>
      <c r="RUY45" s="670"/>
      <c r="RUZ45" s="670"/>
      <c r="RVA45" s="670"/>
      <c r="RVB45" s="670"/>
      <c r="RVC45" s="670"/>
      <c r="RVD45" s="670"/>
      <c r="RVE45" s="670"/>
      <c r="RVF45" s="670"/>
      <c r="RVG45" s="670"/>
      <c r="RVH45" s="670"/>
      <c r="RVI45" s="670"/>
      <c r="RVJ45" s="670"/>
      <c r="RVK45" s="670"/>
      <c r="RVL45" s="670"/>
      <c r="RVM45" s="670"/>
      <c r="RVN45" s="670"/>
      <c r="RVO45" s="670"/>
      <c r="RVP45" s="670"/>
      <c r="RVQ45" s="670"/>
      <c r="RVR45" s="670"/>
      <c r="RVS45" s="670"/>
      <c r="RVT45" s="670"/>
      <c r="RVU45" s="670"/>
      <c r="RVV45" s="670"/>
      <c r="RVW45" s="670"/>
      <c r="RVX45" s="670"/>
      <c r="RVY45" s="670"/>
      <c r="RVZ45" s="670"/>
      <c r="RWA45" s="670"/>
      <c r="RWB45" s="670"/>
      <c r="RWC45" s="670"/>
      <c r="RWD45" s="670"/>
      <c r="RWE45" s="670"/>
      <c r="RWF45" s="670"/>
      <c r="RWG45" s="670"/>
      <c r="RWH45" s="670"/>
      <c r="RWI45" s="670"/>
      <c r="RWJ45" s="670"/>
      <c r="RWK45" s="670"/>
      <c r="RWL45" s="670"/>
      <c r="RWM45" s="670"/>
      <c r="RWN45" s="670"/>
      <c r="RWO45" s="670"/>
      <c r="RWP45" s="670"/>
      <c r="RWQ45" s="670"/>
      <c r="RWR45" s="670"/>
      <c r="RWS45" s="670"/>
      <c r="RWT45" s="670"/>
      <c r="RWU45" s="670"/>
      <c r="RWV45" s="670"/>
      <c r="RWW45" s="670"/>
      <c r="RWX45" s="670"/>
      <c r="RWY45" s="670"/>
      <c r="RWZ45" s="670"/>
      <c r="RXA45" s="670"/>
      <c r="RXB45" s="670"/>
      <c r="RXC45" s="670"/>
      <c r="RXD45" s="670"/>
      <c r="RXE45" s="670"/>
      <c r="RXF45" s="670"/>
      <c r="RXG45" s="670"/>
      <c r="RXH45" s="670"/>
      <c r="RXI45" s="670"/>
      <c r="RXJ45" s="670"/>
      <c r="RXK45" s="670"/>
      <c r="RXL45" s="670"/>
      <c r="RXM45" s="670"/>
      <c r="RXN45" s="670"/>
      <c r="RXO45" s="670"/>
      <c r="RXP45" s="670"/>
      <c r="RXQ45" s="670"/>
      <c r="RXR45" s="670"/>
      <c r="RXS45" s="670"/>
      <c r="RXT45" s="670"/>
      <c r="RXU45" s="670"/>
      <c r="RXV45" s="670"/>
      <c r="RXW45" s="670"/>
      <c r="RXX45" s="670"/>
      <c r="RXY45" s="670"/>
      <c r="RXZ45" s="670"/>
      <c r="RYA45" s="670"/>
      <c r="RYB45" s="670"/>
      <c r="RYC45" s="670"/>
      <c r="RYD45" s="670"/>
      <c r="RYE45" s="670"/>
      <c r="RYF45" s="670"/>
      <c r="RYG45" s="670"/>
      <c r="RYH45" s="670"/>
      <c r="RYI45" s="670"/>
      <c r="RYJ45" s="670"/>
      <c r="RYK45" s="670"/>
      <c r="RYL45" s="670"/>
      <c r="RYM45" s="670"/>
      <c r="RYN45" s="670"/>
      <c r="RYO45" s="670"/>
      <c r="RYP45" s="670"/>
      <c r="RYQ45" s="670"/>
      <c r="RYR45" s="670"/>
      <c r="RYS45" s="670"/>
      <c r="RYT45" s="670"/>
      <c r="RYU45" s="670"/>
      <c r="RYV45" s="670"/>
      <c r="RYW45" s="670"/>
      <c r="RYX45" s="670"/>
      <c r="RYY45" s="670"/>
      <c r="RYZ45" s="670"/>
      <c r="RZA45" s="670"/>
      <c r="RZB45" s="670"/>
      <c r="RZC45" s="670"/>
      <c r="RZD45" s="670"/>
      <c r="RZE45" s="670"/>
      <c r="RZF45" s="670"/>
      <c r="RZG45" s="670"/>
      <c r="RZH45" s="670"/>
      <c r="RZI45" s="670"/>
      <c r="RZJ45" s="670"/>
      <c r="RZK45" s="670"/>
      <c r="RZL45" s="670"/>
      <c r="RZM45" s="670"/>
      <c r="RZN45" s="670"/>
      <c r="RZO45" s="670"/>
      <c r="RZP45" s="670"/>
      <c r="RZQ45" s="670"/>
      <c r="RZR45" s="670"/>
      <c r="RZS45" s="670"/>
      <c r="RZT45" s="670"/>
      <c r="RZU45" s="670"/>
      <c r="RZV45" s="670"/>
      <c r="RZW45" s="670"/>
      <c r="RZX45" s="670"/>
      <c r="RZY45" s="670"/>
      <c r="RZZ45" s="670"/>
      <c r="SAA45" s="670"/>
      <c r="SAB45" s="670"/>
      <c r="SAC45" s="670"/>
      <c r="SAD45" s="670"/>
      <c r="SAE45" s="670"/>
      <c r="SAF45" s="670"/>
      <c r="SAG45" s="670"/>
      <c r="SAH45" s="670"/>
      <c r="SAI45" s="670"/>
      <c r="SAJ45" s="670"/>
      <c r="SAK45" s="670"/>
      <c r="SAL45" s="670"/>
      <c r="SAM45" s="670"/>
      <c r="SAN45" s="670"/>
      <c r="SAO45" s="670"/>
      <c r="SAP45" s="670"/>
      <c r="SAQ45" s="670"/>
      <c r="SAR45" s="670"/>
      <c r="SAS45" s="670"/>
      <c r="SAT45" s="670"/>
      <c r="SAU45" s="670"/>
      <c r="SAV45" s="670"/>
      <c r="SAW45" s="670"/>
      <c r="SAX45" s="670"/>
      <c r="SAY45" s="670"/>
      <c r="SAZ45" s="670"/>
      <c r="SBA45" s="670"/>
      <c r="SBB45" s="670"/>
      <c r="SBC45" s="670"/>
      <c r="SBD45" s="670"/>
      <c r="SBE45" s="670"/>
      <c r="SBF45" s="670"/>
      <c r="SBG45" s="670"/>
      <c r="SBH45" s="670"/>
      <c r="SBI45" s="670"/>
      <c r="SBJ45" s="670"/>
      <c r="SBK45" s="670"/>
      <c r="SBL45" s="670"/>
      <c r="SBM45" s="670"/>
      <c r="SBN45" s="670"/>
      <c r="SBO45" s="670"/>
      <c r="SBP45" s="670"/>
      <c r="SBQ45" s="670"/>
      <c r="SBR45" s="670"/>
      <c r="SBS45" s="670"/>
      <c r="SBT45" s="670"/>
      <c r="SBU45" s="670"/>
      <c r="SBV45" s="670"/>
      <c r="SBW45" s="670"/>
      <c r="SBX45" s="670"/>
      <c r="SBY45" s="670"/>
      <c r="SBZ45" s="670"/>
      <c r="SCA45" s="670"/>
      <c r="SCB45" s="670"/>
      <c r="SCC45" s="670"/>
      <c r="SCD45" s="670"/>
      <c r="SCE45" s="670"/>
      <c r="SCF45" s="670"/>
      <c r="SCG45" s="670"/>
      <c r="SCH45" s="670"/>
      <c r="SCI45" s="670"/>
      <c r="SCJ45" s="670"/>
      <c r="SCK45" s="670"/>
      <c r="SCL45" s="670"/>
      <c r="SCM45" s="670"/>
      <c r="SCN45" s="670"/>
      <c r="SCO45" s="670"/>
      <c r="SCP45" s="670"/>
      <c r="SCQ45" s="670"/>
      <c r="SCR45" s="670"/>
      <c r="SCS45" s="670"/>
      <c r="SCT45" s="670"/>
      <c r="SCU45" s="670"/>
      <c r="SCV45" s="670"/>
      <c r="SCW45" s="670"/>
      <c r="SCX45" s="670"/>
      <c r="SCY45" s="670"/>
      <c r="SCZ45" s="670"/>
      <c r="SDA45" s="670"/>
      <c r="SDB45" s="670"/>
      <c r="SDC45" s="670"/>
      <c r="SDD45" s="670"/>
      <c r="SDE45" s="670"/>
      <c r="SDF45" s="670"/>
      <c r="SDG45" s="670"/>
      <c r="SDH45" s="670"/>
      <c r="SDI45" s="670"/>
      <c r="SDJ45" s="670"/>
      <c r="SDK45" s="670"/>
      <c r="SDL45" s="670"/>
      <c r="SDM45" s="670"/>
      <c r="SDN45" s="670"/>
      <c r="SDO45" s="670"/>
      <c r="SDP45" s="670"/>
      <c r="SDQ45" s="670"/>
      <c r="SDR45" s="670"/>
      <c r="SDS45" s="670"/>
      <c r="SDT45" s="670"/>
      <c r="SDU45" s="670"/>
      <c r="SDV45" s="670"/>
      <c r="SDW45" s="670"/>
      <c r="SDX45" s="670"/>
      <c r="SDY45" s="670"/>
      <c r="SDZ45" s="670"/>
      <c r="SEA45" s="670"/>
      <c r="SEB45" s="670"/>
      <c r="SEC45" s="670"/>
      <c r="SED45" s="670"/>
      <c r="SEE45" s="670"/>
      <c r="SEF45" s="670"/>
      <c r="SEG45" s="670"/>
      <c r="SEH45" s="670"/>
      <c r="SEI45" s="670"/>
      <c r="SEJ45" s="670"/>
      <c r="SEK45" s="670"/>
      <c r="SEL45" s="670"/>
      <c r="SEM45" s="670"/>
      <c r="SEN45" s="670"/>
      <c r="SEO45" s="670"/>
      <c r="SEP45" s="670"/>
      <c r="SEQ45" s="670"/>
      <c r="SER45" s="670"/>
      <c r="SES45" s="670"/>
      <c r="SET45" s="670"/>
      <c r="SEU45" s="670"/>
      <c r="SEV45" s="670"/>
      <c r="SEW45" s="670"/>
      <c r="SEX45" s="670"/>
      <c r="SEY45" s="670"/>
      <c r="SEZ45" s="670"/>
      <c r="SFA45" s="670"/>
      <c r="SFB45" s="670"/>
      <c r="SFC45" s="670"/>
      <c r="SFD45" s="670"/>
      <c r="SFE45" s="670"/>
      <c r="SFF45" s="670"/>
      <c r="SFG45" s="670"/>
      <c r="SFH45" s="670"/>
      <c r="SFI45" s="670"/>
      <c r="SFJ45" s="670"/>
      <c r="SFK45" s="670"/>
      <c r="SFL45" s="670"/>
      <c r="SFM45" s="670"/>
      <c r="SFN45" s="670"/>
      <c r="SFO45" s="670"/>
      <c r="SFP45" s="670"/>
      <c r="SFQ45" s="670"/>
      <c r="SFR45" s="670"/>
      <c r="SFS45" s="670"/>
      <c r="SFT45" s="670"/>
      <c r="SFU45" s="670"/>
      <c r="SFV45" s="670"/>
      <c r="SFW45" s="670"/>
      <c r="SFX45" s="670"/>
      <c r="SFY45" s="670"/>
      <c r="SFZ45" s="670"/>
      <c r="SGA45" s="670"/>
      <c r="SGB45" s="670"/>
      <c r="SGC45" s="670"/>
      <c r="SGD45" s="670"/>
      <c r="SGE45" s="670"/>
      <c r="SGF45" s="670"/>
      <c r="SGG45" s="670"/>
      <c r="SGH45" s="670"/>
      <c r="SGI45" s="670"/>
      <c r="SGJ45" s="670"/>
      <c r="SGK45" s="670"/>
      <c r="SGL45" s="670"/>
      <c r="SGM45" s="670"/>
      <c r="SGN45" s="670"/>
      <c r="SGO45" s="670"/>
      <c r="SGP45" s="670"/>
      <c r="SGQ45" s="670"/>
      <c r="SGR45" s="670"/>
      <c r="SGS45" s="670"/>
      <c r="SGT45" s="670"/>
      <c r="SGU45" s="670"/>
      <c r="SGV45" s="670"/>
      <c r="SGW45" s="670"/>
      <c r="SGX45" s="670"/>
      <c r="SGY45" s="670"/>
      <c r="SGZ45" s="670"/>
      <c r="SHA45" s="670"/>
      <c r="SHB45" s="670"/>
      <c r="SHC45" s="670"/>
      <c r="SHD45" s="670"/>
      <c r="SHE45" s="670"/>
      <c r="SHF45" s="670"/>
      <c r="SHG45" s="670"/>
      <c r="SHH45" s="670"/>
      <c r="SHI45" s="670"/>
      <c r="SHJ45" s="670"/>
      <c r="SHK45" s="670"/>
      <c r="SHL45" s="670"/>
      <c r="SHM45" s="670"/>
      <c r="SHN45" s="670"/>
      <c r="SHO45" s="670"/>
      <c r="SHP45" s="670"/>
      <c r="SHQ45" s="670"/>
      <c r="SHR45" s="670"/>
      <c r="SHS45" s="670"/>
      <c r="SHT45" s="670"/>
      <c r="SHU45" s="670"/>
      <c r="SHV45" s="670"/>
      <c r="SHW45" s="670"/>
      <c r="SHX45" s="670"/>
      <c r="SHY45" s="670"/>
      <c r="SHZ45" s="670"/>
      <c r="SIA45" s="670"/>
      <c r="SIB45" s="670"/>
      <c r="SIC45" s="670"/>
      <c r="SID45" s="670"/>
      <c r="SIE45" s="670"/>
      <c r="SIF45" s="670"/>
      <c r="SIG45" s="670"/>
      <c r="SIH45" s="670"/>
      <c r="SII45" s="670"/>
      <c r="SIJ45" s="670"/>
      <c r="SIK45" s="670"/>
      <c r="SIL45" s="670"/>
      <c r="SIM45" s="670"/>
      <c r="SIN45" s="670"/>
      <c r="SIO45" s="670"/>
      <c r="SIP45" s="670"/>
      <c r="SIQ45" s="670"/>
      <c r="SIR45" s="670"/>
      <c r="SIS45" s="670"/>
      <c r="SIT45" s="670"/>
      <c r="SIU45" s="670"/>
      <c r="SIV45" s="670"/>
      <c r="SIW45" s="670"/>
      <c r="SIX45" s="670"/>
      <c r="SIY45" s="670"/>
      <c r="SIZ45" s="670"/>
      <c r="SJA45" s="670"/>
      <c r="SJB45" s="670"/>
      <c r="SJC45" s="670"/>
      <c r="SJD45" s="670"/>
      <c r="SJE45" s="670"/>
      <c r="SJF45" s="670"/>
      <c r="SJG45" s="670"/>
      <c r="SJH45" s="670"/>
      <c r="SJI45" s="670"/>
      <c r="SJJ45" s="670"/>
      <c r="SJK45" s="670"/>
      <c r="SJL45" s="670"/>
      <c r="SJM45" s="670"/>
      <c r="SJN45" s="670"/>
      <c r="SJO45" s="670"/>
      <c r="SJP45" s="670"/>
      <c r="SJQ45" s="670"/>
      <c r="SJR45" s="670"/>
      <c r="SJS45" s="670"/>
      <c r="SJT45" s="670"/>
      <c r="SJU45" s="670"/>
      <c r="SJV45" s="670"/>
      <c r="SJW45" s="670"/>
      <c r="SJX45" s="670"/>
      <c r="SJY45" s="670"/>
      <c r="SJZ45" s="670"/>
      <c r="SKA45" s="670"/>
      <c r="SKB45" s="670"/>
      <c r="SKC45" s="670"/>
      <c r="SKD45" s="670"/>
      <c r="SKE45" s="670"/>
      <c r="SKF45" s="670"/>
      <c r="SKG45" s="670"/>
      <c r="SKH45" s="670"/>
      <c r="SKI45" s="670"/>
      <c r="SKJ45" s="670"/>
      <c r="SKK45" s="670"/>
      <c r="SKL45" s="670"/>
      <c r="SKM45" s="670"/>
      <c r="SKN45" s="670"/>
      <c r="SKO45" s="670"/>
      <c r="SKP45" s="670"/>
      <c r="SKQ45" s="670"/>
      <c r="SKR45" s="670"/>
      <c r="SKS45" s="670"/>
      <c r="SKT45" s="670"/>
      <c r="SKU45" s="670"/>
      <c r="SKV45" s="670"/>
      <c r="SKW45" s="670"/>
      <c r="SKX45" s="670"/>
      <c r="SKY45" s="670"/>
      <c r="SKZ45" s="670"/>
      <c r="SLA45" s="670"/>
      <c r="SLB45" s="670"/>
      <c r="SLC45" s="670"/>
      <c r="SLD45" s="670"/>
      <c r="SLE45" s="670"/>
      <c r="SLF45" s="670"/>
      <c r="SLG45" s="670"/>
      <c r="SLH45" s="670"/>
      <c r="SLI45" s="670"/>
      <c r="SLJ45" s="670"/>
      <c r="SLK45" s="670"/>
      <c r="SLL45" s="670"/>
      <c r="SLM45" s="670"/>
      <c r="SLN45" s="670"/>
      <c r="SLO45" s="670"/>
      <c r="SLP45" s="670"/>
      <c r="SLQ45" s="670"/>
      <c r="SLR45" s="670"/>
      <c r="SLS45" s="670"/>
      <c r="SLT45" s="670"/>
      <c r="SLU45" s="670"/>
      <c r="SLV45" s="670"/>
      <c r="SLW45" s="670"/>
      <c r="SLX45" s="670"/>
      <c r="SLY45" s="670"/>
      <c r="SLZ45" s="670"/>
      <c r="SMA45" s="670"/>
      <c r="SMB45" s="670"/>
      <c r="SMC45" s="670"/>
      <c r="SMD45" s="670"/>
      <c r="SME45" s="670"/>
      <c r="SMF45" s="670"/>
      <c r="SMG45" s="670"/>
      <c r="SMH45" s="670"/>
      <c r="SMI45" s="670"/>
      <c r="SMJ45" s="670"/>
      <c r="SMK45" s="670"/>
      <c r="SML45" s="670"/>
      <c r="SMM45" s="670"/>
      <c r="SMN45" s="670"/>
      <c r="SMO45" s="670"/>
      <c r="SMP45" s="670"/>
      <c r="SMQ45" s="670"/>
      <c r="SMR45" s="670"/>
      <c r="SMS45" s="670"/>
      <c r="SMT45" s="670"/>
      <c r="SMU45" s="670"/>
      <c r="SMV45" s="670"/>
      <c r="SMW45" s="670"/>
      <c r="SMX45" s="670"/>
      <c r="SMY45" s="670"/>
      <c r="SMZ45" s="670"/>
      <c r="SNA45" s="670"/>
      <c r="SNB45" s="670"/>
      <c r="SNC45" s="670"/>
      <c r="SND45" s="670"/>
      <c r="SNE45" s="670"/>
      <c r="SNF45" s="670"/>
      <c r="SNG45" s="670"/>
      <c r="SNH45" s="670"/>
      <c r="SNI45" s="670"/>
      <c r="SNJ45" s="670"/>
      <c r="SNK45" s="670"/>
      <c r="SNL45" s="670"/>
      <c r="SNM45" s="670"/>
      <c r="SNN45" s="670"/>
      <c r="SNO45" s="670"/>
      <c r="SNP45" s="670"/>
      <c r="SNQ45" s="670"/>
      <c r="SNR45" s="670"/>
      <c r="SNS45" s="670"/>
      <c r="SNT45" s="670"/>
      <c r="SNU45" s="670"/>
      <c r="SNV45" s="670"/>
      <c r="SNW45" s="670"/>
      <c r="SNX45" s="670"/>
      <c r="SNY45" s="670"/>
      <c r="SNZ45" s="670"/>
      <c r="SOA45" s="670"/>
      <c r="SOB45" s="670"/>
      <c r="SOC45" s="670"/>
      <c r="SOD45" s="670"/>
      <c r="SOE45" s="670"/>
      <c r="SOF45" s="670"/>
      <c r="SOG45" s="670"/>
      <c r="SOH45" s="670"/>
      <c r="SOI45" s="670"/>
      <c r="SOJ45" s="670"/>
      <c r="SOK45" s="670"/>
      <c r="SOL45" s="670"/>
      <c r="SOM45" s="670"/>
      <c r="SON45" s="670"/>
      <c r="SOO45" s="670"/>
      <c r="SOP45" s="670"/>
      <c r="SOQ45" s="670"/>
      <c r="SOR45" s="670"/>
      <c r="SOS45" s="670"/>
      <c r="SOT45" s="670"/>
      <c r="SOU45" s="670"/>
      <c r="SOV45" s="670"/>
      <c r="SOW45" s="670"/>
      <c r="SOX45" s="670"/>
      <c r="SOY45" s="670"/>
      <c r="SOZ45" s="670"/>
      <c r="SPA45" s="670"/>
      <c r="SPB45" s="670"/>
      <c r="SPC45" s="670"/>
      <c r="SPD45" s="670"/>
      <c r="SPE45" s="670"/>
      <c r="SPF45" s="670"/>
      <c r="SPG45" s="670"/>
      <c r="SPH45" s="670"/>
      <c r="SPI45" s="670"/>
      <c r="SPJ45" s="670"/>
      <c r="SPK45" s="670"/>
      <c r="SPL45" s="670"/>
      <c r="SPM45" s="670"/>
      <c r="SPN45" s="670"/>
      <c r="SPO45" s="670"/>
      <c r="SPP45" s="670"/>
      <c r="SPQ45" s="670"/>
      <c r="SPR45" s="670"/>
      <c r="SPS45" s="670"/>
      <c r="SPT45" s="670"/>
      <c r="SPU45" s="670"/>
      <c r="SPV45" s="670"/>
      <c r="SPW45" s="670"/>
      <c r="SPX45" s="670"/>
      <c r="SPY45" s="670"/>
      <c r="SPZ45" s="670"/>
      <c r="SQA45" s="670"/>
      <c r="SQB45" s="670"/>
      <c r="SQC45" s="670"/>
      <c r="SQD45" s="670"/>
      <c r="SQE45" s="670"/>
      <c r="SQF45" s="670"/>
      <c r="SQG45" s="670"/>
      <c r="SQH45" s="670"/>
      <c r="SQI45" s="670"/>
      <c r="SQJ45" s="670"/>
      <c r="SQK45" s="670"/>
      <c r="SQL45" s="670"/>
      <c r="SQM45" s="670"/>
      <c r="SQN45" s="670"/>
      <c r="SQO45" s="670"/>
      <c r="SQP45" s="670"/>
      <c r="SQQ45" s="670"/>
      <c r="SQR45" s="670"/>
      <c r="SQS45" s="670"/>
      <c r="SQT45" s="670"/>
      <c r="SQU45" s="670"/>
      <c r="SQV45" s="670"/>
      <c r="SQW45" s="670"/>
      <c r="SQX45" s="670"/>
      <c r="SQY45" s="670"/>
      <c r="SQZ45" s="670"/>
      <c r="SRA45" s="670"/>
      <c r="SRB45" s="670"/>
      <c r="SRC45" s="670"/>
      <c r="SRD45" s="670"/>
      <c r="SRE45" s="670"/>
      <c r="SRF45" s="670"/>
      <c r="SRG45" s="670"/>
      <c r="SRH45" s="670"/>
      <c r="SRI45" s="670"/>
      <c r="SRJ45" s="670"/>
      <c r="SRK45" s="670"/>
      <c r="SRL45" s="670"/>
      <c r="SRM45" s="670"/>
      <c r="SRN45" s="670"/>
      <c r="SRO45" s="670"/>
      <c r="SRP45" s="670"/>
      <c r="SRQ45" s="670"/>
      <c r="SRR45" s="670"/>
      <c r="SRS45" s="670"/>
      <c r="SRT45" s="670"/>
      <c r="SRU45" s="670"/>
      <c r="SRV45" s="670"/>
      <c r="SRW45" s="670"/>
      <c r="SRX45" s="670"/>
      <c r="SRY45" s="670"/>
      <c r="SRZ45" s="670"/>
      <c r="SSA45" s="670"/>
      <c r="SSB45" s="670"/>
      <c r="SSC45" s="670"/>
      <c r="SSD45" s="670"/>
      <c r="SSE45" s="670"/>
      <c r="SSF45" s="670"/>
      <c r="SSG45" s="670"/>
      <c r="SSH45" s="670"/>
      <c r="SSI45" s="670"/>
      <c r="SSJ45" s="670"/>
      <c r="SSK45" s="670"/>
      <c r="SSL45" s="670"/>
      <c r="SSM45" s="670"/>
      <c r="SSN45" s="670"/>
      <c r="SSO45" s="670"/>
      <c r="SSP45" s="670"/>
      <c r="SSQ45" s="670"/>
      <c r="SSR45" s="670"/>
      <c r="SSS45" s="670"/>
      <c r="SST45" s="670"/>
      <c r="SSU45" s="670"/>
      <c r="SSV45" s="670"/>
      <c r="SSW45" s="670"/>
      <c r="SSX45" s="670"/>
      <c r="SSY45" s="670"/>
      <c r="SSZ45" s="670"/>
      <c r="STA45" s="670"/>
      <c r="STB45" s="670"/>
      <c r="STC45" s="670"/>
      <c r="STD45" s="670"/>
      <c r="STE45" s="670"/>
      <c r="STF45" s="670"/>
      <c r="STG45" s="670"/>
      <c r="STH45" s="670"/>
      <c r="STI45" s="670"/>
      <c r="STJ45" s="670"/>
      <c r="STK45" s="670"/>
      <c r="STL45" s="670"/>
      <c r="STM45" s="670"/>
      <c r="STN45" s="670"/>
      <c r="STO45" s="670"/>
      <c r="STP45" s="670"/>
      <c r="STQ45" s="670"/>
      <c r="STR45" s="670"/>
      <c r="STS45" s="670"/>
      <c r="STT45" s="670"/>
      <c r="STU45" s="670"/>
      <c r="STV45" s="670"/>
      <c r="STW45" s="670"/>
      <c r="STX45" s="670"/>
      <c r="STY45" s="670"/>
      <c r="STZ45" s="670"/>
      <c r="SUA45" s="670"/>
      <c r="SUB45" s="670"/>
      <c r="SUC45" s="670"/>
      <c r="SUD45" s="670"/>
      <c r="SUE45" s="670"/>
      <c r="SUF45" s="670"/>
      <c r="SUG45" s="670"/>
      <c r="SUH45" s="670"/>
      <c r="SUI45" s="670"/>
      <c r="SUJ45" s="670"/>
      <c r="SUK45" s="670"/>
      <c r="SUL45" s="670"/>
      <c r="SUM45" s="670"/>
      <c r="SUN45" s="670"/>
      <c r="SUO45" s="670"/>
      <c r="SUP45" s="670"/>
      <c r="SUQ45" s="670"/>
      <c r="SUR45" s="670"/>
      <c r="SUS45" s="670"/>
      <c r="SUT45" s="670"/>
      <c r="SUU45" s="670"/>
      <c r="SUV45" s="670"/>
      <c r="SUW45" s="670"/>
      <c r="SUX45" s="670"/>
      <c r="SUY45" s="670"/>
      <c r="SUZ45" s="670"/>
      <c r="SVA45" s="670"/>
      <c r="SVB45" s="670"/>
      <c r="SVC45" s="670"/>
      <c r="SVD45" s="670"/>
      <c r="SVE45" s="670"/>
      <c r="SVF45" s="670"/>
      <c r="SVG45" s="670"/>
      <c r="SVH45" s="670"/>
      <c r="SVI45" s="670"/>
      <c r="SVJ45" s="670"/>
      <c r="SVK45" s="670"/>
      <c r="SVL45" s="670"/>
      <c r="SVM45" s="670"/>
      <c r="SVN45" s="670"/>
      <c r="SVO45" s="670"/>
      <c r="SVP45" s="670"/>
      <c r="SVQ45" s="670"/>
      <c r="SVR45" s="670"/>
      <c r="SVS45" s="670"/>
      <c r="SVT45" s="670"/>
      <c r="SVU45" s="670"/>
      <c r="SVV45" s="670"/>
      <c r="SVW45" s="670"/>
      <c r="SVX45" s="670"/>
      <c r="SVY45" s="670"/>
      <c r="SVZ45" s="670"/>
      <c r="SWA45" s="670"/>
      <c r="SWB45" s="670"/>
      <c r="SWC45" s="670"/>
      <c r="SWD45" s="670"/>
      <c r="SWE45" s="670"/>
      <c r="SWF45" s="670"/>
      <c r="SWG45" s="670"/>
      <c r="SWH45" s="670"/>
      <c r="SWI45" s="670"/>
      <c r="SWJ45" s="670"/>
      <c r="SWK45" s="670"/>
      <c r="SWL45" s="670"/>
      <c r="SWM45" s="670"/>
      <c r="SWN45" s="670"/>
      <c r="SWO45" s="670"/>
      <c r="SWP45" s="670"/>
      <c r="SWQ45" s="670"/>
      <c r="SWR45" s="670"/>
      <c r="SWS45" s="670"/>
      <c r="SWT45" s="670"/>
      <c r="SWU45" s="670"/>
      <c r="SWV45" s="670"/>
      <c r="SWW45" s="670"/>
      <c r="SWX45" s="670"/>
      <c r="SWY45" s="670"/>
      <c r="SWZ45" s="670"/>
      <c r="SXA45" s="670"/>
      <c r="SXB45" s="670"/>
      <c r="SXC45" s="670"/>
      <c r="SXD45" s="670"/>
      <c r="SXE45" s="670"/>
      <c r="SXF45" s="670"/>
      <c r="SXG45" s="670"/>
      <c r="SXH45" s="670"/>
      <c r="SXI45" s="670"/>
      <c r="SXJ45" s="670"/>
      <c r="SXK45" s="670"/>
      <c r="SXL45" s="670"/>
      <c r="SXM45" s="670"/>
      <c r="SXN45" s="670"/>
      <c r="SXO45" s="670"/>
      <c r="SXP45" s="670"/>
      <c r="SXQ45" s="670"/>
      <c r="SXR45" s="670"/>
      <c r="SXS45" s="670"/>
      <c r="SXT45" s="670"/>
      <c r="SXU45" s="670"/>
      <c r="SXV45" s="670"/>
      <c r="SXW45" s="670"/>
      <c r="SXX45" s="670"/>
      <c r="SXY45" s="670"/>
      <c r="SXZ45" s="670"/>
      <c r="SYA45" s="670"/>
      <c r="SYB45" s="670"/>
      <c r="SYC45" s="670"/>
      <c r="SYD45" s="670"/>
      <c r="SYE45" s="670"/>
      <c r="SYF45" s="670"/>
      <c r="SYG45" s="670"/>
      <c r="SYH45" s="670"/>
      <c r="SYI45" s="670"/>
      <c r="SYJ45" s="670"/>
      <c r="SYK45" s="670"/>
      <c r="SYL45" s="670"/>
      <c r="SYM45" s="670"/>
      <c r="SYN45" s="670"/>
      <c r="SYO45" s="670"/>
      <c r="SYP45" s="670"/>
      <c r="SYQ45" s="670"/>
      <c r="SYR45" s="670"/>
      <c r="SYS45" s="670"/>
      <c r="SYT45" s="670"/>
      <c r="SYU45" s="670"/>
      <c r="SYV45" s="670"/>
      <c r="SYW45" s="670"/>
      <c r="SYX45" s="670"/>
      <c r="SYY45" s="670"/>
      <c r="SYZ45" s="670"/>
      <c r="SZA45" s="670"/>
      <c r="SZB45" s="670"/>
      <c r="SZC45" s="670"/>
      <c r="SZD45" s="670"/>
      <c r="SZE45" s="670"/>
      <c r="SZF45" s="670"/>
      <c r="SZG45" s="670"/>
      <c r="SZH45" s="670"/>
      <c r="SZI45" s="670"/>
      <c r="SZJ45" s="670"/>
      <c r="SZK45" s="670"/>
      <c r="SZL45" s="670"/>
      <c r="SZM45" s="670"/>
      <c r="SZN45" s="670"/>
      <c r="SZO45" s="670"/>
      <c r="SZP45" s="670"/>
      <c r="SZQ45" s="670"/>
      <c r="SZR45" s="670"/>
      <c r="SZS45" s="670"/>
      <c r="SZT45" s="670"/>
      <c r="SZU45" s="670"/>
      <c r="SZV45" s="670"/>
      <c r="SZW45" s="670"/>
      <c r="SZX45" s="670"/>
      <c r="SZY45" s="670"/>
      <c r="SZZ45" s="670"/>
      <c r="TAA45" s="670"/>
      <c r="TAB45" s="670"/>
      <c r="TAC45" s="670"/>
      <c r="TAD45" s="670"/>
      <c r="TAE45" s="670"/>
      <c r="TAF45" s="670"/>
      <c r="TAG45" s="670"/>
      <c r="TAH45" s="670"/>
      <c r="TAI45" s="670"/>
      <c r="TAJ45" s="670"/>
      <c r="TAK45" s="670"/>
      <c r="TAL45" s="670"/>
      <c r="TAM45" s="670"/>
      <c r="TAN45" s="670"/>
      <c r="TAO45" s="670"/>
      <c r="TAP45" s="670"/>
      <c r="TAQ45" s="670"/>
      <c r="TAR45" s="670"/>
      <c r="TAS45" s="670"/>
      <c r="TAT45" s="670"/>
      <c r="TAU45" s="670"/>
      <c r="TAV45" s="670"/>
      <c r="TAW45" s="670"/>
      <c r="TAX45" s="670"/>
      <c r="TAY45" s="670"/>
      <c r="TAZ45" s="670"/>
      <c r="TBA45" s="670"/>
      <c r="TBB45" s="670"/>
      <c r="TBC45" s="670"/>
      <c r="TBD45" s="670"/>
      <c r="TBE45" s="670"/>
      <c r="TBF45" s="670"/>
      <c r="TBG45" s="670"/>
      <c r="TBH45" s="670"/>
      <c r="TBI45" s="670"/>
      <c r="TBJ45" s="670"/>
      <c r="TBK45" s="670"/>
      <c r="TBL45" s="670"/>
      <c r="TBM45" s="670"/>
      <c r="TBN45" s="670"/>
      <c r="TBO45" s="670"/>
      <c r="TBP45" s="670"/>
      <c r="TBQ45" s="670"/>
      <c r="TBR45" s="670"/>
      <c r="TBS45" s="670"/>
      <c r="TBT45" s="670"/>
      <c r="TBU45" s="670"/>
      <c r="TBV45" s="670"/>
      <c r="TBW45" s="670"/>
      <c r="TBX45" s="670"/>
      <c r="TBY45" s="670"/>
      <c r="TBZ45" s="670"/>
      <c r="TCA45" s="670"/>
      <c r="TCB45" s="670"/>
      <c r="TCC45" s="670"/>
      <c r="TCD45" s="670"/>
      <c r="TCE45" s="670"/>
      <c r="TCF45" s="670"/>
      <c r="TCG45" s="670"/>
      <c r="TCH45" s="670"/>
      <c r="TCI45" s="670"/>
      <c r="TCJ45" s="670"/>
      <c r="TCK45" s="670"/>
      <c r="TCL45" s="670"/>
      <c r="TCM45" s="670"/>
      <c r="TCN45" s="670"/>
      <c r="TCO45" s="670"/>
      <c r="TCP45" s="670"/>
      <c r="TCQ45" s="670"/>
      <c r="TCR45" s="670"/>
      <c r="TCS45" s="670"/>
      <c r="TCT45" s="670"/>
      <c r="TCU45" s="670"/>
      <c r="TCV45" s="670"/>
      <c r="TCW45" s="670"/>
      <c r="TCX45" s="670"/>
      <c r="TCY45" s="670"/>
      <c r="TCZ45" s="670"/>
      <c r="TDA45" s="670"/>
      <c r="TDB45" s="670"/>
      <c r="TDC45" s="670"/>
      <c r="TDD45" s="670"/>
      <c r="TDE45" s="670"/>
      <c r="TDF45" s="670"/>
      <c r="TDG45" s="670"/>
      <c r="TDH45" s="670"/>
      <c r="TDI45" s="670"/>
      <c r="TDJ45" s="670"/>
      <c r="TDK45" s="670"/>
      <c r="TDL45" s="670"/>
      <c r="TDM45" s="670"/>
      <c r="TDN45" s="670"/>
      <c r="TDO45" s="670"/>
      <c r="TDP45" s="670"/>
      <c r="TDQ45" s="670"/>
      <c r="TDR45" s="670"/>
      <c r="TDS45" s="670"/>
      <c r="TDT45" s="670"/>
      <c r="TDU45" s="670"/>
      <c r="TDV45" s="670"/>
      <c r="TDW45" s="670"/>
      <c r="TDX45" s="670"/>
      <c r="TDY45" s="670"/>
      <c r="TDZ45" s="670"/>
      <c r="TEA45" s="670"/>
      <c r="TEB45" s="670"/>
      <c r="TEC45" s="670"/>
      <c r="TED45" s="670"/>
      <c r="TEE45" s="670"/>
      <c r="TEF45" s="670"/>
      <c r="TEG45" s="670"/>
      <c r="TEH45" s="670"/>
      <c r="TEI45" s="670"/>
      <c r="TEJ45" s="670"/>
      <c r="TEK45" s="670"/>
      <c r="TEL45" s="670"/>
      <c r="TEM45" s="670"/>
      <c r="TEN45" s="670"/>
      <c r="TEO45" s="670"/>
      <c r="TEP45" s="670"/>
      <c r="TEQ45" s="670"/>
      <c r="TER45" s="670"/>
      <c r="TES45" s="670"/>
      <c r="TET45" s="670"/>
      <c r="TEU45" s="670"/>
      <c r="TEV45" s="670"/>
      <c r="TEW45" s="670"/>
      <c r="TEX45" s="670"/>
      <c r="TEY45" s="670"/>
      <c r="TEZ45" s="670"/>
      <c r="TFA45" s="670"/>
      <c r="TFB45" s="670"/>
      <c r="TFC45" s="670"/>
      <c r="TFD45" s="670"/>
      <c r="TFE45" s="670"/>
      <c r="TFF45" s="670"/>
      <c r="TFG45" s="670"/>
      <c r="TFH45" s="670"/>
      <c r="TFI45" s="670"/>
      <c r="TFJ45" s="670"/>
      <c r="TFK45" s="670"/>
      <c r="TFL45" s="670"/>
      <c r="TFM45" s="670"/>
      <c r="TFN45" s="670"/>
      <c r="TFO45" s="670"/>
      <c r="TFP45" s="670"/>
      <c r="TFQ45" s="670"/>
      <c r="TFR45" s="670"/>
      <c r="TFS45" s="670"/>
      <c r="TFT45" s="670"/>
      <c r="TFU45" s="670"/>
      <c r="TFV45" s="670"/>
      <c r="TFW45" s="670"/>
      <c r="TFX45" s="670"/>
      <c r="TFY45" s="670"/>
      <c r="TFZ45" s="670"/>
      <c r="TGA45" s="670"/>
      <c r="TGB45" s="670"/>
      <c r="TGC45" s="670"/>
      <c r="TGD45" s="670"/>
      <c r="TGE45" s="670"/>
      <c r="TGF45" s="670"/>
      <c r="TGG45" s="670"/>
      <c r="TGH45" s="670"/>
      <c r="TGI45" s="670"/>
      <c r="TGJ45" s="670"/>
      <c r="TGK45" s="670"/>
      <c r="TGL45" s="670"/>
      <c r="TGM45" s="670"/>
      <c r="TGN45" s="670"/>
      <c r="TGO45" s="670"/>
      <c r="TGP45" s="670"/>
      <c r="TGQ45" s="670"/>
      <c r="TGR45" s="670"/>
      <c r="TGS45" s="670"/>
      <c r="TGT45" s="670"/>
      <c r="TGU45" s="670"/>
      <c r="TGV45" s="670"/>
      <c r="TGW45" s="670"/>
      <c r="TGX45" s="670"/>
      <c r="TGY45" s="670"/>
      <c r="TGZ45" s="670"/>
      <c r="THA45" s="670"/>
      <c r="THB45" s="670"/>
      <c r="THC45" s="670"/>
      <c r="THD45" s="670"/>
      <c r="THE45" s="670"/>
      <c r="THF45" s="670"/>
      <c r="THG45" s="670"/>
      <c r="THH45" s="670"/>
      <c r="THI45" s="670"/>
      <c r="THJ45" s="670"/>
      <c r="THK45" s="670"/>
      <c r="THL45" s="670"/>
      <c r="THM45" s="670"/>
      <c r="THN45" s="670"/>
      <c r="THO45" s="670"/>
      <c r="THP45" s="670"/>
      <c r="THQ45" s="670"/>
      <c r="THR45" s="670"/>
      <c r="THS45" s="670"/>
      <c r="THT45" s="670"/>
      <c r="THU45" s="670"/>
      <c r="THV45" s="670"/>
      <c r="THW45" s="670"/>
      <c r="THX45" s="670"/>
      <c r="THY45" s="670"/>
      <c r="THZ45" s="670"/>
      <c r="TIA45" s="670"/>
      <c r="TIB45" s="670"/>
      <c r="TIC45" s="670"/>
      <c r="TID45" s="670"/>
      <c r="TIE45" s="670"/>
      <c r="TIF45" s="670"/>
      <c r="TIG45" s="670"/>
      <c r="TIH45" s="670"/>
      <c r="TII45" s="670"/>
      <c r="TIJ45" s="670"/>
      <c r="TIK45" s="670"/>
      <c r="TIL45" s="670"/>
      <c r="TIM45" s="670"/>
      <c r="TIN45" s="670"/>
      <c r="TIO45" s="670"/>
      <c r="TIP45" s="670"/>
      <c r="TIQ45" s="670"/>
      <c r="TIR45" s="670"/>
      <c r="TIS45" s="670"/>
      <c r="TIT45" s="670"/>
      <c r="TIU45" s="670"/>
      <c r="TIV45" s="670"/>
      <c r="TIW45" s="670"/>
      <c r="TIX45" s="670"/>
      <c r="TIY45" s="670"/>
      <c r="TIZ45" s="670"/>
      <c r="TJA45" s="670"/>
      <c r="TJB45" s="670"/>
      <c r="TJC45" s="670"/>
      <c r="TJD45" s="670"/>
      <c r="TJE45" s="670"/>
      <c r="TJF45" s="670"/>
      <c r="TJG45" s="670"/>
      <c r="TJH45" s="670"/>
      <c r="TJI45" s="670"/>
      <c r="TJJ45" s="670"/>
      <c r="TJK45" s="670"/>
      <c r="TJL45" s="670"/>
      <c r="TJM45" s="670"/>
      <c r="TJN45" s="670"/>
      <c r="TJO45" s="670"/>
      <c r="TJP45" s="670"/>
      <c r="TJQ45" s="670"/>
      <c r="TJR45" s="670"/>
      <c r="TJS45" s="670"/>
      <c r="TJT45" s="670"/>
      <c r="TJU45" s="670"/>
      <c r="TJV45" s="670"/>
      <c r="TJW45" s="670"/>
      <c r="TJX45" s="670"/>
      <c r="TJY45" s="670"/>
      <c r="TJZ45" s="670"/>
      <c r="TKA45" s="670"/>
      <c r="TKB45" s="670"/>
      <c r="TKC45" s="670"/>
      <c r="TKD45" s="670"/>
      <c r="TKE45" s="670"/>
      <c r="TKF45" s="670"/>
      <c r="TKG45" s="670"/>
      <c r="TKH45" s="670"/>
      <c r="TKI45" s="670"/>
      <c r="TKJ45" s="670"/>
      <c r="TKK45" s="670"/>
      <c r="TKL45" s="670"/>
      <c r="TKM45" s="670"/>
      <c r="TKN45" s="670"/>
      <c r="TKO45" s="670"/>
      <c r="TKP45" s="670"/>
      <c r="TKQ45" s="670"/>
      <c r="TKR45" s="670"/>
      <c r="TKS45" s="670"/>
      <c r="TKT45" s="670"/>
      <c r="TKU45" s="670"/>
      <c r="TKV45" s="670"/>
      <c r="TKW45" s="670"/>
      <c r="TKX45" s="670"/>
      <c r="TKY45" s="670"/>
      <c r="TKZ45" s="670"/>
      <c r="TLA45" s="670"/>
      <c r="TLB45" s="670"/>
      <c r="TLC45" s="670"/>
      <c r="TLD45" s="670"/>
      <c r="TLE45" s="670"/>
      <c r="TLF45" s="670"/>
      <c r="TLG45" s="670"/>
      <c r="TLH45" s="670"/>
      <c r="TLI45" s="670"/>
      <c r="TLJ45" s="670"/>
      <c r="TLK45" s="670"/>
      <c r="TLL45" s="670"/>
      <c r="TLM45" s="670"/>
      <c r="TLN45" s="670"/>
      <c r="TLO45" s="670"/>
      <c r="TLP45" s="670"/>
      <c r="TLQ45" s="670"/>
      <c r="TLR45" s="670"/>
      <c r="TLS45" s="670"/>
      <c r="TLT45" s="670"/>
      <c r="TLU45" s="670"/>
      <c r="TLV45" s="670"/>
      <c r="TLW45" s="670"/>
      <c r="TLX45" s="670"/>
      <c r="TLY45" s="670"/>
      <c r="TLZ45" s="670"/>
      <c r="TMA45" s="670"/>
      <c r="TMB45" s="670"/>
      <c r="TMC45" s="670"/>
      <c r="TMD45" s="670"/>
      <c r="TME45" s="670"/>
      <c r="TMF45" s="670"/>
      <c r="TMG45" s="670"/>
      <c r="TMH45" s="670"/>
      <c r="TMI45" s="670"/>
      <c r="TMJ45" s="670"/>
      <c r="TMK45" s="670"/>
      <c r="TML45" s="670"/>
      <c r="TMM45" s="670"/>
      <c r="TMN45" s="670"/>
      <c r="TMO45" s="670"/>
      <c r="TMP45" s="670"/>
      <c r="TMQ45" s="670"/>
      <c r="TMR45" s="670"/>
      <c r="TMS45" s="670"/>
      <c r="TMT45" s="670"/>
      <c r="TMU45" s="670"/>
      <c r="TMV45" s="670"/>
      <c r="TMW45" s="670"/>
      <c r="TMX45" s="670"/>
      <c r="TMY45" s="670"/>
      <c r="TMZ45" s="670"/>
      <c r="TNA45" s="670"/>
      <c r="TNB45" s="670"/>
      <c r="TNC45" s="670"/>
      <c r="TND45" s="670"/>
      <c r="TNE45" s="670"/>
      <c r="TNF45" s="670"/>
      <c r="TNG45" s="670"/>
      <c r="TNH45" s="670"/>
      <c r="TNI45" s="670"/>
      <c r="TNJ45" s="670"/>
      <c r="TNK45" s="670"/>
      <c r="TNL45" s="670"/>
      <c r="TNM45" s="670"/>
      <c r="TNN45" s="670"/>
      <c r="TNO45" s="670"/>
      <c r="TNP45" s="670"/>
      <c r="TNQ45" s="670"/>
      <c r="TNR45" s="670"/>
      <c r="TNS45" s="670"/>
      <c r="TNT45" s="670"/>
      <c r="TNU45" s="670"/>
      <c r="TNV45" s="670"/>
      <c r="TNW45" s="670"/>
      <c r="TNX45" s="670"/>
      <c r="TNY45" s="670"/>
      <c r="TNZ45" s="670"/>
      <c r="TOA45" s="670"/>
      <c r="TOB45" s="670"/>
      <c r="TOC45" s="670"/>
      <c r="TOD45" s="670"/>
      <c r="TOE45" s="670"/>
      <c r="TOF45" s="670"/>
      <c r="TOG45" s="670"/>
      <c r="TOH45" s="670"/>
      <c r="TOI45" s="670"/>
      <c r="TOJ45" s="670"/>
      <c r="TOK45" s="670"/>
      <c r="TOL45" s="670"/>
      <c r="TOM45" s="670"/>
      <c r="TON45" s="670"/>
      <c r="TOO45" s="670"/>
      <c r="TOP45" s="670"/>
      <c r="TOQ45" s="670"/>
      <c r="TOR45" s="670"/>
      <c r="TOS45" s="670"/>
      <c r="TOT45" s="670"/>
      <c r="TOU45" s="670"/>
      <c r="TOV45" s="670"/>
      <c r="TOW45" s="670"/>
      <c r="TOX45" s="670"/>
      <c r="TOY45" s="670"/>
      <c r="TOZ45" s="670"/>
      <c r="TPA45" s="670"/>
      <c r="TPB45" s="670"/>
      <c r="TPC45" s="670"/>
      <c r="TPD45" s="670"/>
      <c r="TPE45" s="670"/>
      <c r="TPF45" s="670"/>
      <c r="TPG45" s="670"/>
      <c r="TPH45" s="670"/>
      <c r="TPI45" s="670"/>
      <c r="TPJ45" s="670"/>
      <c r="TPK45" s="670"/>
      <c r="TPL45" s="670"/>
      <c r="TPM45" s="670"/>
      <c r="TPN45" s="670"/>
      <c r="TPO45" s="670"/>
      <c r="TPP45" s="670"/>
      <c r="TPQ45" s="670"/>
      <c r="TPR45" s="670"/>
      <c r="TPS45" s="670"/>
      <c r="TPT45" s="670"/>
      <c r="TPU45" s="670"/>
      <c r="TPV45" s="670"/>
      <c r="TPW45" s="670"/>
      <c r="TPX45" s="670"/>
      <c r="TPY45" s="670"/>
      <c r="TPZ45" s="670"/>
      <c r="TQA45" s="670"/>
      <c r="TQB45" s="670"/>
      <c r="TQC45" s="670"/>
      <c r="TQD45" s="670"/>
      <c r="TQE45" s="670"/>
      <c r="TQF45" s="670"/>
      <c r="TQG45" s="670"/>
      <c r="TQH45" s="670"/>
      <c r="TQI45" s="670"/>
      <c r="TQJ45" s="670"/>
      <c r="TQK45" s="670"/>
      <c r="TQL45" s="670"/>
      <c r="TQM45" s="670"/>
      <c r="TQN45" s="670"/>
      <c r="TQO45" s="670"/>
      <c r="TQP45" s="670"/>
      <c r="TQQ45" s="670"/>
      <c r="TQR45" s="670"/>
      <c r="TQS45" s="670"/>
      <c r="TQT45" s="670"/>
      <c r="TQU45" s="670"/>
      <c r="TQV45" s="670"/>
      <c r="TQW45" s="670"/>
      <c r="TQX45" s="670"/>
      <c r="TQY45" s="670"/>
      <c r="TQZ45" s="670"/>
      <c r="TRA45" s="670"/>
      <c r="TRB45" s="670"/>
      <c r="TRC45" s="670"/>
      <c r="TRD45" s="670"/>
      <c r="TRE45" s="670"/>
      <c r="TRF45" s="670"/>
      <c r="TRG45" s="670"/>
      <c r="TRH45" s="670"/>
      <c r="TRI45" s="670"/>
      <c r="TRJ45" s="670"/>
      <c r="TRK45" s="670"/>
      <c r="TRL45" s="670"/>
      <c r="TRM45" s="670"/>
      <c r="TRN45" s="670"/>
      <c r="TRO45" s="670"/>
      <c r="TRP45" s="670"/>
      <c r="TRQ45" s="670"/>
      <c r="TRR45" s="670"/>
      <c r="TRS45" s="670"/>
      <c r="TRT45" s="670"/>
      <c r="TRU45" s="670"/>
      <c r="TRV45" s="670"/>
      <c r="TRW45" s="670"/>
      <c r="TRX45" s="670"/>
      <c r="TRY45" s="670"/>
      <c r="TRZ45" s="670"/>
      <c r="TSA45" s="670"/>
      <c r="TSB45" s="670"/>
      <c r="TSC45" s="670"/>
      <c r="TSD45" s="670"/>
      <c r="TSE45" s="670"/>
      <c r="TSF45" s="670"/>
      <c r="TSG45" s="670"/>
      <c r="TSH45" s="670"/>
      <c r="TSI45" s="670"/>
      <c r="TSJ45" s="670"/>
      <c r="TSK45" s="670"/>
      <c r="TSL45" s="670"/>
      <c r="TSM45" s="670"/>
      <c r="TSN45" s="670"/>
      <c r="TSO45" s="670"/>
      <c r="TSP45" s="670"/>
      <c r="TSQ45" s="670"/>
      <c r="TSR45" s="670"/>
      <c r="TSS45" s="670"/>
      <c r="TST45" s="670"/>
      <c r="TSU45" s="670"/>
      <c r="TSV45" s="670"/>
      <c r="TSW45" s="670"/>
      <c r="TSX45" s="670"/>
      <c r="TSY45" s="670"/>
      <c r="TSZ45" s="670"/>
      <c r="TTA45" s="670"/>
      <c r="TTB45" s="670"/>
      <c r="TTC45" s="670"/>
      <c r="TTD45" s="670"/>
      <c r="TTE45" s="670"/>
      <c r="TTF45" s="670"/>
      <c r="TTG45" s="670"/>
      <c r="TTH45" s="670"/>
      <c r="TTI45" s="670"/>
      <c r="TTJ45" s="670"/>
      <c r="TTK45" s="670"/>
      <c r="TTL45" s="670"/>
      <c r="TTM45" s="670"/>
      <c r="TTN45" s="670"/>
      <c r="TTO45" s="670"/>
      <c r="TTP45" s="670"/>
      <c r="TTQ45" s="670"/>
      <c r="TTR45" s="670"/>
      <c r="TTS45" s="670"/>
      <c r="TTT45" s="670"/>
      <c r="TTU45" s="670"/>
      <c r="TTV45" s="670"/>
      <c r="TTW45" s="670"/>
      <c r="TTX45" s="670"/>
      <c r="TTY45" s="670"/>
      <c r="TTZ45" s="670"/>
      <c r="TUA45" s="670"/>
      <c r="TUB45" s="670"/>
      <c r="TUC45" s="670"/>
      <c r="TUD45" s="670"/>
      <c r="TUE45" s="670"/>
      <c r="TUF45" s="670"/>
      <c r="TUG45" s="670"/>
      <c r="TUH45" s="670"/>
      <c r="TUI45" s="670"/>
      <c r="TUJ45" s="670"/>
      <c r="TUK45" s="670"/>
      <c r="TUL45" s="670"/>
      <c r="TUM45" s="670"/>
      <c r="TUN45" s="670"/>
      <c r="TUO45" s="670"/>
      <c r="TUP45" s="670"/>
      <c r="TUQ45" s="670"/>
      <c r="TUR45" s="670"/>
      <c r="TUS45" s="670"/>
      <c r="TUT45" s="670"/>
      <c r="TUU45" s="670"/>
      <c r="TUV45" s="670"/>
      <c r="TUW45" s="670"/>
      <c r="TUX45" s="670"/>
      <c r="TUY45" s="670"/>
      <c r="TUZ45" s="670"/>
      <c r="TVA45" s="670"/>
      <c r="TVB45" s="670"/>
      <c r="TVC45" s="670"/>
      <c r="TVD45" s="670"/>
      <c r="TVE45" s="670"/>
      <c r="TVF45" s="670"/>
      <c r="TVG45" s="670"/>
      <c r="TVH45" s="670"/>
      <c r="TVI45" s="670"/>
      <c r="TVJ45" s="670"/>
      <c r="TVK45" s="670"/>
      <c r="TVL45" s="670"/>
      <c r="TVM45" s="670"/>
      <c r="TVN45" s="670"/>
      <c r="TVO45" s="670"/>
      <c r="TVP45" s="670"/>
      <c r="TVQ45" s="670"/>
      <c r="TVR45" s="670"/>
      <c r="TVS45" s="670"/>
      <c r="TVT45" s="670"/>
      <c r="TVU45" s="670"/>
      <c r="TVV45" s="670"/>
      <c r="TVW45" s="670"/>
      <c r="TVX45" s="670"/>
      <c r="TVY45" s="670"/>
      <c r="TVZ45" s="670"/>
      <c r="TWA45" s="670"/>
      <c r="TWB45" s="670"/>
      <c r="TWC45" s="670"/>
      <c r="TWD45" s="670"/>
      <c r="TWE45" s="670"/>
      <c r="TWF45" s="670"/>
      <c r="TWG45" s="670"/>
      <c r="TWH45" s="670"/>
      <c r="TWI45" s="670"/>
      <c r="TWJ45" s="670"/>
      <c r="TWK45" s="670"/>
      <c r="TWL45" s="670"/>
      <c r="TWM45" s="670"/>
      <c r="TWN45" s="670"/>
      <c r="TWO45" s="670"/>
      <c r="TWP45" s="670"/>
      <c r="TWQ45" s="670"/>
      <c r="TWR45" s="670"/>
      <c r="TWS45" s="670"/>
      <c r="TWT45" s="670"/>
      <c r="TWU45" s="670"/>
      <c r="TWV45" s="670"/>
      <c r="TWW45" s="670"/>
      <c r="TWX45" s="670"/>
      <c r="TWY45" s="670"/>
      <c r="TWZ45" s="670"/>
      <c r="TXA45" s="670"/>
      <c r="TXB45" s="670"/>
      <c r="TXC45" s="670"/>
      <c r="TXD45" s="670"/>
      <c r="TXE45" s="670"/>
      <c r="TXF45" s="670"/>
      <c r="TXG45" s="670"/>
      <c r="TXH45" s="670"/>
      <c r="TXI45" s="670"/>
      <c r="TXJ45" s="670"/>
      <c r="TXK45" s="670"/>
      <c r="TXL45" s="670"/>
      <c r="TXM45" s="670"/>
      <c r="TXN45" s="670"/>
      <c r="TXO45" s="670"/>
      <c r="TXP45" s="670"/>
      <c r="TXQ45" s="670"/>
      <c r="TXR45" s="670"/>
      <c r="TXS45" s="670"/>
      <c r="TXT45" s="670"/>
      <c r="TXU45" s="670"/>
      <c r="TXV45" s="670"/>
      <c r="TXW45" s="670"/>
      <c r="TXX45" s="670"/>
      <c r="TXY45" s="670"/>
      <c r="TXZ45" s="670"/>
      <c r="TYA45" s="670"/>
      <c r="TYB45" s="670"/>
      <c r="TYC45" s="670"/>
      <c r="TYD45" s="670"/>
      <c r="TYE45" s="670"/>
      <c r="TYF45" s="670"/>
      <c r="TYG45" s="670"/>
      <c r="TYH45" s="670"/>
      <c r="TYI45" s="670"/>
      <c r="TYJ45" s="670"/>
      <c r="TYK45" s="670"/>
      <c r="TYL45" s="670"/>
      <c r="TYM45" s="670"/>
      <c r="TYN45" s="670"/>
      <c r="TYO45" s="670"/>
      <c r="TYP45" s="670"/>
      <c r="TYQ45" s="670"/>
      <c r="TYR45" s="670"/>
      <c r="TYS45" s="670"/>
      <c r="TYT45" s="670"/>
      <c r="TYU45" s="670"/>
      <c r="TYV45" s="670"/>
      <c r="TYW45" s="670"/>
      <c r="TYX45" s="670"/>
      <c r="TYY45" s="670"/>
      <c r="TYZ45" s="670"/>
      <c r="TZA45" s="670"/>
      <c r="TZB45" s="670"/>
      <c r="TZC45" s="670"/>
      <c r="TZD45" s="670"/>
      <c r="TZE45" s="670"/>
      <c r="TZF45" s="670"/>
      <c r="TZG45" s="670"/>
      <c r="TZH45" s="670"/>
      <c r="TZI45" s="670"/>
      <c r="TZJ45" s="670"/>
      <c r="TZK45" s="670"/>
      <c r="TZL45" s="670"/>
      <c r="TZM45" s="670"/>
      <c r="TZN45" s="670"/>
      <c r="TZO45" s="670"/>
      <c r="TZP45" s="670"/>
      <c r="TZQ45" s="670"/>
      <c r="TZR45" s="670"/>
      <c r="TZS45" s="670"/>
      <c r="TZT45" s="670"/>
      <c r="TZU45" s="670"/>
      <c r="TZV45" s="670"/>
      <c r="TZW45" s="670"/>
      <c r="TZX45" s="670"/>
      <c r="TZY45" s="670"/>
      <c r="TZZ45" s="670"/>
      <c r="UAA45" s="670"/>
      <c r="UAB45" s="670"/>
      <c r="UAC45" s="670"/>
      <c r="UAD45" s="670"/>
      <c r="UAE45" s="670"/>
      <c r="UAF45" s="670"/>
      <c r="UAG45" s="670"/>
      <c r="UAH45" s="670"/>
      <c r="UAI45" s="670"/>
      <c r="UAJ45" s="670"/>
      <c r="UAK45" s="670"/>
      <c r="UAL45" s="670"/>
      <c r="UAM45" s="670"/>
      <c r="UAN45" s="670"/>
      <c r="UAO45" s="670"/>
      <c r="UAP45" s="670"/>
      <c r="UAQ45" s="670"/>
      <c r="UAR45" s="670"/>
      <c r="UAS45" s="670"/>
      <c r="UAT45" s="670"/>
      <c r="UAU45" s="670"/>
      <c r="UAV45" s="670"/>
      <c r="UAW45" s="670"/>
      <c r="UAX45" s="670"/>
      <c r="UAY45" s="670"/>
      <c r="UAZ45" s="670"/>
      <c r="UBA45" s="670"/>
      <c r="UBB45" s="670"/>
      <c r="UBC45" s="670"/>
      <c r="UBD45" s="670"/>
      <c r="UBE45" s="670"/>
      <c r="UBF45" s="670"/>
      <c r="UBG45" s="670"/>
      <c r="UBH45" s="670"/>
      <c r="UBI45" s="670"/>
      <c r="UBJ45" s="670"/>
      <c r="UBK45" s="670"/>
      <c r="UBL45" s="670"/>
      <c r="UBM45" s="670"/>
      <c r="UBN45" s="670"/>
      <c r="UBO45" s="670"/>
      <c r="UBP45" s="670"/>
      <c r="UBQ45" s="670"/>
      <c r="UBR45" s="670"/>
      <c r="UBS45" s="670"/>
      <c r="UBT45" s="670"/>
      <c r="UBU45" s="670"/>
      <c r="UBV45" s="670"/>
      <c r="UBW45" s="670"/>
      <c r="UBX45" s="670"/>
      <c r="UBY45" s="670"/>
      <c r="UBZ45" s="670"/>
      <c r="UCA45" s="670"/>
      <c r="UCB45" s="670"/>
      <c r="UCC45" s="670"/>
      <c r="UCD45" s="670"/>
      <c r="UCE45" s="670"/>
      <c r="UCF45" s="670"/>
      <c r="UCG45" s="670"/>
      <c r="UCH45" s="670"/>
      <c r="UCI45" s="670"/>
      <c r="UCJ45" s="670"/>
      <c r="UCK45" s="670"/>
      <c r="UCL45" s="670"/>
      <c r="UCM45" s="670"/>
      <c r="UCN45" s="670"/>
      <c r="UCO45" s="670"/>
      <c r="UCP45" s="670"/>
      <c r="UCQ45" s="670"/>
      <c r="UCR45" s="670"/>
      <c r="UCS45" s="670"/>
      <c r="UCT45" s="670"/>
      <c r="UCU45" s="670"/>
      <c r="UCV45" s="670"/>
      <c r="UCW45" s="670"/>
      <c r="UCX45" s="670"/>
      <c r="UCY45" s="670"/>
      <c r="UCZ45" s="670"/>
      <c r="UDA45" s="670"/>
      <c r="UDB45" s="670"/>
      <c r="UDC45" s="670"/>
      <c r="UDD45" s="670"/>
      <c r="UDE45" s="670"/>
      <c r="UDF45" s="670"/>
      <c r="UDG45" s="670"/>
      <c r="UDH45" s="670"/>
      <c r="UDI45" s="670"/>
      <c r="UDJ45" s="670"/>
      <c r="UDK45" s="670"/>
      <c r="UDL45" s="670"/>
      <c r="UDM45" s="670"/>
      <c r="UDN45" s="670"/>
      <c r="UDO45" s="670"/>
      <c r="UDP45" s="670"/>
      <c r="UDQ45" s="670"/>
      <c r="UDR45" s="670"/>
      <c r="UDS45" s="670"/>
      <c r="UDT45" s="670"/>
      <c r="UDU45" s="670"/>
      <c r="UDV45" s="670"/>
      <c r="UDW45" s="670"/>
      <c r="UDX45" s="670"/>
      <c r="UDY45" s="670"/>
      <c r="UDZ45" s="670"/>
      <c r="UEA45" s="670"/>
      <c r="UEB45" s="670"/>
      <c r="UEC45" s="670"/>
      <c r="UED45" s="670"/>
      <c r="UEE45" s="670"/>
      <c r="UEF45" s="670"/>
      <c r="UEG45" s="670"/>
      <c r="UEH45" s="670"/>
      <c r="UEI45" s="670"/>
      <c r="UEJ45" s="670"/>
      <c r="UEK45" s="670"/>
      <c r="UEL45" s="670"/>
      <c r="UEM45" s="670"/>
      <c r="UEN45" s="670"/>
      <c r="UEO45" s="670"/>
      <c r="UEP45" s="670"/>
      <c r="UEQ45" s="670"/>
      <c r="UER45" s="670"/>
      <c r="UES45" s="670"/>
      <c r="UET45" s="670"/>
      <c r="UEU45" s="670"/>
      <c r="UEV45" s="670"/>
      <c r="UEW45" s="670"/>
      <c r="UEX45" s="670"/>
      <c r="UEY45" s="670"/>
      <c r="UEZ45" s="670"/>
      <c r="UFA45" s="670"/>
      <c r="UFB45" s="670"/>
      <c r="UFC45" s="670"/>
      <c r="UFD45" s="670"/>
      <c r="UFE45" s="670"/>
      <c r="UFF45" s="670"/>
      <c r="UFG45" s="670"/>
      <c r="UFH45" s="670"/>
      <c r="UFI45" s="670"/>
      <c r="UFJ45" s="670"/>
      <c r="UFK45" s="670"/>
      <c r="UFL45" s="670"/>
      <c r="UFM45" s="670"/>
      <c r="UFN45" s="670"/>
      <c r="UFO45" s="670"/>
      <c r="UFP45" s="670"/>
      <c r="UFQ45" s="670"/>
      <c r="UFR45" s="670"/>
      <c r="UFS45" s="670"/>
      <c r="UFT45" s="670"/>
      <c r="UFU45" s="670"/>
      <c r="UFV45" s="670"/>
      <c r="UFW45" s="670"/>
      <c r="UFX45" s="670"/>
      <c r="UFY45" s="670"/>
      <c r="UFZ45" s="670"/>
      <c r="UGA45" s="670"/>
      <c r="UGB45" s="670"/>
      <c r="UGC45" s="670"/>
      <c r="UGD45" s="670"/>
      <c r="UGE45" s="670"/>
      <c r="UGF45" s="670"/>
      <c r="UGG45" s="670"/>
      <c r="UGH45" s="670"/>
      <c r="UGI45" s="670"/>
      <c r="UGJ45" s="670"/>
      <c r="UGK45" s="670"/>
      <c r="UGL45" s="670"/>
      <c r="UGM45" s="670"/>
      <c r="UGN45" s="670"/>
      <c r="UGO45" s="670"/>
      <c r="UGP45" s="670"/>
      <c r="UGQ45" s="670"/>
      <c r="UGR45" s="670"/>
      <c r="UGS45" s="670"/>
      <c r="UGT45" s="670"/>
      <c r="UGU45" s="670"/>
      <c r="UGV45" s="670"/>
      <c r="UGW45" s="670"/>
      <c r="UGX45" s="670"/>
      <c r="UGY45" s="670"/>
      <c r="UGZ45" s="670"/>
      <c r="UHA45" s="670"/>
      <c r="UHB45" s="670"/>
      <c r="UHC45" s="670"/>
      <c r="UHD45" s="670"/>
      <c r="UHE45" s="670"/>
      <c r="UHF45" s="670"/>
      <c r="UHG45" s="670"/>
      <c r="UHH45" s="670"/>
      <c r="UHI45" s="670"/>
      <c r="UHJ45" s="670"/>
      <c r="UHK45" s="670"/>
      <c r="UHL45" s="670"/>
      <c r="UHM45" s="670"/>
      <c r="UHN45" s="670"/>
      <c r="UHO45" s="670"/>
      <c r="UHP45" s="670"/>
      <c r="UHQ45" s="670"/>
      <c r="UHR45" s="670"/>
      <c r="UHS45" s="670"/>
      <c r="UHT45" s="670"/>
      <c r="UHU45" s="670"/>
      <c r="UHV45" s="670"/>
      <c r="UHW45" s="670"/>
      <c r="UHX45" s="670"/>
      <c r="UHY45" s="670"/>
      <c r="UHZ45" s="670"/>
      <c r="UIA45" s="670"/>
      <c r="UIB45" s="670"/>
      <c r="UIC45" s="670"/>
      <c r="UID45" s="670"/>
      <c r="UIE45" s="670"/>
      <c r="UIF45" s="670"/>
      <c r="UIG45" s="670"/>
      <c r="UIH45" s="670"/>
      <c r="UII45" s="670"/>
      <c r="UIJ45" s="670"/>
      <c r="UIK45" s="670"/>
      <c r="UIL45" s="670"/>
      <c r="UIM45" s="670"/>
      <c r="UIN45" s="670"/>
      <c r="UIO45" s="670"/>
      <c r="UIP45" s="670"/>
      <c r="UIQ45" s="670"/>
      <c r="UIR45" s="670"/>
      <c r="UIS45" s="670"/>
      <c r="UIT45" s="670"/>
      <c r="UIU45" s="670"/>
      <c r="UIV45" s="670"/>
      <c r="UIW45" s="670"/>
      <c r="UIX45" s="670"/>
      <c r="UIY45" s="670"/>
      <c r="UIZ45" s="670"/>
      <c r="UJA45" s="670"/>
      <c r="UJB45" s="670"/>
      <c r="UJC45" s="670"/>
      <c r="UJD45" s="670"/>
      <c r="UJE45" s="670"/>
      <c r="UJF45" s="670"/>
      <c r="UJG45" s="670"/>
      <c r="UJH45" s="670"/>
      <c r="UJI45" s="670"/>
      <c r="UJJ45" s="670"/>
      <c r="UJK45" s="670"/>
      <c r="UJL45" s="670"/>
      <c r="UJM45" s="670"/>
      <c r="UJN45" s="670"/>
      <c r="UJO45" s="670"/>
      <c r="UJP45" s="670"/>
      <c r="UJQ45" s="670"/>
      <c r="UJR45" s="670"/>
      <c r="UJS45" s="670"/>
      <c r="UJT45" s="670"/>
      <c r="UJU45" s="670"/>
      <c r="UJV45" s="670"/>
      <c r="UJW45" s="670"/>
      <c r="UJX45" s="670"/>
      <c r="UJY45" s="670"/>
      <c r="UJZ45" s="670"/>
      <c r="UKA45" s="670"/>
      <c r="UKB45" s="670"/>
      <c r="UKC45" s="670"/>
      <c r="UKD45" s="670"/>
      <c r="UKE45" s="670"/>
      <c r="UKF45" s="670"/>
      <c r="UKG45" s="670"/>
      <c r="UKH45" s="670"/>
      <c r="UKI45" s="670"/>
      <c r="UKJ45" s="670"/>
      <c r="UKK45" s="670"/>
      <c r="UKL45" s="670"/>
      <c r="UKM45" s="670"/>
      <c r="UKN45" s="670"/>
      <c r="UKO45" s="670"/>
      <c r="UKP45" s="670"/>
      <c r="UKQ45" s="670"/>
      <c r="UKR45" s="670"/>
      <c r="UKS45" s="670"/>
      <c r="UKT45" s="670"/>
      <c r="UKU45" s="670"/>
      <c r="UKV45" s="670"/>
      <c r="UKW45" s="670"/>
      <c r="UKX45" s="670"/>
      <c r="UKY45" s="670"/>
      <c r="UKZ45" s="670"/>
      <c r="ULA45" s="670"/>
      <c r="ULB45" s="670"/>
      <c r="ULC45" s="670"/>
      <c r="ULD45" s="670"/>
      <c r="ULE45" s="670"/>
      <c r="ULF45" s="670"/>
      <c r="ULG45" s="670"/>
      <c r="ULH45" s="670"/>
      <c r="ULI45" s="670"/>
      <c r="ULJ45" s="670"/>
      <c r="ULK45" s="670"/>
      <c r="ULL45" s="670"/>
      <c r="ULM45" s="670"/>
      <c r="ULN45" s="670"/>
      <c r="ULO45" s="670"/>
      <c r="ULP45" s="670"/>
      <c r="ULQ45" s="670"/>
      <c r="ULR45" s="670"/>
      <c r="ULS45" s="670"/>
      <c r="ULT45" s="670"/>
      <c r="ULU45" s="670"/>
      <c r="ULV45" s="670"/>
      <c r="ULW45" s="670"/>
      <c r="ULX45" s="670"/>
      <c r="ULY45" s="670"/>
      <c r="ULZ45" s="670"/>
      <c r="UMA45" s="670"/>
      <c r="UMB45" s="670"/>
      <c r="UMC45" s="670"/>
      <c r="UMD45" s="670"/>
      <c r="UME45" s="670"/>
      <c r="UMF45" s="670"/>
      <c r="UMG45" s="670"/>
      <c r="UMH45" s="670"/>
      <c r="UMI45" s="670"/>
      <c r="UMJ45" s="670"/>
      <c r="UMK45" s="670"/>
      <c r="UML45" s="670"/>
      <c r="UMM45" s="670"/>
      <c r="UMN45" s="670"/>
      <c r="UMO45" s="670"/>
      <c r="UMP45" s="670"/>
      <c r="UMQ45" s="670"/>
      <c r="UMR45" s="670"/>
      <c r="UMS45" s="670"/>
      <c r="UMT45" s="670"/>
      <c r="UMU45" s="670"/>
      <c r="UMV45" s="670"/>
      <c r="UMW45" s="670"/>
      <c r="UMX45" s="670"/>
      <c r="UMY45" s="670"/>
      <c r="UMZ45" s="670"/>
      <c r="UNA45" s="670"/>
      <c r="UNB45" s="670"/>
      <c r="UNC45" s="670"/>
      <c r="UND45" s="670"/>
      <c r="UNE45" s="670"/>
      <c r="UNF45" s="670"/>
      <c r="UNG45" s="670"/>
      <c r="UNH45" s="670"/>
      <c r="UNI45" s="670"/>
      <c r="UNJ45" s="670"/>
      <c r="UNK45" s="670"/>
      <c r="UNL45" s="670"/>
      <c r="UNM45" s="670"/>
      <c r="UNN45" s="670"/>
      <c r="UNO45" s="670"/>
      <c r="UNP45" s="670"/>
      <c r="UNQ45" s="670"/>
      <c r="UNR45" s="670"/>
      <c r="UNS45" s="670"/>
      <c r="UNT45" s="670"/>
      <c r="UNU45" s="670"/>
      <c r="UNV45" s="670"/>
      <c r="UNW45" s="670"/>
      <c r="UNX45" s="670"/>
      <c r="UNY45" s="670"/>
      <c r="UNZ45" s="670"/>
      <c r="UOA45" s="670"/>
      <c r="UOB45" s="670"/>
      <c r="UOC45" s="670"/>
      <c r="UOD45" s="670"/>
      <c r="UOE45" s="670"/>
      <c r="UOF45" s="670"/>
      <c r="UOG45" s="670"/>
      <c r="UOH45" s="670"/>
      <c r="UOI45" s="670"/>
      <c r="UOJ45" s="670"/>
      <c r="UOK45" s="670"/>
      <c r="UOL45" s="670"/>
      <c r="UOM45" s="670"/>
      <c r="UON45" s="670"/>
      <c r="UOO45" s="670"/>
      <c r="UOP45" s="670"/>
      <c r="UOQ45" s="670"/>
      <c r="UOR45" s="670"/>
      <c r="UOS45" s="670"/>
      <c r="UOT45" s="670"/>
      <c r="UOU45" s="670"/>
      <c r="UOV45" s="670"/>
      <c r="UOW45" s="670"/>
      <c r="UOX45" s="670"/>
      <c r="UOY45" s="670"/>
      <c r="UOZ45" s="670"/>
      <c r="UPA45" s="670"/>
      <c r="UPB45" s="670"/>
      <c r="UPC45" s="670"/>
      <c r="UPD45" s="670"/>
      <c r="UPE45" s="670"/>
      <c r="UPF45" s="670"/>
      <c r="UPG45" s="670"/>
      <c r="UPH45" s="670"/>
      <c r="UPI45" s="670"/>
      <c r="UPJ45" s="670"/>
      <c r="UPK45" s="670"/>
      <c r="UPL45" s="670"/>
      <c r="UPM45" s="670"/>
      <c r="UPN45" s="670"/>
      <c r="UPO45" s="670"/>
      <c r="UPP45" s="670"/>
      <c r="UPQ45" s="670"/>
      <c r="UPR45" s="670"/>
      <c r="UPS45" s="670"/>
      <c r="UPT45" s="670"/>
      <c r="UPU45" s="670"/>
      <c r="UPV45" s="670"/>
      <c r="UPW45" s="670"/>
      <c r="UPX45" s="670"/>
      <c r="UPY45" s="670"/>
      <c r="UPZ45" s="670"/>
      <c r="UQA45" s="670"/>
      <c r="UQB45" s="670"/>
      <c r="UQC45" s="670"/>
      <c r="UQD45" s="670"/>
      <c r="UQE45" s="670"/>
      <c r="UQF45" s="670"/>
      <c r="UQG45" s="670"/>
      <c r="UQH45" s="670"/>
      <c r="UQI45" s="670"/>
      <c r="UQJ45" s="670"/>
      <c r="UQK45" s="670"/>
      <c r="UQL45" s="670"/>
      <c r="UQM45" s="670"/>
      <c r="UQN45" s="670"/>
      <c r="UQO45" s="670"/>
      <c r="UQP45" s="670"/>
      <c r="UQQ45" s="670"/>
      <c r="UQR45" s="670"/>
      <c r="UQS45" s="670"/>
      <c r="UQT45" s="670"/>
      <c r="UQU45" s="670"/>
      <c r="UQV45" s="670"/>
      <c r="UQW45" s="670"/>
      <c r="UQX45" s="670"/>
      <c r="UQY45" s="670"/>
      <c r="UQZ45" s="670"/>
      <c r="URA45" s="670"/>
      <c r="URB45" s="670"/>
      <c r="URC45" s="670"/>
      <c r="URD45" s="670"/>
      <c r="URE45" s="670"/>
      <c r="URF45" s="670"/>
      <c r="URG45" s="670"/>
      <c r="URH45" s="670"/>
      <c r="URI45" s="670"/>
      <c r="URJ45" s="670"/>
      <c r="URK45" s="670"/>
      <c r="URL45" s="670"/>
      <c r="URM45" s="670"/>
      <c r="URN45" s="670"/>
      <c r="URO45" s="670"/>
      <c r="URP45" s="670"/>
      <c r="URQ45" s="670"/>
      <c r="URR45" s="670"/>
      <c r="URS45" s="670"/>
      <c r="URT45" s="670"/>
      <c r="URU45" s="670"/>
      <c r="URV45" s="670"/>
      <c r="URW45" s="670"/>
      <c r="URX45" s="670"/>
      <c r="URY45" s="670"/>
      <c r="URZ45" s="670"/>
      <c r="USA45" s="670"/>
      <c r="USB45" s="670"/>
      <c r="USC45" s="670"/>
      <c r="USD45" s="670"/>
      <c r="USE45" s="670"/>
      <c r="USF45" s="670"/>
      <c r="USG45" s="670"/>
      <c r="USH45" s="670"/>
      <c r="USI45" s="670"/>
      <c r="USJ45" s="670"/>
      <c r="USK45" s="670"/>
      <c r="USL45" s="670"/>
      <c r="USM45" s="670"/>
      <c r="USN45" s="670"/>
      <c r="USO45" s="670"/>
      <c r="USP45" s="670"/>
      <c r="USQ45" s="670"/>
      <c r="USR45" s="670"/>
      <c r="USS45" s="670"/>
      <c r="UST45" s="670"/>
      <c r="USU45" s="670"/>
      <c r="USV45" s="670"/>
      <c r="USW45" s="670"/>
      <c r="USX45" s="670"/>
      <c r="USY45" s="670"/>
      <c r="USZ45" s="670"/>
      <c r="UTA45" s="670"/>
      <c r="UTB45" s="670"/>
      <c r="UTC45" s="670"/>
      <c r="UTD45" s="670"/>
      <c r="UTE45" s="670"/>
      <c r="UTF45" s="670"/>
      <c r="UTG45" s="670"/>
      <c r="UTH45" s="670"/>
      <c r="UTI45" s="670"/>
      <c r="UTJ45" s="670"/>
      <c r="UTK45" s="670"/>
      <c r="UTL45" s="670"/>
      <c r="UTM45" s="670"/>
      <c r="UTN45" s="670"/>
      <c r="UTO45" s="670"/>
      <c r="UTP45" s="670"/>
      <c r="UTQ45" s="670"/>
      <c r="UTR45" s="670"/>
      <c r="UTS45" s="670"/>
      <c r="UTT45" s="670"/>
      <c r="UTU45" s="670"/>
      <c r="UTV45" s="670"/>
      <c r="UTW45" s="670"/>
      <c r="UTX45" s="670"/>
      <c r="UTY45" s="670"/>
      <c r="UTZ45" s="670"/>
      <c r="UUA45" s="670"/>
      <c r="UUB45" s="670"/>
      <c r="UUC45" s="670"/>
      <c r="UUD45" s="670"/>
      <c r="UUE45" s="670"/>
      <c r="UUF45" s="670"/>
      <c r="UUG45" s="670"/>
      <c r="UUH45" s="670"/>
      <c r="UUI45" s="670"/>
      <c r="UUJ45" s="670"/>
      <c r="UUK45" s="670"/>
      <c r="UUL45" s="670"/>
      <c r="UUM45" s="670"/>
      <c r="UUN45" s="670"/>
      <c r="UUO45" s="670"/>
      <c r="UUP45" s="670"/>
      <c r="UUQ45" s="670"/>
      <c r="UUR45" s="670"/>
      <c r="UUS45" s="670"/>
      <c r="UUT45" s="670"/>
      <c r="UUU45" s="670"/>
      <c r="UUV45" s="670"/>
      <c r="UUW45" s="670"/>
      <c r="UUX45" s="670"/>
      <c r="UUY45" s="670"/>
      <c r="UUZ45" s="670"/>
      <c r="UVA45" s="670"/>
      <c r="UVB45" s="670"/>
      <c r="UVC45" s="670"/>
      <c r="UVD45" s="670"/>
      <c r="UVE45" s="670"/>
      <c r="UVF45" s="670"/>
      <c r="UVG45" s="670"/>
      <c r="UVH45" s="670"/>
      <c r="UVI45" s="670"/>
      <c r="UVJ45" s="670"/>
      <c r="UVK45" s="670"/>
      <c r="UVL45" s="670"/>
      <c r="UVM45" s="670"/>
      <c r="UVN45" s="670"/>
      <c r="UVO45" s="670"/>
      <c r="UVP45" s="670"/>
      <c r="UVQ45" s="670"/>
      <c r="UVR45" s="670"/>
      <c r="UVS45" s="670"/>
      <c r="UVT45" s="670"/>
      <c r="UVU45" s="670"/>
      <c r="UVV45" s="670"/>
      <c r="UVW45" s="670"/>
      <c r="UVX45" s="670"/>
      <c r="UVY45" s="670"/>
      <c r="UVZ45" s="670"/>
      <c r="UWA45" s="670"/>
      <c r="UWB45" s="670"/>
      <c r="UWC45" s="670"/>
      <c r="UWD45" s="670"/>
      <c r="UWE45" s="670"/>
      <c r="UWF45" s="670"/>
      <c r="UWG45" s="670"/>
      <c r="UWH45" s="670"/>
      <c r="UWI45" s="670"/>
      <c r="UWJ45" s="670"/>
      <c r="UWK45" s="670"/>
      <c r="UWL45" s="670"/>
      <c r="UWM45" s="670"/>
      <c r="UWN45" s="670"/>
      <c r="UWO45" s="670"/>
      <c r="UWP45" s="670"/>
      <c r="UWQ45" s="670"/>
      <c r="UWR45" s="670"/>
      <c r="UWS45" s="670"/>
      <c r="UWT45" s="670"/>
      <c r="UWU45" s="670"/>
      <c r="UWV45" s="670"/>
      <c r="UWW45" s="670"/>
      <c r="UWX45" s="670"/>
      <c r="UWY45" s="670"/>
      <c r="UWZ45" s="670"/>
      <c r="UXA45" s="670"/>
      <c r="UXB45" s="670"/>
      <c r="UXC45" s="670"/>
      <c r="UXD45" s="670"/>
      <c r="UXE45" s="670"/>
      <c r="UXF45" s="670"/>
      <c r="UXG45" s="670"/>
      <c r="UXH45" s="670"/>
      <c r="UXI45" s="670"/>
      <c r="UXJ45" s="670"/>
      <c r="UXK45" s="670"/>
      <c r="UXL45" s="670"/>
      <c r="UXM45" s="670"/>
      <c r="UXN45" s="670"/>
      <c r="UXO45" s="670"/>
      <c r="UXP45" s="670"/>
      <c r="UXQ45" s="670"/>
      <c r="UXR45" s="670"/>
      <c r="UXS45" s="670"/>
      <c r="UXT45" s="670"/>
      <c r="UXU45" s="670"/>
      <c r="UXV45" s="670"/>
      <c r="UXW45" s="670"/>
      <c r="UXX45" s="670"/>
      <c r="UXY45" s="670"/>
      <c r="UXZ45" s="670"/>
      <c r="UYA45" s="670"/>
      <c r="UYB45" s="670"/>
      <c r="UYC45" s="670"/>
      <c r="UYD45" s="670"/>
      <c r="UYE45" s="670"/>
      <c r="UYF45" s="670"/>
      <c r="UYG45" s="670"/>
      <c r="UYH45" s="670"/>
      <c r="UYI45" s="670"/>
      <c r="UYJ45" s="670"/>
      <c r="UYK45" s="670"/>
      <c r="UYL45" s="670"/>
      <c r="UYM45" s="670"/>
      <c r="UYN45" s="670"/>
      <c r="UYO45" s="670"/>
      <c r="UYP45" s="670"/>
      <c r="UYQ45" s="670"/>
      <c r="UYR45" s="670"/>
      <c r="UYS45" s="670"/>
      <c r="UYT45" s="670"/>
      <c r="UYU45" s="670"/>
      <c r="UYV45" s="670"/>
      <c r="UYW45" s="670"/>
      <c r="UYX45" s="670"/>
      <c r="UYY45" s="670"/>
      <c r="UYZ45" s="670"/>
      <c r="UZA45" s="670"/>
      <c r="UZB45" s="670"/>
      <c r="UZC45" s="670"/>
      <c r="UZD45" s="670"/>
      <c r="UZE45" s="670"/>
      <c r="UZF45" s="670"/>
      <c r="UZG45" s="670"/>
      <c r="UZH45" s="670"/>
      <c r="UZI45" s="670"/>
      <c r="UZJ45" s="670"/>
      <c r="UZK45" s="670"/>
      <c r="UZL45" s="670"/>
      <c r="UZM45" s="670"/>
      <c r="UZN45" s="670"/>
      <c r="UZO45" s="670"/>
      <c r="UZP45" s="670"/>
      <c r="UZQ45" s="670"/>
      <c r="UZR45" s="670"/>
      <c r="UZS45" s="670"/>
      <c r="UZT45" s="670"/>
      <c r="UZU45" s="670"/>
      <c r="UZV45" s="670"/>
      <c r="UZW45" s="670"/>
      <c r="UZX45" s="670"/>
      <c r="UZY45" s="670"/>
      <c r="UZZ45" s="670"/>
      <c r="VAA45" s="670"/>
      <c r="VAB45" s="670"/>
      <c r="VAC45" s="670"/>
      <c r="VAD45" s="670"/>
      <c r="VAE45" s="670"/>
      <c r="VAF45" s="670"/>
      <c r="VAG45" s="670"/>
      <c r="VAH45" s="670"/>
      <c r="VAI45" s="670"/>
      <c r="VAJ45" s="670"/>
      <c r="VAK45" s="670"/>
      <c r="VAL45" s="670"/>
      <c r="VAM45" s="670"/>
      <c r="VAN45" s="670"/>
      <c r="VAO45" s="670"/>
      <c r="VAP45" s="670"/>
      <c r="VAQ45" s="670"/>
      <c r="VAR45" s="670"/>
      <c r="VAS45" s="670"/>
      <c r="VAT45" s="670"/>
      <c r="VAU45" s="670"/>
      <c r="VAV45" s="670"/>
      <c r="VAW45" s="670"/>
      <c r="VAX45" s="670"/>
      <c r="VAY45" s="670"/>
      <c r="VAZ45" s="670"/>
      <c r="VBA45" s="670"/>
      <c r="VBB45" s="670"/>
      <c r="VBC45" s="670"/>
      <c r="VBD45" s="670"/>
      <c r="VBE45" s="670"/>
      <c r="VBF45" s="670"/>
      <c r="VBG45" s="670"/>
      <c r="VBH45" s="670"/>
      <c r="VBI45" s="670"/>
      <c r="VBJ45" s="670"/>
      <c r="VBK45" s="670"/>
      <c r="VBL45" s="670"/>
      <c r="VBM45" s="670"/>
      <c r="VBN45" s="670"/>
      <c r="VBO45" s="670"/>
      <c r="VBP45" s="670"/>
      <c r="VBQ45" s="670"/>
      <c r="VBR45" s="670"/>
      <c r="VBS45" s="670"/>
      <c r="VBT45" s="670"/>
      <c r="VBU45" s="670"/>
      <c r="VBV45" s="670"/>
      <c r="VBW45" s="670"/>
      <c r="VBX45" s="670"/>
      <c r="VBY45" s="670"/>
      <c r="VBZ45" s="670"/>
      <c r="VCA45" s="670"/>
      <c r="VCB45" s="670"/>
      <c r="VCC45" s="670"/>
      <c r="VCD45" s="670"/>
      <c r="VCE45" s="670"/>
      <c r="VCF45" s="670"/>
      <c r="VCG45" s="670"/>
      <c r="VCH45" s="670"/>
      <c r="VCI45" s="670"/>
      <c r="VCJ45" s="670"/>
      <c r="VCK45" s="670"/>
      <c r="VCL45" s="670"/>
      <c r="VCM45" s="670"/>
      <c r="VCN45" s="670"/>
      <c r="VCO45" s="670"/>
      <c r="VCP45" s="670"/>
      <c r="VCQ45" s="670"/>
      <c r="VCR45" s="670"/>
      <c r="VCS45" s="670"/>
      <c r="VCT45" s="670"/>
      <c r="VCU45" s="670"/>
      <c r="VCV45" s="670"/>
      <c r="VCW45" s="670"/>
      <c r="VCX45" s="670"/>
      <c r="VCY45" s="670"/>
      <c r="VCZ45" s="670"/>
      <c r="VDA45" s="670"/>
      <c r="VDB45" s="670"/>
      <c r="VDC45" s="670"/>
      <c r="VDD45" s="670"/>
      <c r="VDE45" s="670"/>
      <c r="VDF45" s="670"/>
      <c r="VDG45" s="670"/>
      <c r="VDH45" s="670"/>
      <c r="VDI45" s="670"/>
      <c r="VDJ45" s="670"/>
      <c r="VDK45" s="670"/>
      <c r="VDL45" s="670"/>
      <c r="VDM45" s="670"/>
      <c r="VDN45" s="670"/>
      <c r="VDO45" s="670"/>
      <c r="VDP45" s="670"/>
      <c r="VDQ45" s="670"/>
      <c r="VDR45" s="670"/>
      <c r="VDS45" s="670"/>
      <c r="VDT45" s="670"/>
      <c r="VDU45" s="670"/>
      <c r="VDV45" s="670"/>
      <c r="VDW45" s="670"/>
      <c r="VDX45" s="670"/>
      <c r="VDY45" s="670"/>
      <c r="VDZ45" s="670"/>
      <c r="VEA45" s="670"/>
      <c r="VEB45" s="670"/>
      <c r="VEC45" s="670"/>
      <c r="VED45" s="670"/>
      <c r="VEE45" s="670"/>
      <c r="VEF45" s="670"/>
      <c r="VEG45" s="670"/>
      <c r="VEH45" s="670"/>
      <c r="VEI45" s="670"/>
      <c r="VEJ45" s="670"/>
      <c r="VEK45" s="670"/>
      <c r="VEL45" s="670"/>
      <c r="VEM45" s="670"/>
      <c r="VEN45" s="670"/>
      <c r="VEO45" s="670"/>
      <c r="VEP45" s="670"/>
      <c r="VEQ45" s="670"/>
      <c r="VER45" s="670"/>
      <c r="VES45" s="670"/>
      <c r="VET45" s="670"/>
      <c r="VEU45" s="670"/>
      <c r="VEV45" s="670"/>
      <c r="VEW45" s="670"/>
      <c r="VEX45" s="670"/>
      <c r="VEY45" s="670"/>
      <c r="VEZ45" s="670"/>
      <c r="VFA45" s="670"/>
      <c r="VFB45" s="670"/>
      <c r="VFC45" s="670"/>
      <c r="VFD45" s="670"/>
      <c r="VFE45" s="670"/>
      <c r="VFF45" s="670"/>
      <c r="VFG45" s="670"/>
      <c r="VFH45" s="670"/>
      <c r="VFI45" s="670"/>
      <c r="VFJ45" s="670"/>
      <c r="VFK45" s="670"/>
      <c r="VFL45" s="670"/>
      <c r="VFM45" s="670"/>
      <c r="VFN45" s="670"/>
      <c r="VFO45" s="670"/>
      <c r="VFP45" s="670"/>
      <c r="VFQ45" s="670"/>
      <c r="VFR45" s="670"/>
      <c r="VFS45" s="670"/>
      <c r="VFT45" s="670"/>
      <c r="VFU45" s="670"/>
      <c r="VFV45" s="670"/>
      <c r="VFW45" s="670"/>
      <c r="VFX45" s="670"/>
      <c r="VFY45" s="670"/>
      <c r="VFZ45" s="670"/>
      <c r="VGA45" s="670"/>
      <c r="VGB45" s="670"/>
      <c r="VGC45" s="670"/>
      <c r="VGD45" s="670"/>
      <c r="VGE45" s="670"/>
      <c r="VGF45" s="670"/>
      <c r="VGG45" s="670"/>
      <c r="VGH45" s="670"/>
      <c r="VGI45" s="670"/>
      <c r="VGJ45" s="670"/>
      <c r="VGK45" s="670"/>
      <c r="VGL45" s="670"/>
      <c r="VGM45" s="670"/>
      <c r="VGN45" s="670"/>
      <c r="VGO45" s="670"/>
      <c r="VGP45" s="670"/>
      <c r="VGQ45" s="670"/>
      <c r="VGR45" s="670"/>
      <c r="VGS45" s="670"/>
      <c r="VGT45" s="670"/>
      <c r="VGU45" s="670"/>
      <c r="VGV45" s="670"/>
      <c r="VGW45" s="670"/>
      <c r="VGX45" s="670"/>
      <c r="VGY45" s="670"/>
      <c r="VGZ45" s="670"/>
      <c r="VHA45" s="670"/>
      <c r="VHB45" s="670"/>
      <c r="VHC45" s="670"/>
      <c r="VHD45" s="670"/>
      <c r="VHE45" s="670"/>
      <c r="VHF45" s="670"/>
      <c r="VHG45" s="670"/>
      <c r="VHH45" s="670"/>
      <c r="VHI45" s="670"/>
      <c r="VHJ45" s="670"/>
      <c r="VHK45" s="670"/>
      <c r="VHL45" s="670"/>
      <c r="VHM45" s="670"/>
      <c r="VHN45" s="670"/>
      <c r="VHO45" s="670"/>
      <c r="VHP45" s="670"/>
      <c r="VHQ45" s="670"/>
      <c r="VHR45" s="670"/>
      <c r="VHS45" s="670"/>
      <c r="VHT45" s="670"/>
      <c r="VHU45" s="670"/>
      <c r="VHV45" s="670"/>
      <c r="VHW45" s="670"/>
      <c r="VHX45" s="670"/>
      <c r="VHY45" s="670"/>
      <c r="VHZ45" s="670"/>
      <c r="VIA45" s="670"/>
      <c r="VIB45" s="670"/>
      <c r="VIC45" s="670"/>
      <c r="VID45" s="670"/>
      <c r="VIE45" s="670"/>
      <c r="VIF45" s="670"/>
      <c r="VIG45" s="670"/>
      <c r="VIH45" s="670"/>
      <c r="VII45" s="670"/>
      <c r="VIJ45" s="670"/>
      <c r="VIK45" s="670"/>
      <c r="VIL45" s="670"/>
      <c r="VIM45" s="670"/>
      <c r="VIN45" s="670"/>
      <c r="VIO45" s="670"/>
      <c r="VIP45" s="670"/>
      <c r="VIQ45" s="670"/>
      <c r="VIR45" s="670"/>
      <c r="VIS45" s="670"/>
      <c r="VIT45" s="670"/>
      <c r="VIU45" s="670"/>
      <c r="VIV45" s="670"/>
      <c r="VIW45" s="670"/>
      <c r="VIX45" s="670"/>
      <c r="VIY45" s="670"/>
      <c r="VIZ45" s="670"/>
      <c r="VJA45" s="670"/>
      <c r="VJB45" s="670"/>
      <c r="VJC45" s="670"/>
      <c r="VJD45" s="670"/>
      <c r="VJE45" s="670"/>
      <c r="VJF45" s="670"/>
      <c r="VJG45" s="670"/>
      <c r="VJH45" s="670"/>
      <c r="VJI45" s="670"/>
      <c r="VJJ45" s="670"/>
      <c r="VJK45" s="670"/>
      <c r="VJL45" s="670"/>
      <c r="VJM45" s="670"/>
      <c r="VJN45" s="670"/>
      <c r="VJO45" s="670"/>
      <c r="VJP45" s="670"/>
      <c r="VJQ45" s="670"/>
      <c r="VJR45" s="670"/>
      <c r="VJS45" s="670"/>
      <c r="VJT45" s="670"/>
      <c r="VJU45" s="670"/>
      <c r="VJV45" s="670"/>
      <c r="VJW45" s="670"/>
      <c r="VJX45" s="670"/>
      <c r="VJY45" s="670"/>
      <c r="VJZ45" s="670"/>
      <c r="VKA45" s="670"/>
      <c r="VKB45" s="670"/>
      <c r="VKC45" s="670"/>
      <c r="VKD45" s="670"/>
      <c r="VKE45" s="670"/>
      <c r="VKF45" s="670"/>
      <c r="VKG45" s="670"/>
      <c r="VKH45" s="670"/>
      <c r="VKI45" s="670"/>
      <c r="VKJ45" s="670"/>
      <c r="VKK45" s="670"/>
      <c r="VKL45" s="670"/>
      <c r="VKM45" s="670"/>
      <c r="VKN45" s="670"/>
      <c r="VKO45" s="670"/>
      <c r="VKP45" s="670"/>
      <c r="VKQ45" s="670"/>
      <c r="VKR45" s="670"/>
      <c r="VKS45" s="670"/>
      <c r="VKT45" s="670"/>
      <c r="VKU45" s="670"/>
      <c r="VKV45" s="670"/>
      <c r="VKW45" s="670"/>
      <c r="VKX45" s="670"/>
      <c r="VKY45" s="670"/>
      <c r="VKZ45" s="670"/>
      <c r="VLA45" s="670"/>
      <c r="VLB45" s="670"/>
      <c r="VLC45" s="670"/>
      <c r="VLD45" s="670"/>
      <c r="VLE45" s="670"/>
      <c r="VLF45" s="670"/>
      <c r="VLG45" s="670"/>
      <c r="VLH45" s="670"/>
      <c r="VLI45" s="670"/>
      <c r="VLJ45" s="670"/>
      <c r="VLK45" s="670"/>
      <c r="VLL45" s="670"/>
      <c r="VLM45" s="670"/>
      <c r="VLN45" s="670"/>
      <c r="VLO45" s="670"/>
      <c r="VLP45" s="670"/>
      <c r="VLQ45" s="670"/>
      <c r="VLR45" s="670"/>
      <c r="VLS45" s="670"/>
      <c r="VLT45" s="670"/>
      <c r="VLU45" s="670"/>
      <c r="VLV45" s="670"/>
      <c r="VLW45" s="670"/>
      <c r="VLX45" s="670"/>
      <c r="VLY45" s="670"/>
      <c r="VLZ45" s="670"/>
      <c r="VMA45" s="670"/>
      <c r="VMB45" s="670"/>
      <c r="VMC45" s="670"/>
      <c r="VMD45" s="670"/>
      <c r="VME45" s="670"/>
      <c r="VMF45" s="670"/>
      <c r="VMG45" s="670"/>
      <c r="VMH45" s="670"/>
      <c r="VMI45" s="670"/>
      <c r="VMJ45" s="670"/>
      <c r="VMK45" s="670"/>
      <c r="VML45" s="670"/>
      <c r="VMM45" s="670"/>
      <c r="VMN45" s="670"/>
      <c r="VMO45" s="670"/>
      <c r="VMP45" s="670"/>
      <c r="VMQ45" s="670"/>
      <c r="VMR45" s="670"/>
      <c r="VMS45" s="670"/>
      <c r="VMT45" s="670"/>
      <c r="VMU45" s="670"/>
      <c r="VMV45" s="670"/>
      <c r="VMW45" s="670"/>
      <c r="VMX45" s="670"/>
      <c r="VMY45" s="670"/>
      <c r="VMZ45" s="670"/>
      <c r="VNA45" s="670"/>
      <c r="VNB45" s="670"/>
      <c r="VNC45" s="670"/>
      <c r="VND45" s="670"/>
      <c r="VNE45" s="670"/>
      <c r="VNF45" s="670"/>
      <c r="VNG45" s="670"/>
      <c r="VNH45" s="670"/>
      <c r="VNI45" s="670"/>
      <c r="VNJ45" s="670"/>
      <c r="VNK45" s="670"/>
      <c r="VNL45" s="670"/>
      <c r="VNM45" s="670"/>
      <c r="VNN45" s="670"/>
      <c r="VNO45" s="670"/>
      <c r="VNP45" s="670"/>
      <c r="VNQ45" s="670"/>
      <c r="VNR45" s="670"/>
      <c r="VNS45" s="670"/>
      <c r="VNT45" s="670"/>
      <c r="VNU45" s="670"/>
      <c r="VNV45" s="670"/>
      <c r="VNW45" s="670"/>
      <c r="VNX45" s="670"/>
      <c r="VNY45" s="670"/>
      <c r="VNZ45" s="670"/>
      <c r="VOA45" s="670"/>
      <c r="VOB45" s="670"/>
      <c r="VOC45" s="670"/>
      <c r="VOD45" s="670"/>
      <c r="VOE45" s="670"/>
      <c r="VOF45" s="670"/>
      <c r="VOG45" s="670"/>
      <c r="VOH45" s="670"/>
      <c r="VOI45" s="670"/>
      <c r="VOJ45" s="670"/>
      <c r="VOK45" s="670"/>
      <c r="VOL45" s="670"/>
      <c r="VOM45" s="670"/>
      <c r="VON45" s="670"/>
      <c r="VOO45" s="670"/>
      <c r="VOP45" s="670"/>
      <c r="VOQ45" s="670"/>
      <c r="VOR45" s="670"/>
      <c r="VOS45" s="670"/>
      <c r="VOT45" s="670"/>
      <c r="VOU45" s="670"/>
      <c r="VOV45" s="670"/>
      <c r="VOW45" s="670"/>
      <c r="VOX45" s="670"/>
      <c r="VOY45" s="670"/>
      <c r="VOZ45" s="670"/>
      <c r="VPA45" s="670"/>
      <c r="VPB45" s="670"/>
      <c r="VPC45" s="670"/>
      <c r="VPD45" s="670"/>
      <c r="VPE45" s="670"/>
      <c r="VPF45" s="670"/>
      <c r="VPG45" s="670"/>
      <c r="VPH45" s="670"/>
      <c r="VPI45" s="670"/>
      <c r="VPJ45" s="670"/>
      <c r="VPK45" s="670"/>
      <c r="VPL45" s="670"/>
      <c r="VPM45" s="670"/>
      <c r="VPN45" s="670"/>
      <c r="VPO45" s="670"/>
      <c r="VPP45" s="670"/>
      <c r="VPQ45" s="670"/>
      <c r="VPR45" s="670"/>
      <c r="VPS45" s="670"/>
      <c r="VPT45" s="670"/>
      <c r="VPU45" s="670"/>
      <c r="VPV45" s="670"/>
      <c r="VPW45" s="670"/>
      <c r="VPX45" s="670"/>
      <c r="VPY45" s="670"/>
      <c r="VPZ45" s="670"/>
      <c r="VQA45" s="670"/>
      <c r="VQB45" s="670"/>
      <c r="VQC45" s="670"/>
      <c r="VQD45" s="670"/>
      <c r="VQE45" s="670"/>
      <c r="VQF45" s="670"/>
      <c r="VQG45" s="670"/>
      <c r="VQH45" s="670"/>
      <c r="VQI45" s="670"/>
      <c r="VQJ45" s="670"/>
      <c r="VQK45" s="670"/>
      <c r="VQL45" s="670"/>
      <c r="VQM45" s="670"/>
      <c r="VQN45" s="670"/>
      <c r="VQO45" s="670"/>
      <c r="VQP45" s="670"/>
      <c r="VQQ45" s="670"/>
      <c r="VQR45" s="670"/>
      <c r="VQS45" s="670"/>
      <c r="VQT45" s="670"/>
      <c r="VQU45" s="670"/>
      <c r="VQV45" s="670"/>
      <c r="VQW45" s="670"/>
      <c r="VQX45" s="670"/>
      <c r="VQY45" s="670"/>
      <c r="VQZ45" s="670"/>
      <c r="VRA45" s="670"/>
      <c r="VRB45" s="670"/>
      <c r="VRC45" s="670"/>
      <c r="VRD45" s="670"/>
      <c r="VRE45" s="670"/>
      <c r="VRF45" s="670"/>
      <c r="VRG45" s="670"/>
      <c r="VRH45" s="670"/>
      <c r="VRI45" s="670"/>
      <c r="VRJ45" s="670"/>
      <c r="VRK45" s="670"/>
      <c r="VRL45" s="670"/>
      <c r="VRM45" s="670"/>
      <c r="VRN45" s="670"/>
      <c r="VRO45" s="670"/>
      <c r="VRP45" s="670"/>
      <c r="VRQ45" s="670"/>
      <c r="VRR45" s="670"/>
      <c r="VRS45" s="670"/>
      <c r="VRT45" s="670"/>
      <c r="VRU45" s="670"/>
      <c r="VRV45" s="670"/>
      <c r="VRW45" s="670"/>
      <c r="VRX45" s="670"/>
      <c r="VRY45" s="670"/>
      <c r="VRZ45" s="670"/>
      <c r="VSA45" s="670"/>
      <c r="VSB45" s="670"/>
      <c r="VSC45" s="670"/>
      <c r="VSD45" s="670"/>
      <c r="VSE45" s="670"/>
      <c r="VSF45" s="670"/>
      <c r="VSG45" s="670"/>
      <c r="VSH45" s="670"/>
      <c r="VSI45" s="670"/>
      <c r="VSJ45" s="670"/>
      <c r="VSK45" s="670"/>
      <c r="VSL45" s="670"/>
      <c r="VSM45" s="670"/>
      <c r="VSN45" s="670"/>
      <c r="VSO45" s="670"/>
      <c r="VSP45" s="670"/>
      <c r="VSQ45" s="670"/>
      <c r="VSR45" s="670"/>
      <c r="VSS45" s="670"/>
      <c r="VST45" s="670"/>
      <c r="VSU45" s="670"/>
      <c r="VSV45" s="670"/>
      <c r="VSW45" s="670"/>
      <c r="VSX45" s="670"/>
      <c r="VSY45" s="670"/>
      <c r="VSZ45" s="670"/>
      <c r="VTA45" s="670"/>
      <c r="VTB45" s="670"/>
      <c r="VTC45" s="670"/>
      <c r="VTD45" s="670"/>
      <c r="VTE45" s="670"/>
      <c r="VTF45" s="670"/>
      <c r="VTG45" s="670"/>
      <c r="VTH45" s="670"/>
      <c r="VTI45" s="670"/>
      <c r="VTJ45" s="670"/>
      <c r="VTK45" s="670"/>
      <c r="VTL45" s="670"/>
      <c r="VTM45" s="670"/>
      <c r="VTN45" s="670"/>
      <c r="VTO45" s="670"/>
      <c r="VTP45" s="670"/>
      <c r="VTQ45" s="670"/>
      <c r="VTR45" s="670"/>
      <c r="VTS45" s="670"/>
      <c r="VTT45" s="670"/>
      <c r="VTU45" s="670"/>
      <c r="VTV45" s="670"/>
      <c r="VTW45" s="670"/>
      <c r="VTX45" s="670"/>
      <c r="VTY45" s="670"/>
      <c r="VTZ45" s="670"/>
      <c r="VUA45" s="670"/>
      <c r="VUB45" s="670"/>
      <c r="VUC45" s="670"/>
      <c r="VUD45" s="670"/>
      <c r="VUE45" s="670"/>
      <c r="VUF45" s="670"/>
      <c r="VUG45" s="670"/>
      <c r="VUH45" s="670"/>
      <c r="VUI45" s="670"/>
      <c r="VUJ45" s="670"/>
      <c r="VUK45" s="670"/>
      <c r="VUL45" s="670"/>
      <c r="VUM45" s="670"/>
      <c r="VUN45" s="670"/>
      <c r="VUO45" s="670"/>
      <c r="VUP45" s="670"/>
      <c r="VUQ45" s="670"/>
      <c r="VUR45" s="670"/>
      <c r="VUS45" s="670"/>
      <c r="VUT45" s="670"/>
      <c r="VUU45" s="670"/>
      <c r="VUV45" s="670"/>
      <c r="VUW45" s="670"/>
      <c r="VUX45" s="670"/>
      <c r="VUY45" s="670"/>
      <c r="VUZ45" s="670"/>
      <c r="VVA45" s="670"/>
      <c r="VVB45" s="670"/>
      <c r="VVC45" s="670"/>
      <c r="VVD45" s="670"/>
      <c r="VVE45" s="670"/>
      <c r="VVF45" s="670"/>
      <c r="VVG45" s="670"/>
      <c r="VVH45" s="670"/>
      <c r="VVI45" s="670"/>
      <c r="VVJ45" s="670"/>
      <c r="VVK45" s="670"/>
      <c r="VVL45" s="670"/>
      <c r="VVM45" s="670"/>
      <c r="VVN45" s="670"/>
      <c r="VVO45" s="670"/>
      <c r="VVP45" s="670"/>
      <c r="VVQ45" s="670"/>
      <c r="VVR45" s="670"/>
      <c r="VVS45" s="670"/>
      <c r="VVT45" s="670"/>
      <c r="VVU45" s="670"/>
      <c r="VVV45" s="670"/>
      <c r="VVW45" s="670"/>
      <c r="VVX45" s="670"/>
      <c r="VVY45" s="670"/>
      <c r="VVZ45" s="670"/>
      <c r="VWA45" s="670"/>
      <c r="VWB45" s="670"/>
      <c r="VWC45" s="670"/>
      <c r="VWD45" s="670"/>
      <c r="VWE45" s="670"/>
      <c r="VWF45" s="670"/>
      <c r="VWG45" s="670"/>
      <c r="VWH45" s="670"/>
      <c r="VWI45" s="670"/>
      <c r="VWJ45" s="670"/>
      <c r="VWK45" s="670"/>
      <c r="VWL45" s="670"/>
      <c r="VWM45" s="670"/>
      <c r="VWN45" s="670"/>
      <c r="VWO45" s="670"/>
      <c r="VWP45" s="670"/>
      <c r="VWQ45" s="670"/>
      <c r="VWR45" s="670"/>
      <c r="VWS45" s="670"/>
      <c r="VWT45" s="670"/>
      <c r="VWU45" s="670"/>
      <c r="VWV45" s="670"/>
      <c r="VWW45" s="670"/>
      <c r="VWX45" s="670"/>
      <c r="VWY45" s="670"/>
      <c r="VWZ45" s="670"/>
      <c r="VXA45" s="670"/>
      <c r="VXB45" s="670"/>
      <c r="VXC45" s="670"/>
      <c r="VXD45" s="670"/>
      <c r="VXE45" s="670"/>
      <c r="VXF45" s="670"/>
      <c r="VXG45" s="670"/>
      <c r="VXH45" s="670"/>
      <c r="VXI45" s="670"/>
      <c r="VXJ45" s="670"/>
      <c r="VXK45" s="670"/>
      <c r="VXL45" s="670"/>
      <c r="VXM45" s="670"/>
      <c r="VXN45" s="670"/>
      <c r="VXO45" s="670"/>
      <c r="VXP45" s="670"/>
      <c r="VXQ45" s="670"/>
      <c r="VXR45" s="670"/>
      <c r="VXS45" s="670"/>
      <c r="VXT45" s="670"/>
      <c r="VXU45" s="670"/>
      <c r="VXV45" s="670"/>
      <c r="VXW45" s="670"/>
      <c r="VXX45" s="670"/>
      <c r="VXY45" s="670"/>
      <c r="VXZ45" s="670"/>
      <c r="VYA45" s="670"/>
      <c r="VYB45" s="670"/>
      <c r="VYC45" s="670"/>
      <c r="VYD45" s="670"/>
      <c r="VYE45" s="670"/>
      <c r="VYF45" s="670"/>
      <c r="VYG45" s="670"/>
      <c r="VYH45" s="670"/>
      <c r="VYI45" s="670"/>
      <c r="VYJ45" s="670"/>
      <c r="VYK45" s="670"/>
      <c r="VYL45" s="670"/>
      <c r="VYM45" s="670"/>
      <c r="VYN45" s="670"/>
      <c r="VYO45" s="670"/>
      <c r="VYP45" s="670"/>
      <c r="VYQ45" s="670"/>
      <c r="VYR45" s="670"/>
      <c r="VYS45" s="670"/>
      <c r="VYT45" s="670"/>
      <c r="VYU45" s="670"/>
      <c r="VYV45" s="670"/>
      <c r="VYW45" s="670"/>
      <c r="VYX45" s="670"/>
      <c r="VYY45" s="670"/>
      <c r="VYZ45" s="670"/>
      <c r="VZA45" s="670"/>
      <c r="VZB45" s="670"/>
      <c r="VZC45" s="670"/>
      <c r="VZD45" s="670"/>
      <c r="VZE45" s="670"/>
      <c r="VZF45" s="670"/>
      <c r="VZG45" s="670"/>
      <c r="VZH45" s="670"/>
      <c r="VZI45" s="670"/>
      <c r="VZJ45" s="670"/>
      <c r="VZK45" s="670"/>
      <c r="VZL45" s="670"/>
      <c r="VZM45" s="670"/>
      <c r="VZN45" s="670"/>
      <c r="VZO45" s="670"/>
      <c r="VZP45" s="670"/>
      <c r="VZQ45" s="670"/>
      <c r="VZR45" s="670"/>
      <c r="VZS45" s="670"/>
      <c r="VZT45" s="670"/>
      <c r="VZU45" s="670"/>
      <c r="VZV45" s="670"/>
      <c r="VZW45" s="670"/>
      <c r="VZX45" s="670"/>
      <c r="VZY45" s="670"/>
      <c r="VZZ45" s="670"/>
      <c r="WAA45" s="670"/>
      <c r="WAB45" s="670"/>
      <c r="WAC45" s="670"/>
      <c r="WAD45" s="670"/>
      <c r="WAE45" s="670"/>
      <c r="WAF45" s="670"/>
      <c r="WAG45" s="670"/>
      <c r="WAH45" s="670"/>
      <c r="WAI45" s="670"/>
      <c r="WAJ45" s="670"/>
      <c r="WAK45" s="670"/>
      <c r="WAL45" s="670"/>
      <c r="WAM45" s="670"/>
      <c r="WAN45" s="670"/>
      <c r="WAO45" s="670"/>
      <c r="WAP45" s="670"/>
      <c r="WAQ45" s="670"/>
      <c r="WAR45" s="670"/>
      <c r="WAS45" s="670"/>
      <c r="WAT45" s="670"/>
      <c r="WAU45" s="670"/>
      <c r="WAV45" s="670"/>
      <c r="WAW45" s="670"/>
      <c r="WAX45" s="670"/>
      <c r="WAY45" s="670"/>
      <c r="WAZ45" s="670"/>
      <c r="WBA45" s="670"/>
      <c r="WBB45" s="670"/>
      <c r="WBC45" s="670"/>
      <c r="WBD45" s="670"/>
      <c r="WBE45" s="670"/>
      <c r="WBF45" s="670"/>
      <c r="WBG45" s="670"/>
      <c r="WBH45" s="670"/>
      <c r="WBI45" s="670"/>
      <c r="WBJ45" s="670"/>
      <c r="WBK45" s="670"/>
      <c r="WBL45" s="670"/>
      <c r="WBM45" s="670"/>
      <c r="WBN45" s="670"/>
      <c r="WBO45" s="670"/>
      <c r="WBP45" s="670"/>
      <c r="WBQ45" s="670"/>
      <c r="WBR45" s="670"/>
      <c r="WBS45" s="670"/>
      <c r="WBT45" s="670"/>
      <c r="WBU45" s="670"/>
      <c r="WBV45" s="670"/>
      <c r="WBW45" s="670"/>
      <c r="WBX45" s="670"/>
      <c r="WBY45" s="670"/>
      <c r="WBZ45" s="670"/>
      <c r="WCA45" s="670"/>
      <c r="WCB45" s="670"/>
      <c r="WCC45" s="670"/>
      <c r="WCD45" s="670"/>
      <c r="WCE45" s="670"/>
      <c r="WCF45" s="670"/>
      <c r="WCG45" s="670"/>
      <c r="WCH45" s="670"/>
      <c r="WCI45" s="670"/>
      <c r="WCJ45" s="670"/>
      <c r="WCK45" s="670"/>
      <c r="WCL45" s="670"/>
      <c r="WCM45" s="670"/>
      <c r="WCN45" s="670"/>
      <c r="WCO45" s="670"/>
      <c r="WCP45" s="670"/>
      <c r="WCQ45" s="670"/>
      <c r="WCR45" s="670"/>
      <c r="WCS45" s="670"/>
      <c r="WCT45" s="670"/>
      <c r="WCU45" s="670"/>
      <c r="WCV45" s="670"/>
      <c r="WCW45" s="670"/>
      <c r="WCX45" s="670"/>
      <c r="WCY45" s="670"/>
      <c r="WCZ45" s="670"/>
      <c r="WDA45" s="670"/>
      <c r="WDB45" s="670"/>
      <c r="WDC45" s="670"/>
      <c r="WDD45" s="670"/>
      <c r="WDE45" s="670"/>
      <c r="WDF45" s="670"/>
      <c r="WDG45" s="670"/>
      <c r="WDH45" s="670"/>
      <c r="WDI45" s="670"/>
      <c r="WDJ45" s="670"/>
      <c r="WDK45" s="670"/>
      <c r="WDL45" s="670"/>
      <c r="WDM45" s="670"/>
      <c r="WDN45" s="670"/>
      <c r="WDO45" s="670"/>
      <c r="WDP45" s="670"/>
      <c r="WDQ45" s="670"/>
      <c r="WDR45" s="670"/>
      <c r="WDS45" s="670"/>
      <c r="WDT45" s="670"/>
      <c r="WDU45" s="670"/>
      <c r="WDV45" s="670"/>
      <c r="WDW45" s="670"/>
      <c r="WDX45" s="670"/>
      <c r="WDY45" s="670"/>
      <c r="WDZ45" s="670"/>
      <c r="WEA45" s="670"/>
      <c r="WEB45" s="670"/>
      <c r="WEC45" s="670"/>
      <c r="WED45" s="670"/>
      <c r="WEE45" s="670"/>
      <c r="WEF45" s="670"/>
      <c r="WEG45" s="670"/>
      <c r="WEH45" s="670"/>
      <c r="WEI45" s="670"/>
      <c r="WEJ45" s="670"/>
      <c r="WEK45" s="670"/>
      <c r="WEL45" s="670"/>
      <c r="WEM45" s="670"/>
      <c r="WEN45" s="670"/>
      <c r="WEO45" s="670"/>
      <c r="WEP45" s="670"/>
      <c r="WEQ45" s="670"/>
      <c r="WER45" s="670"/>
      <c r="WES45" s="670"/>
      <c r="WET45" s="670"/>
      <c r="WEU45" s="670"/>
      <c r="WEV45" s="670"/>
      <c r="WEW45" s="670"/>
      <c r="WEX45" s="670"/>
      <c r="WEY45" s="670"/>
      <c r="WEZ45" s="670"/>
      <c r="WFA45" s="670"/>
      <c r="WFB45" s="670"/>
      <c r="WFC45" s="670"/>
      <c r="WFD45" s="670"/>
      <c r="WFE45" s="670"/>
      <c r="WFF45" s="670"/>
      <c r="WFG45" s="670"/>
      <c r="WFH45" s="670"/>
      <c r="WFI45" s="670"/>
      <c r="WFJ45" s="670"/>
      <c r="WFK45" s="670"/>
      <c r="WFL45" s="670"/>
      <c r="WFM45" s="670"/>
      <c r="WFN45" s="670"/>
      <c r="WFO45" s="670"/>
      <c r="WFP45" s="670"/>
      <c r="WFQ45" s="670"/>
      <c r="WFR45" s="670"/>
      <c r="WFS45" s="670"/>
      <c r="WFT45" s="670"/>
      <c r="WFU45" s="670"/>
      <c r="WFV45" s="670"/>
      <c r="WFW45" s="670"/>
      <c r="WFX45" s="670"/>
      <c r="WFY45" s="670"/>
      <c r="WFZ45" s="670"/>
      <c r="WGA45" s="670"/>
      <c r="WGB45" s="670"/>
      <c r="WGC45" s="670"/>
      <c r="WGD45" s="670"/>
      <c r="WGE45" s="670"/>
      <c r="WGF45" s="670"/>
      <c r="WGG45" s="670"/>
      <c r="WGH45" s="670"/>
      <c r="WGI45" s="670"/>
      <c r="WGJ45" s="670"/>
      <c r="WGK45" s="670"/>
      <c r="WGL45" s="670"/>
      <c r="WGM45" s="670"/>
      <c r="WGN45" s="670"/>
      <c r="WGO45" s="670"/>
      <c r="WGP45" s="670"/>
      <c r="WGQ45" s="670"/>
      <c r="WGR45" s="670"/>
      <c r="WGS45" s="670"/>
      <c r="WGT45" s="670"/>
      <c r="WGU45" s="670"/>
      <c r="WGV45" s="670"/>
      <c r="WGW45" s="670"/>
      <c r="WGX45" s="670"/>
      <c r="WGY45" s="670"/>
      <c r="WGZ45" s="670"/>
      <c r="WHA45" s="670"/>
      <c r="WHB45" s="670"/>
      <c r="WHC45" s="670"/>
      <c r="WHD45" s="670"/>
      <c r="WHE45" s="670"/>
      <c r="WHF45" s="670"/>
      <c r="WHG45" s="670"/>
      <c r="WHH45" s="670"/>
      <c r="WHI45" s="670"/>
      <c r="WHJ45" s="670"/>
      <c r="WHK45" s="670"/>
      <c r="WHL45" s="670"/>
      <c r="WHM45" s="670"/>
      <c r="WHN45" s="670"/>
      <c r="WHO45" s="670"/>
      <c r="WHP45" s="670"/>
      <c r="WHQ45" s="670"/>
      <c r="WHR45" s="670"/>
      <c r="WHS45" s="670"/>
      <c r="WHT45" s="670"/>
      <c r="WHU45" s="670"/>
      <c r="WHV45" s="670"/>
      <c r="WHW45" s="670"/>
      <c r="WHX45" s="670"/>
      <c r="WHY45" s="670"/>
      <c r="WHZ45" s="670"/>
      <c r="WIA45" s="670"/>
      <c r="WIB45" s="670"/>
      <c r="WIC45" s="670"/>
      <c r="WID45" s="670"/>
      <c r="WIE45" s="670"/>
      <c r="WIF45" s="670"/>
      <c r="WIG45" s="670"/>
      <c r="WIH45" s="670"/>
      <c r="WII45" s="670"/>
      <c r="WIJ45" s="670"/>
      <c r="WIK45" s="670"/>
      <c r="WIL45" s="670"/>
      <c r="WIM45" s="670"/>
      <c r="WIN45" s="670"/>
      <c r="WIO45" s="670"/>
      <c r="WIP45" s="670"/>
      <c r="WIQ45" s="670"/>
      <c r="WIR45" s="670"/>
      <c r="WIS45" s="670"/>
      <c r="WIT45" s="670"/>
      <c r="WIU45" s="670"/>
      <c r="WIV45" s="670"/>
      <c r="WIW45" s="670"/>
      <c r="WIX45" s="670"/>
      <c r="WIY45" s="670"/>
      <c r="WIZ45" s="670"/>
      <c r="WJA45" s="670"/>
      <c r="WJB45" s="670"/>
      <c r="WJC45" s="670"/>
      <c r="WJD45" s="670"/>
      <c r="WJE45" s="670"/>
      <c r="WJF45" s="670"/>
      <c r="WJG45" s="670"/>
      <c r="WJH45" s="670"/>
      <c r="WJI45" s="670"/>
      <c r="WJJ45" s="670"/>
      <c r="WJK45" s="670"/>
      <c r="WJL45" s="670"/>
      <c r="WJM45" s="670"/>
      <c r="WJN45" s="670"/>
      <c r="WJO45" s="670"/>
      <c r="WJP45" s="670"/>
      <c r="WJQ45" s="670"/>
      <c r="WJR45" s="670"/>
      <c r="WJS45" s="670"/>
      <c r="WJT45" s="670"/>
      <c r="WJU45" s="670"/>
      <c r="WJV45" s="670"/>
      <c r="WJW45" s="670"/>
      <c r="WJX45" s="670"/>
      <c r="WJY45" s="670"/>
      <c r="WJZ45" s="670"/>
      <c r="WKA45" s="670"/>
      <c r="WKB45" s="670"/>
      <c r="WKC45" s="670"/>
      <c r="WKD45" s="670"/>
      <c r="WKE45" s="670"/>
      <c r="WKF45" s="670"/>
      <c r="WKG45" s="670"/>
      <c r="WKH45" s="670"/>
      <c r="WKI45" s="670"/>
      <c r="WKJ45" s="670"/>
      <c r="WKK45" s="670"/>
      <c r="WKL45" s="670"/>
      <c r="WKM45" s="670"/>
      <c r="WKN45" s="670"/>
      <c r="WKO45" s="670"/>
      <c r="WKP45" s="670"/>
      <c r="WKQ45" s="670"/>
      <c r="WKR45" s="670"/>
      <c r="WKS45" s="670"/>
      <c r="WKT45" s="670"/>
      <c r="WKU45" s="670"/>
      <c r="WKV45" s="670"/>
      <c r="WKW45" s="670"/>
      <c r="WKX45" s="670"/>
      <c r="WKY45" s="670"/>
      <c r="WKZ45" s="670"/>
      <c r="WLA45" s="670"/>
      <c r="WLB45" s="670"/>
      <c r="WLC45" s="670"/>
      <c r="WLD45" s="670"/>
      <c r="WLE45" s="670"/>
      <c r="WLF45" s="670"/>
      <c r="WLG45" s="670"/>
      <c r="WLH45" s="670"/>
      <c r="WLI45" s="670"/>
      <c r="WLJ45" s="670"/>
      <c r="WLK45" s="670"/>
      <c r="WLL45" s="670"/>
      <c r="WLM45" s="670"/>
      <c r="WLN45" s="670"/>
      <c r="WLO45" s="670"/>
      <c r="WLP45" s="670"/>
      <c r="WLQ45" s="670"/>
      <c r="WLR45" s="670"/>
      <c r="WLS45" s="670"/>
      <c r="WLT45" s="670"/>
      <c r="WLU45" s="670"/>
      <c r="WLV45" s="670"/>
      <c r="WLW45" s="670"/>
      <c r="WLX45" s="670"/>
      <c r="WLY45" s="670"/>
      <c r="WLZ45" s="670"/>
      <c r="WMA45" s="670"/>
      <c r="WMB45" s="670"/>
      <c r="WMC45" s="670"/>
      <c r="WMD45" s="670"/>
      <c r="WME45" s="670"/>
      <c r="WMF45" s="670"/>
      <c r="WMG45" s="670"/>
      <c r="WMH45" s="670"/>
      <c r="WMI45" s="670"/>
      <c r="WMJ45" s="670"/>
      <c r="WMK45" s="670"/>
      <c r="WML45" s="670"/>
      <c r="WMM45" s="670"/>
      <c r="WMN45" s="670"/>
      <c r="WMO45" s="670"/>
      <c r="WMP45" s="670"/>
      <c r="WMQ45" s="670"/>
      <c r="WMR45" s="670"/>
      <c r="WMS45" s="670"/>
      <c r="WMT45" s="670"/>
      <c r="WMU45" s="670"/>
      <c r="WMV45" s="670"/>
      <c r="WMW45" s="670"/>
      <c r="WMX45" s="670"/>
      <c r="WMY45" s="670"/>
      <c r="WMZ45" s="670"/>
      <c r="WNA45" s="670"/>
      <c r="WNB45" s="670"/>
      <c r="WNC45" s="670"/>
      <c r="WND45" s="670"/>
      <c r="WNE45" s="670"/>
      <c r="WNF45" s="670"/>
      <c r="WNG45" s="670"/>
      <c r="WNH45" s="670"/>
      <c r="WNI45" s="670"/>
      <c r="WNJ45" s="670"/>
      <c r="WNK45" s="670"/>
      <c r="WNL45" s="670"/>
      <c r="WNM45" s="670"/>
      <c r="WNN45" s="670"/>
      <c r="WNO45" s="670"/>
      <c r="WNP45" s="670"/>
      <c r="WNQ45" s="670"/>
      <c r="WNR45" s="670"/>
      <c r="WNS45" s="670"/>
      <c r="WNT45" s="670"/>
      <c r="WNU45" s="670"/>
      <c r="WNV45" s="670"/>
      <c r="WNW45" s="670"/>
      <c r="WNX45" s="670"/>
      <c r="WNY45" s="670"/>
      <c r="WNZ45" s="670"/>
      <c r="WOA45" s="670"/>
      <c r="WOB45" s="670"/>
      <c r="WOC45" s="670"/>
      <c r="WOD45" s="670"/>
      <c r="WOE45" s="670"/>
      <c r="WOF45" s="670"/>
      <c r="WOG45" s="670"/>
      <c r="WOH45" s="670"/>
      <c r="WOI45" s="670"/>
      <c r="WOJ45" s="670"/>
      <c r="WOK45" s="670"/>
      <c r="WOL45" s="670"/>
      <c r="WOM45" s="670"/>
      <c r="WON45" s="670"/>
      <c r="WOO45" s="670"/>
      <c r="WOP45" s="670"/>
      <c r="WOQ45" s="670"/>
      <c r="WOR45" s="670"/>
      <c r="WOS45" s="670"/>
      <c r="WOT45" s="670"/>
      <c r="WOU45" s="670"/>
      <c r="WOV45" s="670"/>
      <c r="WOW45" s="670"/>
      <c r="WOX45" s="670"/>
      <c r="WOY45" s="670"/>
      <c r="WOZ45" s="670"/>
      <c r="WPA45" s="670"/>
      <c r="WPB45" s="670"/>
      <c r="WPC45" s="670"/>
      <c r="WPD45" s="670"/>
      <c r="WPE45" s="670"/>
      <c r="WPF45" s="670"/>
      <c r="WPG45" s="670"/>
      <c r="WPH45" s="670"/>
      <c r="WPI45" s="670"/>
      <c r="WPJ45" s="670"/>
      <c r="WPK45" s="670"/>
      <c r="WPL45" s="670"/>
      <c r="WPM45" s="670"/>
      <c r="WPN45" s="670"/>
      <c r="WPO45" s="670"/>
      <c r="WPP45" s="670"/>
      <c r="WPQ45" s="670"/>
      <c r="WPR45" s="670"/>
      <c r="WPS45" s="670"/>
      <c r="WPT45" s="670"/>
      <c r="WPU45" s="670"/>
      <c r="WPV45" s="670"/>
      <c r="WPW45" s="670"/>
      <c r="WPX45" s="670"/>
      <c r="WPY45" s="670"/>
      <c r="WPZ45" s="670"/>
      <c r="WQA45" s="670"/>
      <c r="WQB45" s="670"/>
      <c r="WQC45" s="670"/>
      <c r="WQD45" s="670"/>
      <c r="WQE45" s="670"/>
      <c r="WQF45" s="670"/>
      <c r="WQG45" s="670"/>
      <c r="WQH45" s="670"/>
      <c r="WQI45" s="670"/>
      <c r="WQJ45" s="670"/>
      <c r="WQK45" s="670"/>
      <c r="WQL45" s="670"/>
      <c r="WQM45" s="670"/>
      <c r="WQN45" s="670"/>
      <c r="WQO45" s="670"/>
      <c r="WQP45" s="670"/>
      <c r="WQQ45" s="670"/>
      <c r="WQR45" s="670"/>
      <c r="WQS45" s="670"/>
      <c r="WQT45" s="670"/>
      <c r="WQU45" s="670"/>
      <c r="WQV45" s="670"/>
      <c r="WQW45" s="670"/>
      <c r="WQX45" s="670"/>
      <c r="WQY45" s="670"/>
      <c r="WQZ45" s="670"/>
      <c r="WRA45" s="670"/>
      <c r="WRB45" s="670"/>
      <c r="WRC45" s="670"/>
      <c r="WRD45" s="670"/>
      <c r="WRE45" s="670"/>
      <c r="WRF45" s="670"/>
      <c r="WRG45" s="670"/>
      <c r="WRH45" s="670"/>
      <c r="WRI45" s="670"/>
      <c r="WRJ45" s="670"/>
      <c r="WRK45" s="670"/>
      <c r="WRL45" s="670"/>
      <c r="WRM45" s="670"/>
      <c r="WRN45" s="670"/>
      <c r="WRO45" s="670"/>
      <c r="WRP45" s="670"/>
      <c r="WRQ45" s="670"/>
      <c r="WRR45" s="670"/>
      <c r="WRS45" s="670"/>
      <c r="WRT45" s="670"/>
      <c r="WRU45" s="670"/>
      <c r="WRV45" s="670"/>
      <c r="WRW45" s="670"/>
      <c r="WRX45" s="670"/>
      <c r="WRY45" s="670"/>
      <c r="WRZ45" s="670"/>
      <c r="WSA45" s="670"/>
      <c r="WSB45" s="670"/>
      <c r="WSC45" s="670"/>
      <c r="WSD45" s="670"/>
      <c r="WSE45" s="670"/>
      <c r="WSF45" s="670"/>
      <c r="WSG45" s="670"/>
      <c r="WSH45" s="670"/>
      <c r="WSI45" s="670"/>
      <c r="WSJ45" s="670"/>
      <c r="WSK45" s="670"/>
      <c r="WSL45" s="670"/>
      <c r="WSM45" s="670"/>
      <c r="WSN45" s="670"/>
      <c r="WSO45" s="670"/>
      <c r="WSP45" s="670"/>
      <c r="WSQ45" s="670"/>
      <c r="WSR45" s="670"/>
      <c r="WSS45" s="670"/>
      <c r="WST45" s="670"/>
      <c r="WSU45" s="670"/>
      <c r="WSV45" s="670"/>
      <c r="WSW45" s="670"/>
      <c r="WSX45" s="670"/>
      <c r="WSY45" s="670"/>
      <c r="WSZ45" s="670"/>
      <c r="WTA45" s="670"/>
      <c r="WTB45" s="670"/>
      <c r="WTC45" s="670"/>
      <c r="WTD45" s="670"/>
      <c r="WTE45" s="670"/>
      <c r="WTF45" s="670"/>
      <c r="WTG45" s="670"/>
      <c r="WTH45" s="670"/>
      <c r="WTI45" s="670"/>
      <c r="WTJ45" s="670"/>
      <c r="WTK45" s="670"/>
      <c r="WTL45" s="670"/>
      <c r="WTM45" s="670"/>
      <c r="WTN45" s="670"/>
      <c r="WTO45" s="670"/>
      <c r="WTP45" s="670"/>
      <c r="WTQ45" s="670"/>
      <c r="WTR45" s="670"/>
      <c r="WTS45" s="670"/>
      <c r="WTT45" s="670"/>
      <c r="WTU45" s="670"/>
      <c r="WTV45" s="670"/>
      <c r="WTW45" s="670"/>
      <c r="WTX45" s="670"/>
      <c r="WTY45" s="670"/>
      <c r="WTZ45" s="670"/>
      <c r="WUA45" s="670"/>
      <c r="WUB45" s="670"/>
      <c r="WUC45" s="670"/>
      <c r="WUD45" s="670"/>
      <c r="WUE45" s="670"/>
      <c r="WUF45" s="670"/>
      <c r="WUG45" s="670"/>
      <c r="WUH45" s="670"/>
      <c r="WUI45" s="670"/>
      <c r="WUJ45" s="670"/>
      <c r="WUK45" s="670"/>
      <c r="WUL45" s="670"/>
      <c r="WUM45" s="670"/>
      <c r="WUN45" s="670"/>
      <c r="WUO45" s="670"/>
      <c r="WUP45" s="670"/>
      <c r="WUQ45" s="670"/>
      <c r="WUR45" s="670"/>
      <c r="WUS45" s="670"/>
      <c r="WUT45" s="670"/>
      <c r="WUU45" s="670"/>
      <c r="WUV45" s="670"/>
      <c r="WUW45" s="670"/>
      <c r="WUX45" s="670"/>
      <c r="WUY45" s="670"/>
      <c r="WUZ45" s="670"/>
      <c r="WVA45" s="670"/>
      <c r="WVB45" s="670"/>
      <c r="WVC45" s="670"/>
      <c r="WVD45" s="670"/>
      <c r="WVE45" s="670"/>
      <c r="WVF45" s="670"/>
      <c r="WVG45" s="670"/>
      <c r="WVH45" s="670"/>
      <c r="WVI45" s="670"/>
      <c r="WVJ45" s="670"/>
      <c r="WVK45" s="670"/>
      <c r="WVL45" s="670"/>
      <c r="WVM45" s="670"/>
      <c r="WVN45" s="670"/>
      <c r="WVO45" s="670"/>
      <c r="WVP45" s="670"/>
      <c r="WVQ45" s="670"/>
      <c r="WVR45" s="670"/>
      <c r="WVS45" s="670"/>
      <c r="WVT45" s="670"/>
      <c r="WVU45" s="670"/>
      <c r="WVV45" s="670"/>
      <c r="WVW45" s="670"/>
      <c r="WVX45" s="670"/>
      <c r="WVY45" s="670"/>
      <c r="WVZ45" s="670"/>
      <c r="WWA45" s="670"/>
      <c r="WWB45" s="670"/>
      <c r="WWC45" s="670"/>
      <c r="WWD45" s="670"/>
      <c r="WWE45" s="670"/>
      <c r="WWF45" s="670"/>
      <c r="WWG45" s="670"/>
      <c r="WWH45" s="670"/>
      <c r="WWI45" s="670"/>
      <c r="WWJ45" s="670"/>
      <c r="WWK45" s="670"/>
      <c r="WWL45" s="670"/>
      <c r="WWM45" s="670"/>
      <c r="WWN45" s="670"/>
      <c r="WWO45" s="670"/>
      <c r="WWP45" s="670"/>
      <c r="WWQ45" s="670"/>
      <c r="WWR45" s="670"/>
      <c r="WWS45" s="670"/>
      <c r="WWT45" s="670"/>
      <c r="WWU45" s="670"/>
      <c r="WWV45" s="670"/>
      <c r="WWW45" s="670"/>
      <c r="WWX45" s="670"/>
      <c r="WWY45" s="670"/>
      <c r="WWZ45" s="670"/>
      <c r="WXA45" s="670"/>
      <c r="WXB45" s="670"/>
      <c r="WXC45" s="670"/>
      <c r="WXD45" s="670"/>
      <c r="WXE45" s="670"/>
      <c r="WXF45" s="670"/>
      <c r="WXG45" s="670"/>
      <c r="WXH45" s="670"/>
      <c r="WXI45" s="670"/>
      <c r="WXJ45" s="670"/>
      <c r="WXK45" s="670"/>
      <c r="WXL45" s="670"/>
      <c r="WXM45" s="670"/>
      <c r="WXN45" s="670"/>
      <c r="WXO45" s="670"/>
      <c r="WXP45" s="670"/>
      <c r="WXQ45" s="670"/>
      <c r="WXR45" s="670"/>
      <c r="WXS45" s="670"/>
      <c r="WXT45" s="670"/>
      <c r="WXU45" s="670"/>
      <c r="WXV45" s="670"/>
      <c r="WXW45" s="670"/>
      <c r="WXX45" s="670"/>
      <c r="WXY45" s="670"/>
      <c r="WXZ45" s="670"/>
      <c r="WYA45" s="670"/>
      <c r="WYB45" s="670"/>
      <c r="WYC45" s="670"/>
      <c r="WYD45" s="670"/>
      <c r="WYE45" s="670"/>
      <c r="WYF45" s="670"/>
      <c r="WYG45" s="670"/>
      <c r="WYH45" s="670"/>
      <c r="WYI45" s="670"/>
      <c r="WYJ45" s="670"/>
      <c r="WYK45" s="670"/>
      <c r="WYL45" s="670"/>
      <c r="WYM45" s="670"/>
      <c r="WYN45" s="670"/>
      <c r="WYO45" s="670"/>
      <c r="WYP45" s="670"/>
      <c r="WYQ45" s="670"/>
      <c r="WYR45" s="670"/>
      <c r="WYS45" s="670"/>
      <c r="WYT45" s="670"/>
      <c r="WYU45" s="670"/>
      <c r="WYV45" s="670"/>
      <c r="WYW45" s="670"/>
      <c r="WYX45" s="670"/>
      <c r="WYY45" s="670"/>
      <c r="WYZ45" s="670"/>
      <c r="WZA45" s="670"/>
      <c r="WZB45" s="670"/>
      <c r="WZC45" s="670"/>
      <c r="WZD45" s="670"/>
      <c r="WZE45" s="670"/>
      <c r="WZF45" s="670"/>
      <c r="WZG45" s="670"/>
      <c r="WZH45" s="670"/>
      <c r="WZI45" s="670"/>
      <c r="WZJ45" s="670"/>
      <c r="WZK45" s="670"/>
      <c r="WZL45" s="670"/>
      <c r="WZM45" s="670"/>
      <c r="WZN45" s="670"/>
      <c r="WZO45" s="670"/>
      <c r="WZP45" s="670"/>
      <c r="WZQ45" s="670"/>
      <c r="WZR45" s="670"/>
      <c r="WZS45" s="670"/>
      <c r="WZT45" s="670"/>
      <c r="WZU45" s="670"/>
      <c r="WZV45" s="670"/>
      <c r="WZW45" s="670"/>
      <c r="WZX45" s="670"/>
      <c r="WZY45" s="670"/>
      <c r="WZZ45" s="670"/>
      <c r="XAA45" s="670"/>
      <c r="XAB45" s="670"/>
      <c r="XAC45" s="670"/>
      <c r="XAD45" s="670"/>
      <c r="XAE45" s="670"/>
      <c r="XAF45" s="670"/>
      <c r="XAG45" s="670"/>
      <c r="XAH45" s="670"/>
      <c r="XAI45" s="670"/>
      <c r="XAJ45" s="670"/>
      <c r="XAK45" s="670"/>
      <c r="XAL45" s="670"/>
      <c r="XAM45" s="670"/>
      <c r="XAN45" s="670"/>
      <c r="XAO45" s="670"/>
      <c r="XAP45" s="670"/>
      <c r="XAQ45" s="670"/>
      <c r="XAR45" s="670"/>
      <c r="XAS45" s="670"/>
      <c r="XAT45" s="670"/>
      <c r="XAU45" s="670"/>
      <c r="XAV45" s="670"/>
      <c r="XAW45" s="670"/>
      <c r="XAX45" s="670"/>
      <c r="XAY45" s="670"/>
      <c r="XAZ45" s="670"/>
      <c r="XBA45" s="670"/>
      <c r="XBB45" s="670"/>
      <c r="XBC45" s="670"/>
      <c r="XBD45" s="670"/>
      <c r="XBE45" s="670"/>
      <c r="XBF45" s="670"/>
      <c r="XBG45" s="670"/>
      <c r="XBH45" s="670"/>
      <c r="XBI45" s="670"/>
      <c r="XBJ45" s="670"/>
      <c r="XBK45" s="670"/>
      <c r="XBL45" s="670"/>
      <c r="XBM45" s="670"/>
      <c r="XBN45" s="670"/>
      <c r="XBO45" s="670"/>
      <c r="XBP45" s="670"/>
      <c r="XBQ45" s="670"/>
      <c r="XBR45" s="670"/>
      <c r="XBS45" s="670"/>
      <c r="XBT45" s="670"/>
      <c r="XBU45" s="670"/>
      <c r="XBV45" s="670"/>
      <c r="XBW45" s="670"/>
      <c r="XBX45" s="670"/>
      <c r="XBY45" s="670"/>
      <c r="XBZ45" s="670"/>
      <c r="XCA45" s="670"/>
      <c r="XCB45" s="670"/>
      <c r="XCC45" s="670"/>
      <c r="XCD45" s="670"/>
      <c r="XCE45" s="670"/>
      <c r="XCF45" s="670"/>
      <c r="XCG45" s="670"/>
      <c r="XCH45" s="670"/>
      <c r="XCI45" s="670"/>
      <c r="XCJ45" s="670"/>
      <c r="XCK45" s="670"/>
      <c r="XCL45" s="670"/>
      <c r="XCM45" s="670"/>
      <c r="XCN45" s="670"/>
      <c r="XCO45" s="670"/>
      <c r="XCP45" s="670"/>
      <c r="XCQ45" s="670"/>
      <c r="XCR45" s="670"/>
      <c r="XCS45" s="670"/>
      <c r="XCT45" s="670"/>
      <c r="XCU45" s="670"/>
      <c r="XCV45" s="670"/>
      <c r="XCW45" s="670"/>
      <c r="XCX45" s="670"/>
      <c r="XCY45" s="670"/>
      <c r="XCZ45" s="670"/>
      <c r="XDA45" s="670"/>
      <c r="XDB45" s="670"/>
      <c r="XDC45" s="670"/>
      <c r="XDD45" s="670"/>
      <c r="XDE45" s="670"/>
      <c r="XDF45" s="670"/>
      <c r="XDG45" s="670"/>
      <c r="XDH45" s="670"/>
      <c r="XDI45" s="670"/>
      <c r="XDJ45" s="670"/>
      <c r="XDK45" s="670"/>
      <c r="XDL45" s="670"/>
      <c r="XDM45" s="670"/>
      <c r="XDN45" s="670"/>
      <c r="XDO45" s="670"/>
      <c r="XDP45" s="670"/>
      <c r="XDQ45" s="670"/>
      <c r="XDR45" s="670"/>
      <c r="XDS45" s="670"/>
      <c r="XDT45" s="670"/>
      <c r="XDU45" s="670"/>
      <c r="XDV45" s="670"/>
      <c r="XDW45" s="670"/>
      <c r="XDX45" s="670"/>
      <c r="XDY45" s="670"/>
      <c r="XDZ45" s="670"/>
      <c r="XEA45" s="670"/>
      <c r="XEB45" s="670"/>
      <c r="XEC45" s="670"/>
      <c r="XED45" s="670"/>
      <c r="XEE45" s="670"/>
      <c r="XEF45" s="670"/>
      <c r="XEG45" s="670"/>
      <c r="XEH45" s="670"/>
      <c r="XEI45" s="670"/>
      <c r="XEJ45" s="670"/>
      <c r="XEK45" s="670"/>
      <c r="XEL45" s="670"/>
      <c r="XEM45" s="670"/>
      <c r="XEN45" s="670"/>
      <c r="XEO45" s="670"/>
      <c r="XEP45" s="670"/>
      <c r="XEQ45" s="670"/>
      <c r="XER45" s="670"/>
      <c r="XES45" s="670"/>
      <c r="XET45" s="670"/>
      <c r="XEU45" s="670"/>
      <c r="XEV45" s="670"/>
      <c r="XEW45" s="670"/>
      <c r="XEX45" s="670"/>
      <c r="XEY45" s="670"/>
      <c r="XEZ45" s="670"/>
      <c r="XFA45" s="670"/>
      <c r="XFB45" s="670"/>
      <c r="XFC45" s="670"/>
      <c r="XFD45" s="670"/>
    </row>
    <row r="46" spans="1:16384" ht="13">
      <c r="A46" s="672" t="s">
        <v>528</v>
      </c>
      <c r="B46" s="686"/>
      <c r="C46" s="686"/>
      <c r="D46" s="686"/>
      <c r="E46" s="681">
        <f>E17/145</f>
        <v>0.59310344827586203</v>
      </c>
      <c r="F46" s="681">
        <f>F17/145</f>
        <v>0.59310344827586203</v>
      </c>
      <c r="G46" s="686"/>
      <c r="H46" s="686"/>
      <c r="I46" s="686"/>
      <c r="J46" s="686"/>
      <c r="K46" s="682" t="s">
        <v>48</v>
      </c>
      <c r="L46" s="672"/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672"/>
      <c r="Y46" s="672"/>
      <c r="Z46" s="672"/>
      <c r="AA46" s="672"/>
      <c r="AB46" s="672"/>
      <c r="AC46" s="672"/>
      <c r="AD46" s="672"/>
      <c r="AE46" s="672"/>
      <c r="AF46" s="672"/>
      <c r="AG46" s="672"/>
      <c r="AH46" s="672"/>
      <c r="AI46" s="672"/>
      <c r="AJ46" s="672"/>
      <c r="AK46" s="672"/>
      <c r="AL46" s="672"/>
      <c r="AM46" s="672"/>
      <c r="AN46" s="672"/>
      <c r="AO46" s="672"/>
      <c r="AP46" s="672"/>
      <c r="AQ46" s="672"/>
      <c r="AR46" s="672"/>
      <c r="AS46" s="672"/>
      <c r="AT46" s="672"/>
      <c r="AU46" s="672"/>
      <c r="AV46" s="672"/>
      <c r="AW46" s="672"/>
      <c r="AX46" s="672"/>
      <c r="AY46" s="672"/>
      <c r="AZ46" s="672"/>
      <c r="BA46" s="672"/>
      <c r="BB46" s="672"/>
      <c r="BC46" s="672"/>
      <c r="BD46" s="672"/>
      <c r="BE46" s="672"/>
      <c r="BF46" s="672"/>
      <c r="BG46" s="672"/>
      <c r="BH46" s="672"/>
      <c r="BI46" s="672"/>
      <c r="BJ46" s="672"/>
      <c r="BK46" s="672"/>
      <c r="BL46" s="672"/>
      <c r="BM46" s="672"/>
      <c r="BN46" s="672"/>
      <c r="BO46" s="672"/>
      <c r="BP46" s="672"/>
      <c r="BQ46" s="672"/>
      <c r="BR46" s="672"/>
      <c r="BS46" s="672"/>
      <c r="BT46" s="672"/>
      <c r="BU46" s="672"/>
      <c r="BV46" s="672"/>
      <c r="BW46" s="672"/>
      <c r="BX46" s="672"/>
      <c r="BY46" s="672"/>
      <c r="BZ46" s="672"/>
      <c r="CA46" s="672"/>
      <c r="CB46" s="672"/>
      <c r="CC46" s="672"/>
      <c r="CD46" s="672"/>
      <c r="CE46" s="672"/>
      <c r="CF46" s="672"/>
      <c r="CG46" s="672"/>
      <c r="CH46" s="672"/>
      <c r="CI46" s="672"/>
      <c r="CJ46" s="672"/>
      <c r="CK46" s="672"/>
      <c r="CL46" s="672"/>
      <c r="CM46" s="672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672"/>
      <c r="CY46" s="672"/>
      <c r="CZ46" s="672"/>
      <c r="DA46" s="672"/>
      <c r="DB46" s="672"/>
      <c r="DC46" s="672"/>
      <c r="DD46" s="672"/>
      <c r="DE46" s="672"/>
      <c r="DF46" s="672"/>
      <c r="DG46" s="672"/>
      <c r="DH46" s="672"/>
      <c r="DI46" s="672"/>
      <c r="DJ46" s="672"/>
      <c r="DK46" s="672"/>
      <c r="DL46" s="672"/>
      <c r="DM46" s="672"/>
      <c r="DN46" s="672"/>
      <c r="DO46" s="672"/>
      <c r="DP46" s="672"/>
      <c r="DQ46" s="672"/>
      <c r="DR46" s="672"/>
      <c r="DS46" s="672"/>
      <c r="DT46" s="672"/>
      <c r="DU46" s="672"/>
      <c r="DV46" s="672"/>
      <c r="DW46" s="672"/>
      <c r="DX46" s="672"/>
      <c r="DY46" s="672"/>
      <c r="DZ46" s="672"/>
      <c r="EA46" s="672"/>
      <c r="EB46" s="672"/>
      <c r="EC46" s="672"/>
      <c r="ED46" s="672"/>
      <c r="EE46" s="672"/>
      <c r="EF46" s="672"/>
      <c r="EG46" s="672"/>
      <c r="EH46" s="672"/>
      <c r="EI46" s="672"/>
      <c r="EJ46" s="672"/>
      <c r="EK46" s="672"/>
      <c r="EL46" s="672"/>
      <c r="EM46" s="672"/>
      <c r="EN46" s="672"/>
      <c r="EO46" s="672"/>
      <c r="EP46" s="672"/>
      <c r="EQ46" s="672"/>
      <c r="ER46" s="672"/>
      <c r="ES46" s="672"/>
      <c r="ET46" s="672"/>
      <c r="EU46" s="672"/>
      <c r="EV46" s="672"/>
      <c r="EW46" s="672"/>
      <c r="EX46" s="672"/>
      <c r="EY46" s="672"/>
      <c r="EZ46" s="672"/>
      <c r="FA46" s="672"/>
      <c r="FB46" s="672"/>
      <c r="FC46" s="672"/>
      <c r="FD46" s="672"/>
      <c r="FE46" s="672"/>
      <c r="FF46" s="672"/>
      <c r="FG46" s="672"/>
      <c r="FH46" s="672"/>
      <c r="FI46" s="672"/>
      <c r="FJ46" s="672"/>
      <c r="FK46" s="672"/>
      <c r="FL46" s="672"/>
      <c r="FM46" s="672"/>
      <c r="FN46" s="672"/>
      <c r="FO46" s="672"/>
      <c r="FP46" s="672"/>
      <c r="FQ46" s="672"/>
      <c r="FR46" s="672"/>
      <c r="FS46" s="672"/>
      <c r="FT46" s="672"/>
      <c r="FU46" s="672"/>
      <c r="FV46" s="672"/>
      <c r="FW46" s="672"/>
      <c r="FX46" s="672"/>
      <c r="FY46" s="672"/>
      <c r="FZ46" s="672"/>
      <c r="GA46" s="672"/>
      <c r="GB46" s="672"/>
      <c r="GC46" s="672"/>
      <c r="GD46" s="672"/>
      <c r="GE46" s="672"/>
      <c r="GF46" s="672"/>
      <c r="GG46" s="672"/>
      <c r="GH46" s="672"/>
      <c r="GI46" s="672"/>
      <c r="GJ46" s="672"/>
      <c r="GK46" s="672"/>
      <c r="GL46" s="672"/>
      <c r="GM46" s="672"/>
      <c r="GN46" s="672"/>
      <c r="GO46" s="672"/>
      <c r="GP46" s="672"/>
      <c r="GQ46" s="672"/>
      <c r="GR46" s="672"/>
      <c r="GS46" s="672"/>
      <c r="GT46" s="672"/>
      <c r="GU46" s="672"/>
      <c r="GV46" s="672"/>
      <c r="GW46" s="672"/>
      <c r="GX46" s="672"/>
      <c r="GY46" s="672"/>
      <c r="GZ46" s="672"/>
      <c r="HA46" s="672"/>
      <c r="HB46" s="672"/>
      <c r="HC46" s="672"/>
      <c r="HD46" s="672"/>
      <c r="HE46" s="672"/>
      <c r="HF46" s="672"/>
      <c r="HG46" s="672"/>
      <c r="HH46" s="672"/>
      <c r="HI46" s="672"/>
      <c r="HJ46" s="672"/>
      <c r="HK46" s="672"/>
      <c r="HL46" s="672"/>
      <c r="HM46" s="672"/>
      <c r="HN46" s="672"/>
      <c r="HO46" s="672"/>
      <c r="HP46" s="672"/>
      <c r="HQ46" s="672"/>
      <c r="HR46" s="672"/>
      <c r="HS46" s="672"/>
      <c r="HT46" s="672"/>
      <c r="HU46" s="672"/>
      <c r="HV46" s="672"/>
      <c r="HW46" s="672"/>
      <c r="HX46" s="672"/>
      <c r="HY46" s="672"/>
      <c r="HZ46" s="672"/>
      <c r="IA46" s="672"/>
      <c r="IB46" s="672"/>
      <c r="IC46" s="672"/>
      <c r="ID46" s="672"/>
      <c r="IE46" s="672"/>
      <c r="IF46" s="672"/>
      <c r="IG46" s="672"/>
      <c r="IH46" s="672"/>
      <c r="II46" s="672"/>
      <c r="IJ46" s="672"/>
      <c r="IK46" s="672"/>
      <c r="IL46" s="672"/>
      <c r="IM46" s="672"/>
      <c r="IN46" s="672"/>
      <c r="IO46" s="672"/>
      <c r="IP46" s="672"/>
      <c r="IQ46" s="672"/>
      <c r="IR46" s="672"/>
      <c r="IS46" s="672"/>
      <c r="IT46" s="672"/>
      <c r="IU46" s="672"/>
      <c r="IV46" s="672"/>
      <c r="IW46" s="672"/>
      <c r="IX46" s="672"/>
      <c r="IY46" s="672"/>
      <c r="IZ46" s="672"/>
      <c r="JA46" s="672"/>
      <c r="JB46" s="672"/>
      <c r="JC46" s="672"/>
      <c r="JD46" s="672"/>
      <c r="JE46" s="672"/>
      <c r="JF46" s="672"/>
      <c r="JG46" s="672"/>
      <c r="JH46" s="672"/>
      <c r="JI46" s="672"/>
      <c r="JJ46" s="672"/>
      <c r="JK46" s="672"/>
      <c r="JL46" s="672"/>
      <c r="JM46" s="672"/>
      <c r="JN46" s="672"/>
      <c r="JO46" s="672"/>
      <c r="JP46" s="672"/>
      <c r="JQ46" s="672"/>
      <c r="JR46" s="672"/>
      <c r="JS46" s="672"/>
      <c r="JT46" s="672"/>
      <c r="JU46" s="672"/>
      <c r="JV46" s="672"/>
      <c r="JW46" s="672"/>
      <c r="JX46" s="672"/>
      <c r="JY46" s="672"/>
      <c r="JZ46" s="672"/>
      <c r="KA46" s="672"/>
      <c r="KB46" s="672"/>
      <c r="KC46" s="672"/>
      <c r="KD46" s="672"/>
      <c r="KE46" s="672"/>
      <c r="KF46" s="672"/>
      <c r="KG46" s="672"/>
      <c r="KH46" s="672"/>
      <c r="KI46" s="672"/>
      <c r="KJ46" s="672"/>
      <c r="KK46" s="672"/>
      <c r="KL46" s="672"/>
      <c r="KM46" s="672"/>
      <c r="KN46" s="672"/>
      <c r="KO46" s="672"/>
      <c r="KP46" s="672"/>
      <c r="KQ46" s="672"/>
      <c r="KR46" s="672"/>
      <c r="KS46" s="672"/>
      <c r="KT46" s="672"/>
      <c r="KU46" s="672"/>
      <c r="KV46" s="672"/>
      <c r="KW46" s="672"/>
      <c r="KX46" s="672"/>
      <c r="KY46" s="672"/>
      <c r="KZ46" s="672"/>
      <c r="LA46" s="672"/>
      <c r="LB46" s="672"/>
      <c r="LC46" s="672"/>
      <c r="LD46" s="672"/>
      <c r="LE46" s="672"/>
      <c r="LF46" s="672"/>
      <c r="LG46" s="672"/>
      <c r="LH46" s="672"/>
      <c r="LI46" s="672"/>
      <c r="LJ46" s="672"/>
      <c r="LK46" s="672"/>
      <c r="LL46" s="672"/>
      <c r="LM46" s="672"/>
      <c r="LN46" s="672"/>
      <c r="LO46" s="672"/>
      <c r="LP46" s="672"/>
      <c r="LQ46" s="672"/>
      <c r="LR46" s="672"/>
      <c r="LS46" s="672"/>
      <c r="LT46" s="672"/>
      <c r="LU46" s="672"/>
      <c r="LV46" s="672"/>
      <c r="LW46" s="672"/>
      <c r="LX46" s="672"/>
      <c r="LY46" s="672"/>
      <c r="LZ46" s="672"/>
      <c r="MA46" s="672"/>
      <c r="MB46" s="672"/>
      <c r="MC46" s="672"/>
      <c r="MD46" s="672"/>
      <c r="ME46" s="672"/>
      <c r="MF46" s="672"/>
      <c r="MG46" s="672"/>
      <c r="MH46" s="672"/>
      <c r="MI46" s="672"/>
      <c r="MJ46" s="672"/>
      <c r="MK46" s="672"/>
      <c r="ML46" s="672"/>
      <c r="MM46" s="672"/>
      <c r="MN46" s="672"/>
      <c r="MO46" s="672"/>
      <c r="MP46" s="672"/>
      <c r="MQ46" s="672"/>
      <c r="MR46" s="672"/>
      <c r="MS46" s="672"/>
      <c r="MT46" s="672"/>
      <c r="MU46" s="672"/>
      <c r="MV46" s="672"/>
      <c r="MW46" s="672"/>
      <c r="MX46" s="672"/>
      <c r="MY46" s="672"/>
      <c r="MZ46" s="672"/>
      <c r="NA46" s="672"/>
      <c r="NB46" s="672"/>
      <c r="NC46" s="672"/>
      <c r="ND46" s="672"/>
      <c r="NE46" s="672"/>
      <c r="NF46" s="672"/>
      <c r="NG46" s="672"/>
      <c r="NH46" s="672"/>
      <c r="NI46" s="672"/>
      <c r="NJ46" s="672"/>
      <c r="NK46" s="672"/>
      <c r="NL46" s="672"/>
      <c r="NM46" s="672"/>
      <c r="NN46" s="672"/>
      <c r="NO46" s="672"/>
      <c r="NP46" s="672"/>
      <c r="NQ46" s="672"/>
      <c r="NR46" s="672"/>
      <c r="NS46" s="672"/>
      <c r="NT46" s="672"/>
      <c r="NU46" s="672"/>
      <c r="NV46" s="672"/>
      <c r="NW46" s="672"/>
      <c r="NX46" s="672"/>
      <c r="NY46" s="672"/>
      <c r="NZ46" s="672"/>
      <c r="OA46" s="672"/>
      <c r="OB46" s="672"/>
      <c r="OC46" s="672"/>
      <c r="OD46" s="672"/>
      <c r="OE46" s="672"/>
      <c r="OF46" s="672"/>
      <c r="OG46" s="672"/>
      <c r="OH46" s="672"/>
      <c r="OI46" s="672"/>
      <c r="OJ46" s="672"/>
      <c r="OK46" s="672"/>
      <c r="OL46" s="672"/>
      <c r="OM46" s="672"/>
      <c r="ON46" s="672"/>
      <c r="OO46" s="672"/>
      <c r="OP46" s="672"/>
      <c r="OQ46" s="672"/>
      <c r="OR46" s="672"/>
      <c r="OS46" s="672"/>
      <c r="OT46" s="672"/>
      <c r="OU46" s="672"/>
      <c r="OV46" s="672"/>
      <c r="OW46" s="672"/>
      <c r="OX46" s="672"/>
      <c r="OY46" s="672"/>
      <c r="OZ46" s="672"/>
      <c r="PA46" s="672"/>
      <c r="PB46" s="672"/>
      <c r="PC46" s="672"/>
      <c r="PD46" s="672"/>
      <c r="PE46" s="672"/>
      <c r="PF46" s="672"/>
      <c r="PG46" s="672"/>
      <c r="PH46" s="672"/>
      <c r="PI46" s="672"/>
      <c r="PJ46" s="672"/>
      <c r="PK46" s="672"/>
      <c r="PL46" s="672"/>
      <c r="PM46" s="672"/>
      <c r="PN46" s="672"/>
      <c r="PO46" s="672"/>
      <c r="PP46" s="672"/>
      <c r="PQ46" s="672"/>
      <c r="PR46" s="672"/>
      <c r="PS46" s="672"/>
      <c r="PT46" s="672"/>
      <c r="PU46" s="672"/>
      <c r="PV46" s="672"/>
      <c r="PW46" s="672"/>
      <c r="PX46" s="672"/>
      <c r="PY46" s="672"/>
      <c r="PZ46" s="672"/>
      <c r="QA46" s="672"/>
      <c r="QB46" s="672"/>
      <c r="QC46" s="672"/>
      <c r="QD46" s="672"/>
      <c r="QE46" s="672"/>
      <c r="QF46" s="672"/>
      <c r="QG46" s="672"/>
      <c r="QH46" s="672"/>
      <c r="QI46" s="672"/>
      <c r="QJ46" s="672"/>
      <c r="QK46" s="672"/>
      <c r="QL46" s="672"/>
      <c r="QM46" s="672"/>
      <c r="QN46" s="672"/>
      <c r="QO46" s="672"/>
      <c r="QP46" s="672"/>
      <c r="QQ46" s="672"/>
      <c r="QR46" s="672"/>
      <c r="QS46" s="672"/>
      <c r="QT46" s="672"/>
      <c r="QU46" s="672"/>
      <c r="QV46" s="672"/>
      <c r="QW46" s="672"/>
      <c r="QX46" s="672"/>
      <c r="QY46" s="672"/>
      <c r="QZ46" s="672"/>
      <c r="RA46" s="672"/>
      <c r="RB46" s="672"/>
      <c r="RC46" s="672"/>
      <c r="RD46" s="672"/>
      <c r="RE46" s="672"/>
      <c r="RF46" s="672"/>
      <c r="RG46" s="672"/>
      <c r="RH46" s="672"/>
      <c r="RI46" s="672"/>
      <c r="RJ46" s="672"/>
      <c r="RK46" s="672"/>
      <c r="RL46" s="672"/>
      <c r="RM46" s="672"/>
      <c r="RN46" s="672"/>
      <c r="RO46" s="672"/>
      <c r="RP46" s="672"/>
      <c r="RQ46" s="672"/>
      <c r="RR46" s="672"/>
      <c r="RS46" s="672"/>
      <c r="RT46" s="672"/>
      <c r="RU46" s="672"/>
      <c r="RV46" s="672"/>
      <c r="RW46" s="672"/>
      <c r="RX46" s="672"/>
      <c r="RY46" s="672"/>
      <c r="RZ46" s="672"/>
      <c r="SA46" s="672"/>
      <c r="SB46" s="672"/>
      <c r="SC46" s="672"/>
      <c r="SD46" s="672"/>
      <c r="SE46" s="672"/>
      <c r="SF46" s="672"/>
      <c r="SG46" s="672"/>
      <c r="SH46" s="672"/>
      <c r="SI46" s="672"/>
      <c r="SJ46" s="672"/>
      <c r="SK46" s="672"/>
      <c r="SL46" s="672"/>
      <c r="SM46" s="672"/>
      <c r="SN46" s="672"/>
      <c r="SO46" s="672"/>
      <c r="SP46" s="672"/>
      <c r="SQ46" s="672"/>
      <c r="SR46" s="672"/>
      <c r="SS46" s="672"/>
      <c r="ST46" s="672"/>
      <c r="SU46" s="672"/>
      <c r="SV46" s="672"/>
      <c r="SW46" s="672"/>
      <c r="SX46" s="672"/>
      <c r="SY46" s="672"/>
      <c r="SZ46" s="672"/>
      <c r="TA46" s="672"/>
      <c r="TB46" s="672"/>
      <c r="TC46" s="672"/>
      <c r="TD46" s="672"/>
      <c r="TE46" s="672"/>
      <c r="TF46" s="672"/>
      <c r="TG46" s="672"/>
      <c r="TH46" s="672"/>
      <c r="TI46" s="672"/>
      <c r="TJ46" s="672"/>
      <c r="TK46" s="672"/>
      <c r="TL46" s="672"/>
      <c r="TM46" s="672"/>
      <c r="TN46" s="672"/>
      <c r="TO46" s="672"/>
      <c r="TP46" s="672"/>
      <c r="TQ46" s="672"/>
      <c r="TR46" s="672"/>
      <c r="TS46" s="672"/>
      <c r="TT46" s="672"/>
      <c r="TU46" s="672"/>
      <c r="TV46" s="672"/>
      <c r="TW46" s="672"/>
      <c r="TX46" s="672"/>
      <c r="TY46" s="672"/>
      <c r="TZ46" s="672"/>
      <c r="UA46" s="672"/>
      <c r="UB46" s="672"/>
      <c r="UC46" s="672"/>
      <c r="UD46" s="672"/>
      <c r="UE46" s="672"/>
      <c r="UF46" s="672"/>
      <c r="UG46" s="672"/>
      <c r="UH46" s="672"/>
      <c r="UI46" s="672"/>
      <c r="UJ46" s="672"/>
      <c r="UK46" s="672"/>
      <c r="UL46" s="672"/>
      <c r="UM46" s="672"/>
      <c r="UN46" s="672"/>
      <c r="UO46" s="672"/>
      <c r="UP46" s="672"/>
      <c r="UQ46" s="672"/>
      <c r="UR46" s="672"/>
      <c r="US46" s="672"/>
      <c r="UT46" s="672"/>
      <c r="UU46" s="672"/>
      <c r="UV46" s="672"/>
      <c r="UW46" s="672"/>
      <c r="UX46" s="672"/>
      <c r="UY46" s="672"/>
      <c r="UZ46" s="672"/>
      <c r="VA46" s="672"/>
      <c r="VB46" s="672"/>
      <c r="VC46" s="672"/>
      <c r="VD46" s="672"/>
      <c r="VE46" s="672"/>
      <c r="VF46" s="672"/>
      <c r="VG46" s="672"/>
      <c r="VH46" s="672"/>
      <c r="VI46" s="672"/>
      <c r="VJ46" s="672"/>
      <c r="VK46" s="672"/>
      <c r="VL46" s="672"/>
      <c r="VM46" s="672"/>
      <c r="VN46" s="672"/>
      <c r="VO46" s="672"/>
      <c r="VP46" s="672"/>
      <c r="VQ46" s="672"/>
      <c r="VR46" s="672"/>
      <c r="VS46" s="672"/>
      <c r="VT46" s="672"/>
      <c r="VU46" s="672"/>
      <c r="VV46" s="672"/>
      <c r="VW46" s="672"/>
      <c r="VX46" s="672"/>
      <c r="VY46" s="672"/>
      <c r="VZ46" s="672"/>
      <c r="WA46" s="672"/>
      <c r="WB46" s="672"/>
      <c r="WC46" s="672"/>
      <c r="WD46" s="672"/>
      <c r="WE46" s="672"/>
      <c r="WF46" s="672"/>
      <c r="WG46" s="672"/>
      <c r="WH46" s="672"/>
      <c r="WI46" s="672"/>
      <c r="WJ46" s="672"/>
      <c r="WK46" s="672"/>
      <c r="WL46" s="672"/>
      <c r="WM46" s="672"/>
      <c r="WN46" s="672"/>
      <c r="WO46" s="672"/>
      <c r="WP46" s="672"/>
      <c r="WQ46" s="672"/>
      <c r="WR46" s="672"/>
      <c r="WS46" s="672"/>
      <c r="WT46" s="672"/>
      <c r="WU46" s="672"/>
      <c r="WV46" s="672"/>
      <c r="WW46" s="672"/>
      <c r="WX46" s="672"/>
      <c r="WY46" s="672"/>
      <c r="WZ46" s="672"/>
      <c r="XA46" s="672"/>
      <c r="XB46" s="672"/>
      <c r="XC46" s="672"/>
      <c r="XD46" s="672"/>
      <c r="XE46" s="672"/>
      <c r="XF46" s="672"/>
      <c r="XG46" s="672"/>
      <c r="XH46" s="672"/>
      <c r="XI46" s="672"/>
      <c r="XJ46" s="672"/>
      <c r="XK46" s="672"/>
      <c r="XL46" s="672"/>
      <c r="XM46" s="672"/>
      <c r="XN46" s="672"/>
      <c r="XO46" s="672"/>
      <c r="XP46" s="672"/>
      <c r="XQ46" s="672"/>
      <c r="XR46" s="672"/>
      <c r="XS46" s="672"/>
      <c r="XT46" s="672"/>
      <c r="XU46" s="672"/>
      <c r="XV46" s="672"/>
      <c r="XW46" s="672"/>
      <c r="XX46" s="672"/>
      <c r="XY46" s="672"/>
      <c r="XZ46" s="672"/>
      <c r="YA46" s="672"/>
      <c r="YB46" s="672"/>
      <c r="YC46" s="672"/>
      <c r="YD46" s="672"/>
      <c r="YE46" s="672"/>
      <c r="YF46" s="672"/>
      <c r="YG46" s="672"/>
      <c r="YH46" s="672"/>
      <c r="YI46" s="672"/>
      <c r="YJ46" s="672"/>
      <c r="YK46" s="672"/>
      <c r="YL46" s="672"/>
      <c r="YM46" s="672"/>
      <c r="YN46" s="672"/>
      <c r="YO46" s="672"/>
      <c r="YP46" s="672"/>
      <c r="YQ46" s="672"/>
      <c r="YR46" s="672"/>
      <c r="YS46" s="672"/>
      <c r="YT46" s="672"/>
      <c r="YU46" s="672"/>
      <c r="YV46" s="672"/>
      <c r="YW46" s="672"/>
      <c r="YX46" s="672"/>
      <c r="YY46" s="672"/>
      <c r="YZ46" s="672"/>
      <c r="ZA46" s="672"/>
      <c r="ZB46" s="672"/>
      <c r="ZC46" s="672"/>
      <c r="ZD46" s="672"/>
      <c r="ZE46" s="672"/>
      <c r="ZF46" s="672"/>
      <c r="ZG46" s="672"/>
      <c r="ZH46" s="672"/>
      <c r="ZI46" s="672"/>
      <c r="ZJ46" s="672"/>
      <c r="ZK46" s="672"/>
      <c r="ZL46" s="672"/>
      <c r="ZM46" s="672"/>
      <c r="ZN46" s="672"/>
      <c r="ZO46" s="672"/>
      <c r="ZP46" s="672"/>
      <c r="ZQ46" s="672"/>
      <c r="ZR46" s="672"/>
      <c r="ZS46" s="672"/>
      <c r="ZT46" s="672"/>
      <c r="ZU46" s="672"/>
      <c r="ZV46" s="672"/>
      <c r="ZW46" s="672"/>
      <c r="ZX46" s="672"/>
      <c r="ZY46" s="672"/>
      <c r="ZZ46" s="672"/>
      <c r="AAA46" s="672"/>
      <c r="AAB46" s="672"/>
      <c r="AAC46" s="672"/>
      <c r="AAD46" s="672"/>
      <c r="AAE46" s="672"/>
      <c r="AAF46" s="672"/>
      <c r="AAG46" s="672"/>
      <c r="AAH46" s="672"/>
      <c r="AAI46" s="672"/>
      <c r="AAJ46" s="672"/>
      <c r="AAK46" s="672"/>
      <c r="AAL46" s="672"/>
      <c r="AAM46" s="672"/>
      <c r="AAN46" s="672"/>
      <c r="AAO46" s="672"/>
      <c r="AAP46" s="672"/>
      <c r="AAQ46" s="672"/>
      <c r="AAR46" s="672"/>
      <c r="AAS46" s="672"/>
      <c r="AAT46" s="672"/>
      <c r="AAU46" s="672"/>
      <c r="AAV46" s="672"/>
      <c r="AAW46" s="672"/>
      <c r="AAX46" s="672"/>
      <c r="AAY46" s="672"/>
      <c r="AAZ46" s="672"/>
      <c r="ABA46" s="672"/>
      <c r="ABB46" s="672"/>
      <c r="ABC46" s="672"/>
      <c r="ABD46" s="672"/>
      <c r="ABE46" s="672"/>
      <c r="ABF46" s="672"/>
      <c r="ABG46" s="672"/>
      <c r="ABH46" s="672"/>
      <c r="ABI46" s="672"/>
      <c r="ABJ46" s="672"/>
      <c r="ABK46" s="672"/>
      <c r="ABL46" s="672"/>
      <c r="ABM46" s="672"/>
      <c r="ABN46" s="672"/>
      <c r="ABO46" s="672"/>
      <c r="ABP46" s="672"/>
      <c r="ABQ46" s="672"/>
      <c r="ABR46" s="672"/>
      <c r="ABS46" s="672"/>
      <c r="ABT46" s="672"/>
      <c r="ABU46" s="672"/>
      <c r="ABV46" s="672"/>
      <c r="ABW46" s="672"/>
      <c r="ABX46" s="672"/>
      <c r="ABY46" s="672"/>
      <c r="ABZ46" s="672"/>
      <c r="ACA46" s="672"/>
      <c r="ACB46" s="672"/>
      <c r="ACC46" s="672"/>
      <c r="ACD46" s="672"/>
      <c r="ACE46" s="672"/>
      <c r="ACF46" s="672"/>
      <c r="ACG46" s="672"/>
      <c r="ACH46" s="672"/>
      <c r="ACI46" s="672"/>
      <c r="ACJ46" s="672"/>
      <c r="ACK46" s="672"/>
      <c r="ACL46" s="672"/>
      <c r="ACM46" s="672"/>
      <c r="ACN46" s="672"/>
      <c r="ACO46" s="672"/>
      <c r="ACP46" s="672"/>
      <c r="ACQ46" s="672"/>
      <c r="ACR46" s="672"/>
      <c r="ACS46" s="672"/>
      <c r="ACT46" s="672"/>
      <c r="ACU46" s="672"/>
      <c r="ACV46" s="672"/>
      <c r="ACW46" s="672"/>
      <c r="ACX46" s="672"/>
      <c r="ACY46" s="672"/>
      <c r="ACZ46" s="672"/>
      <c r="ADA46" s="672"/>
      <c r="ADB46" s="672"/>
      <c r="ADC46" s="672"/>
      <c r="ADD46" s="672"/>
      <c r="ADE46" s="672"/>
      <c r="ADF46" s="672"/>
      <c r="ADG46" s="672"/>
      <c r="ADH46" s="672"/>
      <c r="ADI46" s="672"/>
      <c r="ADJ46" s="672"/>
      <c r="ADK46" s="672"/>
      <c r="ADL46" s="672"/>
      <c r="ADM46" s="672"/>
      <c r="ADN46" s="672"/>
      <c r="ADO46" s="672"/>
      <c r="ADP46" s="672"/>
      <c r="ADQ46" s="672"/>
      <c r="ADR46" s="672"/>
      <c r="ADS46" s="672"/>
      <c r="ADT46" s="672"/>
      <c r="ADU46" s="672"/>
      <c r="ADV46" s="672"/>
      <c r="ADW46" s="672"/>
      <c r="ADX46" s="672"/>
      <c r="ADY46" s="672"/>
      <c r="ADZ46" s="672"/>
      <c r="AEA46" s="672"/>
      <c r="AEB46" s="672"/>
      <c r="AEC46" s="672"/>
      <c r="AED46" s="672"/>
      <c r="AEE46" s="672"/>
      <c r="AEF46" s="672"/>
      <c r="AEG46" s="672"/>
      <c r="AEH46" s="672"/>
      <c r="AEI46" s="672"/>
      <c r="AEJ46" s="672"/>
      <c r="AEK46" s="672"/>
      <c r="AEL46" s="672"/>
      <c r="AEM46" s="672"/>
      <c r="AEN46" s="672"/>
      <c r="AEO46" s="672"/>
      <c r="AEP46" s="672"/>
      <c r="AEQ46" s="672"/>
      <c r="AER46" s="672"/>
      <c r="AES46" s="672"/>
      <c r="AET46" s="672"/>
      <c r="AEU46" s="672"/>
      <c r="AEV46" s="672"/>
      <c r="AEW46" s="672"/>
      <c r="AEX46" s="672"/>
      <c r="AEY46" s="672"/>
      <c r="AEZ46" s="672"/>
      <c r="AFA46" s="672"/>
      <c r="AFB46" s="672"/>
      <c r="AFC46" s="672"/>
      <c r="AFD46" s="672"/>
      <c r="AFE46" s="672"/>
      <c r="AFF46" s="672"/>
      <c r="AFG46" s="672"/>
      <c r="AFH46" s="672"/>
      <c r="AFI46" s="672"/>
      <c r="AFJ46" s="672"/>
      <c r="AFK46" s="672"/>
      <c r="AFL46" s="672"/>
      <c r="AFM46" s="672"/>
      <c r="AFN46" s="672"/>
      <c r="AFO46" s="672"/>
      <c r="AFP46" s="672"/>
      <c r="AFQ46" s="672"/>
      <c r="AFR46" s="672"/>
      <c r="AFS46" s="672"/>
      <c r="AFT46" s="672"/>
      <c r="AFU46" s="672"/>
      <c r="AFV46" s="672"/>
      <c r="AFW46" s="672"/>
      <c r="AFX46" s="672"/>
      <c r="AFY46" s="672"/>
      <c r="AFZ46" s="672"/>
      <c r="AGA46" s="672"/>
      <c r="AGB46" s="672"/>
      <c r="AGC46" s="672"/>
      <c r="AGD46" s="672"/>
      <c r="AGE46" s="672"/>
      <c r="AGF46" s="672"/>
      <c r="AGG46" s="672"/>
      <c r="AGH46" s="672"/>
      <c r="AGI46" s="672"/>
      <c r="AGJ46" s="672"/>
      <c r="AGK46" s="672"/>
      <c r="AGL46" s="672"/>
      <c r="AGM46" s="672"/>
      <c r="AGN46" s="672"/>
      <c r="AGO46" s="672"/>
      <c r="AGP46" s="672"/>
      <c r="AGQ46" s="672"/>
      <c r="AGR46" s="672"/>
      <c r="AGS46" s="672"/>
      <c r="AGT46" s="672"/>
      <c r="AGU46" s="672"/>
      <c r="AGV46" s="672"/>
      <c r="AGW46" s="672"/>
      <c r="AGX46" s="672"/>
      <c r="AGY46" s="672"/>
      <c r="AGZ46" s="672"/>
      <c r="AHA46" s="672"/>
      <c r="AHB46" s="672"/>
      <c r="AHC46" s="672"/>
      <c r="AHD46" s="672"/>
      <c r="AHE46" s="672"/>
      <c r="AHF46" s="672"/>
      <c r="AHG46" s="672"/>
      <c r="AHH46" s="672"/>
      <c r="AHI46" s="672"/>
      <c r="AHJ46" s="672"/>
      <c r="AHK46" s="672"/>
      <c r="AHL46" s="672"/>
      <c r="AHM46" s="672"/>
      <c r="AHN46" s="672"/>
      <c r="AHO46" s="672"/>
      <c r="AHP46" s="672"/>
      <c r="AHQ46" s="672"/>
      <c r="AHR46" s="672"/>
      <c r="AHS46" s="672"/>
      <c r="AHT46" s="672"/>
      <c r="AHU46" s="672"/>
      <c r="AHV46" s="672"/>
      <c r="AHW46" s="672"/>
      <c r="AHX46" s="672"/>
      <c r="AHY46" s="672"/>
      <c r="AHZ46" s="672"/>
      <c r="AIA46" s="672"/>
      <c r="AIB46" s="672"/>
      <c r="AIC46" s="672"/>
      <c r="AID46" s="672"/>
      <c r="AIE46" s="672"/>
      <c r="AIF46" s="672"/>
      <c r="AIG46" s="672"/>
      <c r="AIH46" s="672"/>
      <c r="AII46" s="672"/>
      <c r="AIJ46" s="672"/>
      <c r="AIK46" s="672"/>
      <c r="AIL46" s="672"/>
      <c r="AIM46" s="672"/>
      <c r="AIN46" s="672"/>
      <c r="AIO46" s="672"/>
      <c r="AIP46" s="672"/>
      <c r="AIQ46" s="672"/>
      <c r="AIR46" s="672"/>
      <c r="AIS46" s="672"/>
      <c r="AIT46" s="672"/>
      <c r="AIU46" s="672"/>
      <c r="AIV46" s="672"/>
      <c r="AIW46" s="672"/>
      <c r="AIX46" s="672"/>
      <c r="AIY46" s="672"/>
      <c r="AIZ46" s="672"/>
      <c r="AJA46" s="672"/>
      <c r="AJB46" s="672"/>
      <c r="AJC46" s="672"/>
      <c r="AJD46" s="672"/>
      <c r="AJE46" s="672"/>
      <c r="AJF46" s="672"/>
      <c r="AJG46" s="672"/>
      <c r="AJH46" s="672"/>
      <c r="AJI46" s="672"/>
      <c r="AJJ46" s="672"/>
      <c r="AJK46" s="672"/>
      <c r="AJL46" s="672"/>
      <c r="AJM46" s="672"/>
      <c r="AJN46" s="672"/>
      <c r="AJO46" s="672"/>
      <c r="AJP46" s="672"/>
      <c r="AJQ46" s="672"/>
      <c r="AJR46" s="672"/>
      <c r="AJS46" s="672"/>
      <c r="AJT46" s="672"/>
      <c r="AJU46" s="672"/>
      <c r="AJV46" s="672"/>
      <c r="AJW46" s="672"/>
      <c r="AJX46" s="672"/>
      <c r="AJY46" s="672"/>
      <c r="AJZ46" s="672"/>
      <c r="AKA46" s="672"/>
      <c r="AKB46" s="672"/>
      <c r="AKC46" s="672"/>
      <c r="AKD46" s="672"/>
      <c r="AKE46" s="672"/>
      <c r="AKF46" s="672"/>
      <c r="AKG46" s="672"/>
      <c r="AKH46" s="672"/>
      <c r="AKI46" s="672"/>
      <c r="AKJ46" s="672"/>
      <c r="AKK46" s="672"/>
      <c r="AKL46" s="672"/>
      <c r="AKM46" s="672"/>
      <c r="AKN46" s="672"/>
      <c r="AKO46" s="672"/>
      <c r="AKP46" s="672"/>
      <c r="AKQ46" s="672"/>
      <c r="AKR46" s="672"/>
      <c r="AKS46" s="672"/>
      <c r="AKT46" s="672"/>
      <c r="AKU46" s="672"/>
      <c r="AKV46" s="672"/>
      <c r="AKW46" s="672"/>
      <c r="AKX46" s="672"/>
      <c r="AKY46" s="672"/>
      <c r="AKZ46" s="672"/>
      <c r="ALA46" s="672"/>
      <c r="ALB46" s="672"/>
      <c r="ALC46" s="672"/>
      <c r="ALD46" s="672"/>
      <c r="ALE46" s="672"/>
      <c r="ALF46" s="672"/>
      <c r="ALG46" s="672"/>
      <c r="ALH46" s="672"/>
      <c r="ALI46" s="672"/>
      <c r="ALJ46" s="672"/>
      <c r="ALK46" s="672"/>
      <c r="ALL46" s="672"/>
      <c r="ALM46" s="672"/>
      <c r="ALN46" s="672"/>
      <c r="ALO46" s="672"/>
      <c r="ALP46" s="672"/>
      <c r="ALQ46" s="672"/>
      <c r="ALR46" s="672"/>
      <c r="ALS46" s="672"/>
      <c r="ALT46" s="672"/>
      <c r="ALU46" s="672"/>
      <c r="ALV46" s="672"/>
      <c r="ALW46" s="672"/>
      <c r="ALX46" s="672"/>
      <c r="ALY46" s="672"/>
      <c r="ALZ46" s="672"/>
      <c r="AMA46" s="672"/>
      <c r="AMB46" s="672"/>
      <c r="AMC46" s="672"/>
      <c r="AMD46" s="672"/>
      <c r="AME46" s="672"/>
      <c r="AMF46" s="672"/>
      <c r="AMG46" s="672"/>
      <c r="AMH46" s="672"/>
      <c r="AMI46" s="672"/>
      <c r="AMJ46" s="672"/>
      <c r="AMK46" s="672"/>
      <c r="AML46" s="672"/>
      <c r="AMM46" s="672"/>
      <c r="AMN46" s="672"/>
      <c r="AMO46" s="672"/>
      <c r="AMP46" s="672"/>
      <c r="AMQ46" s="672"/>
      <c r="AMR46" s="672"/>
      <c r="AMS46" s="672"/>
      <c r="AMT46" s="672"/>
      <c r="AMU46" s="672"/>
      <c r="AMV46" s="672"/>
      <c r="AMW46" s="672"/>
      <c r="AMX46" s="672"/>
      <c r="AMY46" s="672"/>
      <c r="AMZ46" s="672"/>
      <c r="ANA46" s="672"/>
      <c r="ANB46" s="672"/>
      <c r="ANC46" s="672"/>
      <c r="AND46" s="672"/>
      <c r="ANE46" s="672"/>
      <c r="ANF46" s="672"/>
      <c r="ANG46" s="672"/>
      <c r="ANH46" s="672"/>
      <c r="ANI46" s="672"/>
      <c r="ANJ46" s="672"/>
      <c r="ANK46" s="672"/>
      <c r="ANL46" s="672"/>
      <c r="ANM46" s="672"/>
      <c r="ANN46" s="672"/>
      <c r="ANO46" s="672"/>
      <c r="ANP46" s="672"/>
      <c r="ANQ46" s="672"/>
      <c r="ANR46" s="672"/>
      <c r="ANS46" s="672"/>
      <c r="ANT46" s="672"/>
      <c r="ANU46" s="672"/>
      <c r="ANV46" s="672"/>
      <c r="ANW46" s="672"/>
      <c r="ANX46" s="672"/>
      <c r="ANY46" s="672"/>
      <c r="ANZ46" s="672"/>
      <c r="AOA46" s="672"/>
      <c r="AOB46" s="672"/>
      <c r="AOC46" s="672"/>
      <c r="AOD46" s="672"/>
      <c r="AOE46" s="672"/>
      <c r="AOF46" s="672"/>
      <c r="AOG46" s="672"/>
      <c r="AOH46" s="672"/>
      <c r="AOI46" s="672"/>
      <c r="AOJ46" s="672"/>
      <c r="AOK46" s="672"/>
      <c r="AOL46" s="672"/>
      <c r="AOM46" s="672"/>
      <c r="AON46" s="672"/>
      <c r="AOO46" s="672"/>
      <c r="AOP46" s="672"/>
      <c r="AOQ46" s="672"/>
      <c r="AOR46" s="672"/>
      <c r="AOS46" s="672"/>
      <c r="AOT46" s="672"/>
      <c r="AOU46" s="672"/>
      <c r="AOV46" s="672"/>
      <c r="AOW46" s="672"/>
      <c r="AOX46" s="672"/>
      <c r="AOY46" s="672"/>
      <c r="AOZ46" s="672"/>
      <c r="APA46" s="672"/>
      <c r="APB46" s="672"/>
      <c r="APC46" s="672"/>
      <c r="APD46" s="672"/>
      <c r="APE46" s="672"/>
      <c r="APF46" s="672"/>
      <c r="APG46" s="672"/>
      <c r="APH46" s="672"/>
      <c r="API46" s="672"/>
      <c r="APJ46" s="672"/>
      <c r="APK46" s="672"/>
      <c r="APL46" s="672"/>
      <c r="APM46" s="672"/>
      <c r="APN46" s="672"/>
      <c r="APO46" s="672"/>
      <c r="APP46" s="672"/>
      <c r="APQ46" s="672"/>
      <c r="APR46" s="672"/>
      <c r="APS46" s="672"/>
      <c r="APT46" s="672"/>
      <c r="APU46" s="672"/>
      <c r="APV46" s="672"/>
      <c r="APW46" s="672"/>
      <c r="APX46" s="672"/>
      <c r="APY46" s="672"/>
      <c r="APZ46" s="672"/>
      <c r="AQA46" s="672"/>
      <c r="AQB46" s="672"/>
      <c r="AQC46" s="672"/>
      <c r="AQD46" s="672"/>
      <c r="AQE46" s="672"/>
      <c r="AQF46" s="672"/>
      <c r="AQG46" s="672"/>
      <c r="AQH46" s="672"/>
      <c r="AQI46" s="672"/>
      <c r="AQJ46" s="672"/>
      <c r="AQK46" s="672"/>
      <c r="AQL46" s="672"/>
      <c r="AQM46" s="672"/>
      <c r="AQN46" s="672"/>
      <c r="AQO46" s="672"/>
      <c r="AQP46" s="672"/>
      <c r="AQQ46" s="672"/>
      <c r="AQR46" s="672"/>
      <c r="AQS46" s="672"/>
      <c r="AQT46" s="672"/>
      <c r="AQU46" s="672"/>
      <c r="AQV46" s="672"/>
      <c r="AQW46" s="672"/>
      <c r="AQX46" s="672"/>
      <c r="AQY46" s="672"/>
      <c r="AQZ46" s="672"/>
      <c r="ARA46" s="672"/>
      <c r="ARB46" s="672"/>
      <c r="ARC46" s="672"/>
      <c r="ARD46" s="672"/>
      <c r="ARE46" s="672"/>
      <c r="ARF46" s="672"/>
      <c r="ARG46" s="672"/>
      <c r="ARH46" s="672"/>
      <c r="ARI46" s="672"/>
      <c r="ARJ46" s="672"/>
      <c r="ARK46" s="672"/>
      <c r="ARL46" s="672"/>
      <c r="ARM46" s="672"/>
      <c r="ARN46" s="672"/>
      <c r="ARO46" s="672"/>
      <c r="ARP46" s="672"/>
      <c r="ARQ46" s="672"/>
      <c r="ARR46" s="672"/>
      <c r="ARS46" s="672"/>
      <c r="ART46" s="672"/>
      <c r="ARU46" s="672"/>
      <c r="ARV46" s="672"/>
      <c r="ARW46" s="672"/>
      <c r="ARX46" s="672"/>
      <c r="ARY46" s="672"/>
      <c r="ARZ46" s="672"/>
      <c r="ASA46" s="672"/>
      <c r="ASB46" s="672"/>
      <c r="ASC46" s="672"/>
      <c r="ASD46" s="672"/>
      <c r="ASE46" s="672"/>
      <c r="ASF46" s="672"/>
      <c r="ASG46" s="672"/>
      <c r="ASH46" s="672"/>
      <c r="ASI46" s="672"/>
      <c r="ASJ46" s="672"/>
      <c r="ASK46" s="672"/>
      <c r="ASL46" s="672"/>
      <c r="ASM46" s="672"/>
      <c r="ASN46" s="672"/>
      <c r="ASO46" s="672"/>
      <c r="ASP46" s="672"/>
      <c r="ASQ46" s="672"/>
      <c r="ASR46" s="672"/>
      <c r="ASS46" s="672"/>
      <c r="AST46" s="672"/>
      <c r="ASU46" s="672"/>
      <c r="ASV46" s="672"/>
      <c r="ASW46" s="672"/>
      <c r="ASX46" s="672"/>
      <c r="ASY46" s="672"/>
      <c r="ASZ46" s="672"/>
      <c r="ATA46" s="672"/>
      <c r="ATB46" s="672"/>
      <c r="ATC46" s="672"/>
      <c r="ATD46" s="672"/>
      <c r="ATE46" s="672"/>
      <c r="ATF46" s="672"/>
      <c r="ATG46" s="672"/>
      <c r="ATH46" s="672"/>
      <c r="ATI46" s="672"/>
      <c r="ATJ46" s="672"/>
      <c r="ATK46" s="672"/>
      <c r="ATL46" s="672"/>
      <c r="ATM46" s="672"/>
      <c r="ATN46" s="672"/>
      <c r="ATO46" s="672"/>
      <c r="ATP46" s="672"/>
      <c r="ATQ46" s="672"/>
      <c r="ATR46" s="672"/>
      <c r="ATS46" s="672"/>
      <c r="ATT46" s="672"/>
      <c r="ATU46" s="672"/>
      <c r="ATV46" s="672"/>
      <c r="ATW46" s="672"/>
      <c r="ATX46" s="672"/>
      <c r="ATY46" s="672"/>
      <c r="ATZ46" s="672"/>
      <c r="AUA46" s="672"/>
      <c r="AUB46" s="672"/>
      <c r="AUC46" s="672"/>
      <c r="AUD46" s="672"/>
      <c r="AUE46" s="672"/>
      <c r="AUF46" s="672"/>
      <c r="AUG46" s="672"/>
      <c r="AUH46" s="672"/>
      <c r="AUI46" s="672"/>
      <c r="AUJ46" s="672"/>
      <c r="AUK46" s="672"/>
      <c r="AUL46" s="672"/>
      <c r="AUM46" s="672"/>
      <c r="AUN46" s="672"/>
      <c r="AUO46" s="672"/>
      <c r="AUP46" s="672"/>
      <c r="AUQ46" s="672"/>
      <c r="AUR46" s="672"/>
      <c r="AUS46" s="672"/>
      <c r="AUT46" s="672"/>
      <c r="AUU46" s="672"/>
      <c r="AUV46" s="672"/>
      <c r="AUW46" s="672"/>
      <c r="AUX46" s="672"/>
      <c r="AUY46" s="672"/>
      <c r="AUZ46" s="672"/>
      <c r="AVA46" s="672"/>
      <c r="AVB46" s="672"/>
      <c r="AVC46" s="672"/>
      <c r="AVD46" s="672"/>
      <c r="AVE46" s="672"/>
      <c r="AVF46" s="672"/>
      <c r="AVG46" s="672"/>
      <c r="AVH46" s="672"/>
      <c r="AVI46" s="672"/>
      <c r="AVJ46" s="672"/>
      <c r="AVK46" s="672"/>
      <c r="AVL46" s="672"/>
      <c r="AVM46" s="672"/>
      <c r="AVN46" s="672"/>
      <c r="AVO46" s="672"/>
      <c r="AVP46" s="672"/>
      <c r="AVQ46" s="672"/>
      <c r="AVR46" s="672"/>
      <c r="AVS46" s="672"/>
      <c r="AVT46" s="672"/>
      <c r="AVU46" s="672"/>
      <c r="AVV46" s="672"/>
      <c r="AVW46" s="672"/>
      <c r="AVX46" s="672"/>
      <c r="AVY46" s="672"/>
      <c r="AVZ46" s="672"/>
      <c r="AWA46" s="672"/>
      <c r="AWB46" s="672"/>
      <c r="AWC46" s="672"/>
      <c r="AWD46" s="672"/>
      <c r="AWE46" s="672"/>
      <c r="AWF46" s="672"/>
      <c r="AWG46" s="672"/>
      <c r="AWH46" s="672"/>
      <c r="AWI46" s="672"/>
      <c r="AWJ46" s="672"/>
      <c r="AWK46" s="672"/>
      <c r="AWL46" s="672"/>
      <c r="AWM46" s="672"/>
      <c r="AWN46" s="672"/>
      <c r="AWO46" s="672"/>
      <c r="AWP46" s="672"/>
      <c r="AWQ46" s="672"/>
      <c r="AWR46" s="672"/>
      <c r="AWS46" s="672"/>
      <c r="AWT46" s="672"/>
      <c r="AWU46" s="672"/>
      <c r="AWV46" s="672"/>
      <c r="AWW46" s="672"/>
      <c r="AWX46" s="672"/>
      <c r="AWY46" s="672"/>
      <c r="AWZ46" s="672"/>
      <c r="AXA46" s="672"/>
      <c r="AXB46" s="672"/>
      <c r="AXC46" s="672"/>
      <c r="AXD46" s="672"/>
      <c r="AXE46" s="672"/>
      <c r="AXF46" s="672"/>
      <c r="AXG46" s="672"/>
      <c r="AXH46" s="672"/>
      <c r="AXI46" s="672"/>
      <c r="AXJ46" s="672"/>
      <c r="AXK46" s="672"/>
      <c r="AXL46" s="672"/>
      <c r="AXM46" s="672"/>
      <c r="AXN46" s="672"/>
      <c r="AXO46" s="672"/>
      <c r="AXP46" s="672"/>
      <c r="AXQ46" s="672"/>
      <c r="AXR46" s="672"/>
      <c r="AXS46" s="672"/>
      <c r="AXT46" s="672"/>
      <c r="AXU46" s="672"/>
      <c r="AXV46" s="672"/>
      <c r="AXW46" s="672"/>
      <c r="AXX46" s="672"/>
      <c r="AXY46" s="672"/>
      <c r="AXZ46" s="672"/>
      <c r="AYA46" s="672"/>
      <c r="AYB46" s="672"/>
      <c r="AYC46" s="672"/>
      <c r="AYD46" s="672"/>
      <c r="AYE46" s="672"/>
      <c r="AYF46" s="672"/>
      <c r="AYG46" s="672"/>
      <c r="AYH46" s="672"/>
      <c r="AYI46" s="672"/>
      <c r="AYJ46" s="672"/>
      <c r="AYK46" s="672"/>
      <c r="AYL46" s="672"/>
      <c r="AYM46" s="672"/>
      <c r="AYN46" s="672"/>
      <c r="AYO46" s="672"/>
      <c r="AYP46" s="672"/>
      <c r="AYQ46" s="672"/>
      <c r="AYR46" s="672"/>
      <c r="AYS46" s="672"/>
      <c r="AYT46" s="672"/>
      <c r="AYU46" s="672"/>
      <c r="AYV46" s="672"/>
      <c r="AYW46" s="672"/>
      <c r="AYX46" s="672"/>
      <c r="AYY46" s="672"/>
      <c r="AYZ46" s="672"/>
      <c r="AZA46" s="672"/>
      <c r="AZB46" s="672"/>
      <c r="AZC46" s="672"/>
      <c r="AZD46" s="672"/>
      <c r="AZE46" s="672"/>
      <c r="AZF46" s="672"/>
      <c r="AZG46" s="672"/>
      <c r="AZH46" s="672"/>
      <c r="AZI46" s="672"/>
      <c r="AZJ46" s="672"/>
      <c r="AZK46" s="672"/>
      <c r="AZL46" s="672"/>
      <c r="AZM46" s="672"/>
      <c r="AZN46" s="672"/>
      <c r="AZO46" s="672"/>
      <c r="AZP46" s="672"/>
      <c r="AZQ46" s="672"/>
      <c r="AZR46" s="672"/>
      <c r="AZS46" s="672"/>
      <c r="AZT46" s="672"/>
      <c r="AZU46" s="672"/>
      <c r="AZV46" s="672"/>
      <c r="AZW46" s="672"/>
      <c r="AZX46" s="672"/>
      <c r="AZY46" s="672"/>
      <c r="AZZ46" s="672"/>
      <c r="BAA46" s="672"/>
      <c r="BAB46" s="672"/>
      <c r="BAC46" s="672"/>
      <c r="BAD46" s="672"/>
      <c r="BAE46" s="672"/>
      <c r="BAF46" s="672"/>
      <c r="BAG46" s="672"/>
      <c r="BAH46" s="672"/>
      <c r="BAI46" s="672"/>
      <c r="BAJ46" s="672"/>
      <c r="BAK46" s="672"/>
      <c r="BAL46" s="672"/>
      <c r="BAM46" s="672"/>
      <c r="BAN46" s="672"/>
      <c r="BAO46" s="672"/>
      <c r="BAP46" s="672"/>
      <c r="BAQ46" s="672"/>
      <c r="BAR46" s="672"/>
      <c r="BAS46" s="672"/>
      <c r="BAT46" s="672"/>
      <c r="BAU46" s="672"/>
      <c r="BAV46" s="672"/>
      <c r="BAW46" s="672"/>
      <c r="BAX46" s="672"/>
      <c r="BAY46" s="672"/>
      <c r="BAZ46" s="672"/>
      <c r="BBA46" s="672"/>
      <c r="BBB46" s="672"/>
      <c r="BBC46" s="672"/>
      <c r="BBD46" s="672"/>
      <c r="BBE46" s="672"/>
      <c r="BBF46" s="672"/>
      <c r="BBG46" s="672"/>
      <c r="BBH46" s="672"/>
      <c r="BBI46" s="672"/>
      <c r="BBJ46" s="672"/>
      <c r="BBK46" s="672"/>
      <c r="BBL46" s="672"/>
      <c r="BBM46" s="672"/>
      <c r="BBN46" s="672"/>
      <c r="BBO46" s="672"/>
      <c r="BBP46" s="672"/>
      <c r="BBQ46" s="672"/>
      <c r="BBR46" s="672"/>
      <c r="BBS46" s="672"/>
      <c r="BBT46" s="672"/>
      <c r="BBU46" s="672"/>
      <c r="BBV46" s="672"/>
      <c r="BBW46" s="672"/>
      <c r="BBX46" s="672"/>
      <c r="BBY46" s="672"/>
      <c r="BBZ46" s="672"/>
      <c r="BCA46" s="672"/>
      <c r="BCB46" s="672"/>
      <c r="BCC46" s="672"/>
      <c r="BCD46" s="672"/>
      <c r="BCE46" s="672"/>
      <c r="BCF46" s="672"/>
      <c r="BCG46" s="672"/>
      <c r="BCH46" s="672"/>
      <c r="BCI46" s="672"/>
      <c r="BCJ46" s="672"/>
      <c r="BCK46" s="672"/>
      <c r="BCL46" s="672"/>
      <c r="BCM46" s="672"/>
      <c r="BCN46" s="672"/>
      <c r="BCO46" s="672"/>
      <c r="BCP46" s="672"/>
      <c r="BCQ46" s="672"/>
      <c r="BCR46" s="672"/>
      <c r="BCS46" s="672"/>
      <c r="BCT46" s="672"/>
      <c r="BCU46" s="672"/>
      <c r="BCV46" s="672"/>
      <c r="BCW46" s="672"/>
      <c r="BCX46" s="672"/>
      <c r="BCY46" s="672"/>
      <c r="BCZ46" s="672"/>
      <c r="BDA46" s="672"/>
      <c r="BDB46" s="672"/>
      <c r="BDC46" s="672"/>
      <c r="BDD46" s="672"/>
      <c r="BDE46" s="672"/>
      <c r="BDF46" s="672"/>
      <c r="BDG46" s="672"/>
      <c r="BDH46" s="672"/>
      <c r="BDI46" s="672"/>
      <c r="BDJ46" s="672"/>
      <c r="BDK46" s="672"/>
      <c r="BDL46" s="672"/>
      <c r="BDM46" s="672"/>
      <c r="BDN46" s="672"/>
      <c r="BDO46" s="672"/>
      <c r="BDP46" s="672"/>
      <c r="BDQ46" s="672"/>
      <c r="BDR46" s="672"/>
      <c r="BDS46" s="672"/>
      <c r="BDT46" s="672"/>
      <c r="BDU46" s="672"/>
      <c r="BDV46" s="672"/>
      <c r="BDW46" s="672"/>
      <c r="BDX46" s="672"/>
      <c r="BDY46" s="672"/>
      <c r="BDZ46" s="672"/>
      <c r="BEA46" s="672"/>
      <c r="BEB46" s="672"/>
      <c r="BEC46" s="672"/>
      <c r="BED46" s="672"/>
      <c r="BEE46" s="672"/>
      <c r="BEF46" s="672"/>
      <c r="BEG46" s="672"/>
      <c r="BEH46" s="672"/>
      <c r="BEI46" s="672"/>
      <c r="BEJ46" s="672"/>
      <c r="BEK46" s="672"/>
      <c r="BEL46" s="672"/>
      <c r="BEM46" s="672"/>
      <c r="BEN46" s="672"/>
      <c r="BEO46" s="672"/>
      <c r="BEP46" s="672"/>
      <c r="BEQ46" s="672"/>
      <c r="BER46" s="672"/>
      <c r="BES46" s="672"/>
      <c r="BET46" s="672"/>
      <c r="BEU46" s="672"/>
      <c r="BEV46" s="672"/>
      <c r="BEW46" s="672"/>
      <c r="BEX46" s="672"/>
      <c r="BEY46" s="672"/>
      <c r="BEZ46" s="672"/>
      <c r="BFA46" s="672"/>
      <c r="BFB46" s="672"/>
      <c r="BFC46" s="672"/>
      <c r="BFD46" s="672"/>
      <c r="BFE46" s="672"/>
      <c r="BFF46" s="672"/>
      <c r="BFG46" s="672"/>
      <c r="BFH46" s="672"/>
      <c r="BFI46" s="672"/>
      <c r="BFJ46" s="672"/>
      <c r="BFK46" s="672"/>
      <c r="BFL46" s="672"/>
      <c r="BFM46" s="672"/>
      <c r="BFN46" s="672"/>
      <c r="BFO46" s="672"/>
      <c r="BFP46" s="672"/>
      <c r="BFQ46" s="672"/>
      <c r="BFR46" s="672"/>
      <c r="BFS46" s="672"/>
      <c r="BFT46" s="672"/>
      <c r="BFU46" s="672"/>
      <c r="BFV46" s="672"/>
      <c r="BFW46" s="672"/>
      <c r="BFX46" s="672"/>
      <c r="BFY46" s="672"/>
      <c r="BFZ46" s="672"/>
      <c r="BGA46" s="672"/>
      <c r="BGB46" s="672"/>
      <c r="BGC46" s="672"/>
      <c r="BGD46" s="672"/>
      <c r="BGE46" s="672"/>
      <c r="BGF46" s="672"/>
      <c r="BGG46" s="672"/>
      <c r="BGH46" s="672"/>
      <c r="BGI46" s="672"/>
      <c r="BGJ46" s="672"/>
      <c r="BGK46" s="672"/>
      <c r="BGL46" s="672"/>
      <c r="BGM46" s="672"/>
      <c r="BGN46" s="672"/>
      <c r="BGO46" s="672"/>
      <c r="BGP46" s="672"/>
      <c r="BGQ46" s="672"/>
      <c r="BGR46" s="672"/>
      <c r="BGS46" s="672"/>
      <c r="BGT46" s="672"/>
      <c r="BGU46" s="672"/>
      <c r="BGV46" s="672"/>
      <c r="BGW46" s="672"/>
      <c r="BGX46" s="672"/>
      <c r="BGY46" s="672"/>
      <c r="BGZ46" s="672"/>
      <c r="BHA46" s="672"/>
      <c r="BHB46" s="672"/>
      <c r="BHC46" s="672"/>
      <c r="BHD46" s="672"/>
      <c r="BHE46" s="672"/>
      <c r="BHF46" s="672"/>
      <c r="BHG46" s="672"/>
      <c r="BHH46" s="672"/>
      <c r="BHI46" s="672"/>
      <c r="BHJ46" s="672"/>
      <c r="BHK46" s="672"/>
      <c r="BHL46" s="672"/>
      <c r="BHM46" s="672"/>
      <c r="BHN46" s="672"/>
      <c r="BHO46" s="672"/>
      <c r="BHP46" s="672"/>
      <c r="BHQ46" s="672"/>
      <c r="BHR46" s="672"/>
      <c r="BHS46" s="672"/>
      <c r="BHT46" s="672"/>
      <c r="BHU46" s="672"/>
      <c r="BHV46" s="672"/>
      <c r="BHW46" s="672"/>
      <c r="BHX46" s="672"/>
      <c r="BHY46" s="672"/>
      <c r="BHZ46" s="672"/>
      <c r="BIA46" s="672"/>
      <c r="BIB46" s="672"/>
      <c r="BIC46" s="672"/>
      <c r="BID46" s="672"/>
      <c r="BIE46" s="672"/>
      <c r="BIF46" s="672"/>
      <c r="BIG46" s="672"/>
      <c r="BIH46" s="672"/>
      <c r="BII46" s="672"/>
      <c r="BIJ46" s="672"/>
      <c r="BIK46" s="672"/>
      <c r="BIL46" s="672"/>
      <c r="BIM46" s="672"/>
      <c r="BIN46" s="672"/>
      <c r="BIO46" s="672"/>
      <c r="BIP46" s="672"/>
      <c r="BIQ46" s="672"/>
      <c r="BIR46" s="672"/>
      <c r="BIS46" s="672"/>
      <c r="BIT46" s="672"/>
      <c r="BIU46" s="672"/>
      <c r="BIV46" s="672"/>
      <c r="BIW46" s="672"/>
      <c r="BIX46" s="672"/>
      <c r="BIY46" s="672"/>
      <c r="BIZ46" s="672"/>
      <c r="BJA46" s="672"/>
      <c r="BJB46" s="672"/>
      <c r="BJC46" s="672"/>
      <c r="BJD46" s="672"/>
      <c r="BJE46" s="672"/>
      <c r="BJF46" s="672"/>
      <c r="BJG46" s="672"/>
      <c r="BJH46" s="672"/>
      <c r="BJI46" s="672"/>
      <c r="BJJ46" s="672"/>
      <c r="BJK46" s="672"/>
      <c r="BJL46" s="672"/>
      <c r="BJM46" s="672"/>
      <c r="BJN46" s="672"/>
      <c r="BJO46" s="672"/>
      <c r="BJP46" s="672"/>
      <c r="BJQ46" s="672"/>
      <c r="BJR46" s="672"/>
      <c r="BJS46" s="672"/>
      <c r="BJT46" s="672"/>
      <c r="BJU46" s="672"/>
      <c r="BJV46" s="672"/>
      <c r="BJW46" s="672"/>
      <c r="BJX46" s="672"/>
      <c r="BJY46" s="672"/>
      <c r="BJZ46" s="672"/>
      <c r="BKA46" s="672"/>
      <c r="BKB46" s="672"/>
      <c r="BKC46" s="672"/>
      <c r="BKD46" s="672"/>
      <c r="BKE46" s="672"/>
      <c r="BKF46" s="672"/>
      <c r="BKG46" s="672"/>
      <c r="BKH46" s="672"/>
      <c r="BKI46" s="672"/>
      <c r="BKJ46" s="672"/>
      <c r="BKK46" s="672"/>
      <c r="BKL46" s="672"/>
      <c r="BKM46" s="672"/>
      <c r="BKN46" s="672"/>
      <c r="BKO46" s="672"/>
      <c r="BKP46" s="672"/>
      <c r="BKQ46" s="672"/>
      <c r="BKR46" s="672"/>
      <c r="BKS46" s="672"/>
      <c r="BKT46" s="672"/>
      <c r="BKU46" s="672"/>
      <c r="BKV46" s="672"/>
      <c r="BKW46" s="672"/>
      <c r="BKX46" s="672"/>
      <c r="BKY46" s="672"/>
      <c r="BKZ46" s="672"/>
      <c r="BLA46" s="672"/>
      <c r="BLB46" s="672"/>
      <c r="BLC46" s="672"/>
      <c r="BLD46" s="672"/>
      <c r="BLE46" s="672"/>
      <c r="BLF46" s="672"/>
      <c r="BLG46" s="672"/>
      <c r="BLH46" s="672"/>
      <c r="BLI46" s="672"/>
      <c r="BLJ46" s="672"/>
      <c r="BLK46" s="672"/>
      <c r="BLL46" s="672"/>
      <c r="BLM46" s="672"/>
      <c r="BLN46" s="672"/>
      <c r="BLO46" s="672"/>
      <c r="BLP46" s="672"/>
      <c r="BLQ46" s="672"/>
      <c r="BLR46" s="672"/>
      <c r="BLS46" s="672"/>
      <c r="BLT46" s="672"/>
      <c r="BLU46" s="672"/>
      <c r="BLV46" s="672"/>
      <c r="BLW46" s="672"/>
      <c r="BLX46" s="672"/>
      <c r="BLY46" s="672"/>
      <c r="BLZ46" s="672"/>
      <c r="BMA46" s="672"/>
      <c r="BMB46" s="672"/>
      <c r="BMC46" s="672"/>
      <c r="BMD46" s="672"/>
      <c r="BME46" s="672"/>
      <c r="BMF46" s="672"/>
      <c r="BMG46" s="672"/>
      <c r="BMH46" s="672"/>
      <c r="BMI46" s="672"/>
      <c r="BMJ46" s="672"/>
      <c r="BMK46" s="672"/>
      <c r="BML46" s="672"/>
      <c r="BMM46" s="672"/>
      <c r="BMN46" s="672"/>
      <c r="BMO46" s="672"/>
      <c r="BMP46" s="672"/>
      <c r="BMQ46" s="672"/>
      <c r="BMR46" s="672"/>
      <c r="BMS46" s="672"/>
      <c r="BMT46" s="672"/>
      <c r="BMU46" s="672"/>
      <c r="BMV46" s="672"/>
      <c r="BMW46" s="672"/>
      <c r="BMX46" s="672"/>
      <c r="BMY46" s="672"/>
      <c r="BMZ46" s="672"/>
      <c r="BNA46" s="672"/>
      <c r="BNB46" s="672"/>
      <c r="BNC46" s="672"/>
      <c r="BND46" s="672"/>
      <c r="BNE46" s="672"/>
      <c r="BNF46" s="672"/>
      <c r="BNG46" s="672"/>
      <c r="BNH46" s="672"/>
      <c r="BNI46" s="672"/>
      <c r="BNJ46" s="672"/>
      <c r="BNK46" s="672"/>
      <c r="BNL46" s="672"/>
      <c r="BNM46" s="672"/>
      <c r="BNN46" s="672"/>
      <c r="BNO46" s="672"/>
      <c r="BNP46" s="672"/>
      <c r="BNQ46" s="672"/>
      <c r="BNR46" s="672"/>
      <c r="BNS46" s="672"/>
      <c r="BNT46" s="672"/>
      <c r="BNU46" s="672"/>
      <c r="BNV46" s="672"/>
      <c r="BNW46" s="672"/>
      <c r="BNX46" s="672"/>
      <c r="BNY46" s="672"/>
      <c r="BNZ46" s="672"/>
      <c r="BOA46" s="672"/>
      <c r="BOB46" s="672"/>
      <c r="BOC46" s="672"/>
      <c r="BOD46" s="672"/>
      <c r="BOE46" s="672"/>
      <c r="BOF46" s="672"/>
      <c r="BOG46" s="672"/>
      <c r="BOH46" s="672"/>
      <c r="BOI46" s="672"/>
      <c r="BOJ46" s="672"/>
      <c r="BOK46" s="672"/>
      <c r="BOL46" s="672"/>
      <c r="BOM46" s="672"/>
      <c r="BON46" s="672"/>
      <c r="BOO46" s="672"/>
      <c r="BOP46" s="672"/>
      <c r="BOQ46" s="672"/>
      <c r="BOR46" s="672"/>
      <c r="BOS46" s="672"/>
      <c r="BOT46" s="672"/>
      <c r="BOU46" s="672"/>
      <c r="BOV46" s="672"/>
      <c r="BOW46" s="672"/>
      <c r="BOX46" s="672"/>
      <c r="BOY46" s="672"/>
      <c r="BOZ46" s="672"/>
      <c r="BPA46" s="672"/>
      <c r="BPB46" s="672"/>
      <c r="BPC46" s="672"/>
      <c r="BPD46" s="672"/>
      <c r="BPE46" s="672"/>
      <c r="BPF46" s="672"/>
      <c r="BPG46" s="672"/>
      <c r="BPH46" s="672"/>
      <c r="BPI46" s="672"/>
      <c r="BPJ46" s="672"/>
      <c r="BPK46" s="672"/>
      <c r="BPL46" s="672"/>
      <c r="BPM46" s="672"/>
      <c r="BPN46" s="672"/>
      <c r="BPO46" s="672"/>
      <c r="BPP46" s="672"/>
      <c r="BPQ46" s="672"/>
      <c r="BPR46" s="672"/>
      <c r="BPS46" s="672"/>
      <c r="BPT46" s="672"/>
      <c r="BPU46" s="672"/>
      <c r="BPV46" s="672"/>
      <c r="BPW46" s="672"/>
      <c r="BPX46" s="672"/>
      <c r="BPY46" s="672"/>
      <c r="BPZ46" s="672"/>
      <c r="BQA46" s="672"/>
      <c r="BQB46" s="672"/>
      <c r="BQC46" s="672"/>
      <c r="BQD46" s="672"/>
      <c r="BQE46" s="672"/>
      <c r="BQF46" s="672"/>
      <c r="BQG46" s="672"/>
      <c r="BQH46" s="672"/>
      <c r="BQI46" s="672"/>
      <c r="BQJ46" s="672"/>
      <c r="BQK46" s="672"/>
      <c r="BQL46" s="672"/>
      <c r="BQM46" s="672"/>
      <c r="BQN46" s="672"/>
      <c r="BQO46" s="672"/>
      <c r="BQP46" s="672"/>
      <c r="BQQ46" s="672"/>
      <c r="BQR46" s="672"/>
      <c r="BQS46" s="672"/>
      <c r="BQT46" s="672"/>
      <c r="BQU46" s="672"/>
      <c r="BQV46" s="672"/>
      <c r="BQW46" s="672"/>
      <c r="BQX46" s="672"/>
      <c r="BQY46" s="672"/>
      <c r="BQZ46" s="672"/>
      <c r="BRA46" s="672"/>
      <c r="BRB46" s="672"/>
      <c r="BRC46" s="672"/>
      <c r="BRD46" s="672"/>
      <c r="BRE46" s="672"/>
      <c r="BRF46" s="672"/>
      <c r="BRG46" s="672"/>
      <c r="BRH46" s="672"/>
      <c r="BRI46" s="672"/>
      <c r="BRJ46" s="672"/>
      <c r="BRK46" s="672"/>
      <c r="BRL46" s="672"/>
      <c r="BRM46" s="672"/>
      <c r="BRN46" s="672"/>
      <c r="BRO46" s="672"/>
      <c r="BRP46" s="672"/>
      <c r="BRQ46" s="672"/>
      <c r="BRR46" s="672"/>
      <c r="BRS46" s="672"/>
      <c r="BRT46" s="672"/>
      <c r="BRU46" s="672"/>
      <c r="BRV46" s="672"/>
      <c r="BRW46" s="672"/>
      <c r="BRX46" s="672"/>
      <c r="BRY46" s="672"/>
      <c r="BRZ46" s="672"/>
      <c r="BSA46" s="672"/>
      <c r="BSB46" s="672"/>
      <c r="BSC46" s="672"/>
      <c r="BSD46" s="672"/>
      <c r="BSE46" s="672"/>
      <c r="BSF46" s="672"/>
      <c r="BSG46" s="672"/>
      <c r="BSH46" s="672"/>
      <c r="BSI46" s="672"/>
      <c r="BSJ46" s="672"/>
      <c r="BSK46" s="672"/>
      <c r="BSL46" s="672"/>
      <c r="BSM46" s="672"/>
      <c r="BSN46" s="672"/>
      <c r="BSO46" s="672"/>
      <c r="BSP46" s="672"/>
      <c r="BSQ46" s="672"/>
      <c r="BSR46" s="672"/>
      <c r="BSS46" s="672"/>
      <c r="BST46" s="672"/>
      <c r="BSU46" s="672"/>
      <c r="BSV46" s="672"/>
      <c r="BSW46" s="672"/>
      <c r="BSX46" s="672"/>
      <c r="BSY46" s="672"/>
      <c r="BSZ46" s="672"/>
      <c r="BTA46" s="672"/>
      <c r="BTB46" s="672"/>
      <c r="BTC46" s="672"/>
      <c r="BTD46" s="672"/>
      <c r="BTE46" s="672"/>
      <c r="BTF46" s="672"/>
      <c r="BTG46" s="672"/>
      <c r="BTH46" s="672"/>
      <c r="BTI46" s="672"/>
      <c r="BTJ46" s="672"/>
      <c r="BTK46" s="672"/>
      <c r="BTL46" s="672"/>
      <c r="BTM46" s="672"/>
      <c r="BTN46" s="672"/>
      <c r="BTO46" s="672"/>
      <c r="BTP46" s="672"/>
      <c r="BTQ46" s="672"/>
      <c r="BTR46" s="672"/>
      <c r="BTS46" s="672"/>
      <c r="BTT46" s="672"/>
      <c r="BTU46" s="672"/>
      <c r="BTV46" s="672"/>
      <c r="BTW46" s="672"/>
      <c r="BTX46" s="672"/>
      <c r="BTY46" s="672"/>
      <c r="BTZ46" s="672"/>
      <c r="BUA46" s="672"/>
      <c r="BUB46" s="672"/>
      <c r="BUC46" s="672"/>
      <c r="BUD46" s="672"/>
      <c r="BUE46" s="672"/>
      <c r="BUF46" s="672"/>
      <c r="BUG46" s="672"/>
      <c r="BUH46" s="672"/>
      <c r="BUI46" s="672"/>
      <c r="BUJ46" s="672"/>
      <c r="BUK46" s="672"/>
      <c r="BUL46" s="672"/>
      <c r="BUM46" s="672"/>
      <c r="BUN46" s="672"/>
      <c r="BUO46" s="672"/>
      <c r="BUP46" s="672"/>
      <c r="BUQ46" s="672"/>
      <c r="BUR46" s="672"/>
      <c r="BUS46" s="672"/>
      <c r="BUT46" s="672"/>
      <c r="BUU46" s="672"/>
      <c r="BUV46" s="672"/>
      <c r="BUW46" s="672"/>
      <c r="BUX46" s="672"/>
      <c r="BUY46" s="672"/>
      <c r="BUZ46" s="672"/>
      <c r="BVA46" s="672"/>
      <c r="BVB46" s="672"/>
      <c r="BVC46" s="672"/>
      <c r="BVD46" s="672"/>
      <c r="BVE46" s="672"/>
      <c r="BVF46" s="672"/>
      <c r="BVG46" s="672"/>
      <c r="BVH46" s="672"/>
      <c r="BVI46" s="672"/>
      <c r="BVJ46" s="672"/>
      <c r="BVK46" s="672"/>
      <c r="BVL46" s="672"/>
      <c r="BVM46" s="672"/>
      <c r="BVN46" s="672"/>
      <c r="BVO46" s="672"/>
      <c r="BVP46" s="672"/>
      <c r="BVQ46" s="672"/>
      <c r="BVR46" s="672"/>
      <c r="BVS46" s="672"/>
      <c r="BVT46" s="672"/>
      <c r="BVU46" s="672"/>
      <c r="BVV46" s="672"/>
      <c r="BVW46" s="672"/>
      <c r="BVX46" s="672"/>
      <c r="BVY46" s="672"/>
      <c r="BVZ46" s="672"/>
      <c r="BWA46" s="672"/>
      <c r="BWB46" s="672"/>
      <c r="BWC46" s="672"/>
      <c r="BWD46" s="672"/>
      <c r="BWE46" s="672"/>
      <c r="BWF46" s="672"/>
      <c r="BWG46" s="672"/>
      <c r="BWH46" s="672"/>
      <c r="BWI46" s="672"/>
      <c r="BWJ46" s="672"/>
      <c r="BWK46" s="672"/>
      <c r="BWL46" s="672"/>
      <c r="BWM46" s="672"/>
      <c r="BWN46" s="672"/>
      <c r="BWO46" s="672"/>
      <c r="BWP46" s="672"/>
      <c r="BWQ46" s="672"/>
      <c r="BWR46" s="672"/>
      <c r="BWS46" s="672"/>
      <c r="BWT46" s="672"/>
      <c r="BWU46" s="672"/>
      <c r="BWV46" s="672"/>
      <c r="BWW46" s="672"/>
      <c r="BWX46" s="672"/>
      <c r="BWY46" s="672"/>
      <c r="BWZ46" s="672"/>
      <c r="BXA46" s="672"/>
      <c r="BXB46" s="672"/>
      <c r="BXC46" s="672"/>
      <c r="BXD46" s="672"/>
      <c r="BXE46" s="672"/>
      <c r="BXF46" s="672"/>
      <c r="BXG46" s="672"/>
      <c r="BXH46" s="672"/>
      <c r="BXI46" s="672"/>
      <c r="BXJ46" s="672"/>
      <c r="BXK46" s="672"/>
      <c r="BXL46" s="672"/>
      <c r="BXM46" s="672"/>
      <c r="BXN46" s="672"/>
      <c r="BXO46" s="672"/>
      <c r="BXP46" s="672"/>
      <c r="BXQ46" s="672"/>
      <c r="BXR46" s="672"/>
      <c r="BXS46" s="672"/>
      <c r="BXT46" s="672"/>
      <c r="BXU46" s="672"/>
      <c r="BXV46" s="672"/>
      <c r="BXW46" s="672"/>
      <c r="BXX46" s="672"/>
      <c r="BXY46" s="672"/>
      <c r="BXZ46" s="672"/>
      <c r="BYA46" s="672"/>
      <c r="BYB46" s="672"/>
      <c r="BYC46" s="672"/>
      <c r="BYD46" s="672"/>
      <c r="BYE46" s="672"/>
      <c r="BYF46" s="672"/>
      <c r="BYG46" s="672"/>
      <c r="BYH46" s="672"/>
      <c r="BYI46" s="672"/>
      <c r="BYJ46" s="672"/>
      <c r="BYK46" s="672"/>
      <c r="BYL46" s="672"/>
      <c r="BYM46" s="672"/>
      <c r="BYN46" s="672"/>
      <c r="BYO46" s="672"/>
      <c r="BYP46" s="672"/>
      <c r="BYQ46" s="672"/>
      <c r="BYR46" s="672"/>
      <c r="BYS46" s="672"/>
      <c r="BYT46" s="672"/>
      <c r="BYU46" s="672"/>
      <c r="BYV46" s="672"/>
      <c r="BYW46" s="672"/>
      <c r="BYX46" s="672"/>
      <c r="BYY46" s="672"/>
      <c r="BYZ46" s="672"/>
      <c r="BZA46" s="672"/>
      <c r="BZB46" s="672"/>
      <c r="BZC46" s="672"/>
      <c r="BZD46" s="672"/>
      <c r="BZE46" s="672"/>
      <c r="BZF46" s="672"/>
      <c r="BZG46" s="672"/>
      <c r="BZH46" s="672"/>
      <c r="BZI46" s="672"/>
      <c r="BZJ46" s="672"/>
      <c r="BZK46" s="672"/>
      <c r="BZL46" s="672"/>
      <c r="BZM46" s="672"/>
      <c r="BZN46" s="672"/>
      <c r="BZO46" s="672"/>
      <c r="BZP46" s="672"/>
      <c r="BZQ46" s="672"/>
      <c r="BZR46" s="672"/>
      <c r="BZS46" s="672"/>
      <c r="BZT46" s="672"/>
      <c r="BZU46" s="672"/>
      <c r="BZV46" s="672"/>
      <c r="BZW46" s="672"/>
      <c r="BZX46" s="672"/>
      <c r="BZY46" s="672"/>
      <c r="BZZ46" s="672"/>
      <c r="CAA46" s="672"/>
      <c r="CAB46" s="672"/>
      <c r="CAC46" s="672"/>
      <c r="CAD46" s="672"/>
      <c r="CAE46" s="672"/>
      <c r="CAF46" s="672"/>
      <c r="CAG46" s="672"/>
      <c r="CAH46" s="672"/>
      <c r="CAI46" s="672"/>
      <c r="CAJ46" s="672"/>
      <c r="CAK46" s="672"/>
      <c r="CAL46" s="672"/>
      <c r="CAM46" s="672"/>
      <c r="CAN46" s="672"/>
      <c r="CAO46" s="672"/>
      <c r="CAP46" s="672"/>
      <c r="CAQ46" s="672"/>
      <c r="CAR46" s="672"/>
      <c r="CAS46" s="672"/>
      <c r="CAT46" s="672"/>
      <c r="CAU46" s="672"/>
      <c r="CAV46" s="672"/>
      <c r="CAW46" s="672"/>
      <c r="CAX46" s="672"/>
      <c r="CAY46" s="672"/>
      <c r="CAZ46" s="672"/>
      <c r="CBA46" s="672"/>
      <c r="CBB46" s="672"/>
      <c r="CBC46" s="672"/>
      <c r="CBD46" s="672"/>
      <c r="CBE46" s="672"/>
      <c r="CBF46" s="672"/>
      <c r="CBG46" s="672"/>
      <c r="CBH46" s="672"/>
      <c r="CBI46" s="672"/>
      <c r="CBJ46" s="672"/>
      <c r="CBK46" s="672"/>
      <c r="CBL46" s="672"/>
      <c r="CBM46" s="672"/>
      <c r="CBN46" s="672"/>
      <c r="CBO46" s="672"/>
      <c r="CBP46" s="672"/>
      <c r="CBQ46" s="672"/>
      <c r="CBR46" s="672"/>
      <c r="CBS46" s="672"/>
      <c r="CBT46" s="672"/>
      <c r="CBU46" s="672"/>
      <c r="CBV46" s="672"/>
      <c r="CBW46" s="672"/>
      <c r="CBX46" s="672"/>
      <c r="CBY46" s="672"/>
      <c r="CBZ46" s="672"/>
      <c r="CCA46" s="672"/>
      <c r="CCB46" s="672"/>
      <c r="CCC46" s="672"/>
      <c r="CCD46" s="672"/>
      <c r="CCE46" s="672"/>
      <c r="CCF46" s="672"/>
      <c r="CCG46" s="672"/>
      <c r="CCH46" s="672"/>
      <c r="CCI46" s="672"/>
      <c r="CCJ46" s="672"/>
      <c r="CCK46" s="672"/>
      <c r="CCL46" s="672"/>
      <c r="CCM46" s="672"/>
      <c r="CCN46" s="672"/>
      <c r="CCO46" s="672"/>
      <c r="CCP46" s="672"/>
      <c r="CCQ46" s="672"/>
      <c r="CCR46" s="672"/>
      <c r="CCS46" s="672"/>
      <c r="CCT46" s="672"/>
      <c r="CCU46" s="672"/>
      <c r="CCV46" s="672"/>
      <c r="CCW46" s="672"/>
      <c r="CCX46" s="672"/>
      <c r="CCY46" s="672"/>
      <c r="CCZ46" s="672"/>
      <c r="CDA46" s="672"/>
      <c r="CDB46" s="672"/>
      <c r="CDC46" s="672"/>
      <c r="CDD46" s="672"/>
      <c r="CDE46" s="672"/>
      <c r="CDF46" s="672"/>
      <c r="CDG46" s="672"/>
      <c r="CDH46" s="672"/>
      <c r="CDI46" s="672"/>
      <c r="CDJ46" s="672"/>
      <c r="CDK46" s="672"/>
      <c r="CDL46" s="672"/>
      <c r="CDM46" s="672"/>
      <c r="CDN46" s="672"/>
      <c r="CDO46" s="672"/>
      <c r="CDP46" s="672"/>
      <c r="CDQ46" s="672"/>
      <c r="CDR46" s="672"/>
      <c r="CDS46" s="672"/>
      <c r="CDT46" s="672"/>
      <c r="CDU46" s="672"/>
      <c r="CDV46" s="672"/>
      <c r="CDW46" s="672"/>
      <c r="CDX46" s="672"/>
      <c r="CDY46" s="672"/>
      <c r="CDZ46" s="672"/>
      <c r="CEA46" s="672"/>
      <c r="CEB46" s="672"/>
      <c r="CEC46" s="672"/>
      <c r="CED46" s="672"/>
      <c r="CEE46" s="672"/>
      <c r="CEF46" s="672"/>
      <c r="CEG46" s="672"/>
      <c r="CEH46" s="672"/>
      <c r="CEI46" s="672"/>
      <c r="CEJ46" s="672"/>
      <c r="CEK46" s="672"/>
      <c r="CEL46" s="672"/>
      <c r="CEM46" s="672"/>
      <c r="CEN46" s="672"/>
      <c r="CEO46" s="672"/>
      <c r="CEP46" s="672"/>
      <c r="CEQ46" s="672"/>
      <c r="CER46" s="672"/>
      <c r="CES46" s="672"/>
      <c r="CET46" s="672"/>
      <c r="CEU46" s="672"/>
      <c r="CEV46" s="672"/>
      <c r="CEW46" s="672"/>
      <c r="CEX46" s="672"/>
      <c r="CEY46" s="672"/>
      <c r="CEZ46" s="672"/>
      <c r="CFA46" s="672"/>
      <c r="CFB46" s="672"/>
      <c r="CFC46" s="672"/>
      <c r="CFD46" s="672"/>
      <c r="CFE46" s="672"/>
      <c r="CFF46" s="672"/>
      <c r="CFG46" s="672"/>
      <c r="CFH46" s="672"/>
      <c r="CFI46" s="672"/>
      <c r="CFJ46" s="672"/>
      <c r="CFK46" s="672"/>
      <c r="CFL46" s="672"/>
      <c r="CFM46" s="672"/>
      <c r="CFN46" s="672"/>
      <c r="CFO46" s="672"/>
      <c r="CFP46" s="672"/>
      <c r="CFQ46" s="672"/>
      <c r="CFR46" s="672"/>
      <c r="CFS46" s="672"/>
      <c r="CFT46" s="672"/>
      <c r="CFU46" s="672"/>
      <c r="CFV46" s="672"/>
      <c r="CFW46" s="672"/>
      <c r="CFX46" s="672"/>
      <c r="CFY46" s="672"/>
      <c r="CFZ46" s="672"/>
      <c r="CGA46" s="672"/>
      <c r="CGB46" s="672"/>
      <c r="CGC46" s="672"/>
      <c r="CGD46" s="672"/>
      <c r="CGE46" s="672"/>
      <c r="CGF46" s="672"/>
      <c r="CGG46" s="672"/>
      <c r="CGH46" s="672"/>
      <c r="CGI46" s="672"/>
      <c r="CGJ46" s="672"/>
      <c r="CGK46" s="672"/>
      <c r="CGL46" s="672"/>
      <c r="CGM46" s="672"/>
      <c r="CGN46" s="672"/>
      <c r="CGO46" s="672"/>
      <c r="CGP46" s="672"/>
      <c r="CGQ46" s="672"/>
      <c r="CGR46" s="672"/>
      <c r="CGS46" s="672"/>
      <c r="CGT46" s="672"/>
      <c r="CGU46" s="672"/>
      <c r="CGV46" s="672"/>
      <c r="CGW46" s="672"/>
      <c r="CGX46" s="672"/>
      <c r="CGY46" s="672"/>
      <c r="CGZ46" s="672"/>
      <c r="CHA46" s="672"/>
      <c r="CHB46" s="672"/>
      <c r="CHC46" s="672"/>
      <c r="CHD46" s="672"/>
      <c r="CHE46" s="672"/>
      <c r="CHF46" s="672"/>
      <c r="CHG46" s="672"/>
      <c r="CHH46" s="672"/>
      <c r="CHI46" s="672"/>
      <c r="CHJ46" s="672"/>
      <c r="CHK46" s="672"/>
      <c r="CHL46" s="672"/>
      <c r="CHM46" s="672"/>
      <c r="CHN46" s="672"/>
      <c r="CHO46" s="672"/>
      <c r="CHP46" s="672"/>
      <c r="CHQ46" s="672"/>
      <c r="CHR46" s="672"/>
      <c r="CHS46" s="672"/>
      <c r="CHT46" s="672"/>
      <c r="CHU46" s="672"/>
      <c r="CHV46" s="672"/>
      <c r="CHW46" s="672"/>
      <c r="CHX46" s="672"/>
      <c r="CHY46" s="672"/>
      <c r="CHZ46" s="672"/>
      <c r="CIA46" s="672"/>
      <c r="CIB46" s="672"/>
      <c r="CIC46" s="672"/>
      <c r="CID46" s="672"/>
      <c r="CIE46" s="672"/>
      <c r="CIF46" s="672"/>
      <c r="CIG46" s="672"/>
      <c r="CIH46" s="672"/>
      <c r="CII46" s="672"/>
      <c r="CIJ46" s="672"/>
      <c r="CIK46" s="672"/>
      <c r="CIL46" s="672"/>
      <c r="CIM46" s="672"/>
      <c r="CIN46" s="672"/>
      <c r="CIO46" s="672"/>
      <c r="CIP46" s="672"/>
      <c r="CIQ46" s="672"/>
      <c r="CIR46" s="672"/>
      <c r="CIS46" s="672"/>
      <c r="CIT46" s="672"/>
      <c r="CIU46" s="672"/>
      <c r="CIV46" s="672"/>
      <c r="CIW46" s="672"/>
      <c r="CIX46" s="672"/>
      <c r="CIY46" s="672"/>
      <c r="CIZ46" s="672"/>
      <c r="CJA46" s="672"/>
      <c r="CJB46" s="672"/>
      <c r="CJC46" s="672"/>
      <c r="CJD46" s="672"/>
      <c r="CJE46" s="672"/>
      <c r="CJF46" s="672"/>
      <c r="CJG46" s="672"/>
      <c r="CJH46" s="672"/>
      <c r="CJI46" s="672"/>
      <c r="CJJ46" s="672"/>
      <c r="CJK46" s="672"/>
      <c r="CJL46" s="672"/>
      <c r="CJM46" s="672"/>
      <c r="CJN46" s="672"/>
      <c r="CJO46" s="672"/>
      <c r="CJP46" s="672"/>
      <c r="CJQ46" s="672"/>
      <c r="CJR46" s="672"/>
      <c r="CJS46" s="672"/>
      <c r="CJT46" s="672"/>
      <c r="CJU46" s="672"/>
      <c r="CJV46" s="672"/>
      <c r="CJW46" s="672"/>
      <c r="CJX46" s="672"/>
      <c r="CJY46" s="672"/>
      <c r="CJZ46" s="672"/>
      <c r="CKA46" s="672"/>
      <c r="CKB46" s="672"/>
      <c r="CKC46" s="672"/>
      <c r="CKD46" s="672"/>
      <c r="CKE46" s="672"/>
      <c r="CKF46" s="672"/>
      <c r="CKG46" s="672"/>
      <c r="CKH46" s="672"/>
      <c r="CKI46" s="672"/>
      <c r="CKJ46" s="672"/>
      <c r="CKK46" s="672"/>
      <c r="CKL46" s="672"/>
      <c r="CKM46" s="672"/>
      <c r="CKN46" s="672"/>
      <c r="CKO46" s="672"/>
      <c r="CKP46" s="672"/>
      <c r="CKQ46" s="672"/>
      <c r="CKR46" s="672"/>
      <c r="CKS46" s="672"/>
      <c r="CKT46" s="672"/>
      <c r="CKU46" s="672"/>
      <c r="CKV46" s="672"/>
      <c r="CKW46" s="672"/>
      <c r="CKX46" s="672"/>
      <c r="CKY46" s="672"/>
      <c r="CKZ46" s="672"/>
      <c r="CLA46" s="672"/>
      <c r="CLB46" s="672"/>
      <c r="CLC46" s="672"/>
      <c r="CLD46" s="672"/>
      <c r="CLE46" s="672"/>
      <c r="CLF46" s="672"/>
      <c r="CLG46" s="672"/>
      <c r="CLH46" s="672"/>
      <c r="CLI46" s="672"/>
      <c r="CLJ46" s="672"/>
      <c r="CLK46" s="672"/>
      <c r="CLL46" s="672"/>
      <c r="CLM46" s="672"/>
      <c r="CLN46" s="672"/>
      <c r="CLO46" s="672"/>
      <c r="CLP46" s="672"/>
      <c r="CLQ46" s="672"/>
      <c r="CLR46" s="672"/>
      <c r="CLS46" s="672"/>
      <c r="CLT46" s="672"/>
      <c r="CLU46" s="672"/>
      <c r="CLV46" s="672"/>
      <c r="CLW46" s="672"/>
      <c r="CLX46" s="672"/>
      <c r="CLY46" s="672"/>
      <c r="CLZ46" s="672"/>
      <c r="CMA46" s="672"/>
      <c r="CMB46" s="672"/>
      <c r="CMC46" s="672"/>
      <c r="CMD46" s="672"/>
      <c r="CME46" s="672"/>
      <c r="CMF46" s="672"/>
      <c r="CMG46" s="672"/>
      <c r="CMH46" s="672"/>
      <c r="CMI46" s="672"/>
      <c r="CMJ46" s="672"/>
      <c r="CMK46" s="672"/>
      <c r="CML46" s="672"/>
      <c r="CMM46" s="672"/>
      <c r="CMN46" s="672"/>
      <c r="CMO46" s="672"/>
      <c r="CMP46" s="672"/>
      <c r="CMQ46" s="672"/>
      <c r="CMR46" s="672"/>
      <c r="CMS46" s="672"/>
      <c r="CMT46" s="672"/>
      <c r="CMU46" s="672"/>
      <c r="CMV46" s="672"/>
      <c r="CMW46" s="672"/>
      <c r="CMX46" s="672"/>
      <c r="CMY46" s="672"/>
      <c r="CMZ46" s="672"/>
      <c r="CNA46" s="672"/>
      <c r="CNB46" s="672"/>
      <c r="CNC46" s="672"/>
      <c r="CND46" s="672"/>
      <c r="CNE46" s="672"/>
      <c r="CNF46" s="672"/>
      <c r="CNG46" s="672"/>
      <c r="CNH46" s="672"/>
      <c r="CNI46" s="672"/>
      <c r="CNJ46" s="672"/>
      <c r="CNK46" s="672"/>
      <c r="CNL46" s="672"/>
      <c r="CNM46" s="672"/>
      <c r="CNN46" s="672"/>
      <c r="CNO46" s="672"/>
      <c r="CNP46" s="672"/>
      <c r="CNQ46" s="672"/>
      <c r="CNR46" s="672"/>
      <c r="CNS46" s="672"/>
      <c r="CNT46" s="672"/>
      <c r="CNU46" s="672"/>
      <c r="CNV46" s="672"/>
      <c r="CNW46" s="672"/>
      <c r="CNX46" s="672"/>
      <c r="CNY46" s="672"/>
      <c r="CNZ46" s="672"/>
      <c r="COA46" s="672"/>
      <c r="COB46" s="672"/>
      <c r="COC46" s="672"/>
      <c r="COD46" s="672"/>
      <c r="COE46" s="672"/>
      <c r="COF46" s="672"/>
      <c r="COG46" s="672"/>
      <c r="COH46" s="672"/>
      <c r="COI46" s="672"/>
      <c r="COJ46" s="672"/>
      <c r="COK46" s="672"/>
      <c r="COL46" s="672"/>
      <c r="COM46" s="672"/>
      <c r="CON46" s="672"/>
      <c r="COO46" s="672"/>
      <c r="COP46" s="672"/>
      <c r="COQ46" s="672"/>
      <c r="COR46" s="672"/>
      <c r="COS46" s="672"/>
      <c r="COT46" s="672"/>
      <c r="COU46" s="672"/>
      <c r="COV46" s="672"/>
      <c r="COW46" s="672"/>
      <c r="COX46" s="672"/>
      <c r="COY46" s="672"/>
      <c r="COZ46" s="672"/>
      <c r="CPA46" s="672"/>
      <c r="CPB46" s="672"/>
      <c r="CPC46" s="672"/>
      <c r="CPD46" s="672"/>
      <c r="CPE46" s="672"/>
      <c r="CPF46" s="672"/>
      <c r="CPG46" s="672"/>
      <c r="CPH46" s="672"/>
      <c r="CPI46" s="672"/>
      <c r="CPJ46" s="672"/>
      <c r="CPK46" s="672"/>
      <c r="CPL46" s="672"/>
      <c r="CPM46" s="672"/>
      <c r="CPN46" s="672"/>
      <c r="CPO46" s="672"/>
      <c r="CPP46" s="672"/>
      <c r="CPQ46" s="672"/>
      <c r="CPR46" s="672"/>
      <c r="CPS46" s="672"/>
      <c r="CPT46" s="672"/>
      <c r="CPU46" s="672"/>
      <c r="CPV46" s="672"/>
      <c r="CPW46" s="672"/>
      <c r="CPX46" s="672"/>
      <c r="CPY46" s="672"/>
      <c r="CPZ46" s="672"/>
      <c r="CQA46" s="672"/>
      <c r="CQB46" s="672"/>
      <c r="CQC46" s="672"/>
      <c r="CQD46" s="672"/>
      <c r="CQE46" s="672"/>
      <c r="CQF46" s="672"/>
      <c r="CQG46" s="672"/>
      <c r="CQH46" s="672"/>
      <c r="CQI46" s="672"/>
      <c r="CQJ46" s="672"/>
      <c r="CQK46" s="672"/>
      <c r="CQL46" s="672"/>
      <c r="CQM46" s="672"/>
      <c r="CQN46" s="672"/>
      <c r="CQO46" s="672"/>
      <c r="CQP46" s="672"/>
      <c r="CQQ46" s="672"/>
      <c r="CQR46" s="672"/>
      <c r="CQS46" s="672"/>
      <c r="CQT46" s="672"/>
      <c r="CQU46" s="672"/>
      <c r="CQV46" s="672"/>
      <c r="CQW46" s="672"/>
      <c r="CQX46" s="672"/>
      <c r="CQY46" s="672"/>
      <c r="CQZ46" s="672"/>
      <c r="CRA46" s="672"/>
      <c r="CRB46" s="672"/>
      <c r="CRC46" s="672"/>
      <c r="CRD46" s="672"/>
      <c r="CRE46" s="672"/>
      <c r="CRF46" s="672"/>
      <c r="CRG46" s="672"/>
      <c r="CRH46" s="672"/>
      <c r="CRI46" s="672"/>
      <c r="CRJ46" s="672"/>
      <c r="CRK46" s="672"/>
      <c r="CRL46" s="672"/>
      <c r="CRM46" s="672"/>
      <c r="CRN46" s="672"/>
      <c r="CRO46" s="672"/>
      <c r="CRP46" s="672"/>
      <c r="CRQ46" s="672"/>
      <c r="CRR46" s="672"/>
      <c r="CRS46" s="672"/>
      <c r="CRT46" s="672"/>
      <c r="CRU46" s="672"/>
      <c r="CRV46" s="672"/>
      <c r="CRW46" s="672"/>
      <c r="CRX46" s="672"/>
      <c r="CRY46" s="672"/>
      <c r="CRZ46" s="672"/>
      <c r="CSA46" s="672"/>
      <c r="CSB46" s="672"/>
      <c r="CSC46" s="672"/>
      <c r="CSD46" s="672"/>
      <c r="CSE46" s="672"/>
      <c r="CSF46" s="672"/>
      <c r="CSG46" s="672"/>
      <c r="CSH46" s="672"/>
      <c r="CSI46" s="672"/>
      <c r="CSJ46" s="672"/>
      <c r="CSK46" s="672"/>
      <c r="CSL46" s="672"/>
      <c r="CSM46" s="672"/>
      <c r="CSN46" s="672"/>
      <c r="CSO46" s="672"/>
      <c r="CSP46" s="672"/>
      <c r="CSQ46" s="672"/>
      <c r="CSR46" s="672"/>
      <c r="CSS46" s="672"/>
      <c r="CST46" s="672"/>
      <c r="CSU46" s="672"/>
      <c r="CSV46" s="672"/>
      <c r="CSW46" s="672"/>
      <c r="CSX46" s="672"/>
      <c r="CSY46" s="672"/>
      <c r="CSZ46" s="672"/>
      <c r="CTA46" s="672"/>
      <c r="CTB46" s="672"/>
      <c r="CTC46" s="672"/>
      <c r="CTD46" s="672"/>
      <c r="CTE46" s="672"/>
      <c r="CTF46" s="672"/>
      <c r="CTG46" s="672"/>
      <c r="CTH46" s="672"/>
      <c r="CTI46" s="672"/>
      <c r="CTJ46" s="672"/>
      <c r="CTK46" s="672"/>
      <c r="CTL46" s="672"/>
      <c r="CTM46" s="672"/>
      <c r="CTN46" s="672"/>
      <c r="CTO46" s="672"/>
      <c r="CTP46" s="672"/>
      <c r="CTQ46" s="672"/>
      <c r="CTR46" s="672"/>
      <c r="CTS46" s="672"/>
      <c r="CTT46" s="672"/>
      <c r="CTU46" s="672"/>
      <c r="CTV46" s="672"/>
      <c r="CTW46" s="672"/>
      <c r="CTX46" s="672"/>
      <c r="CTY46" s="672"/>
      <c r="CTZ46" s="672"/>
      <c r="CUA46" s="672"/>
      <c r="CUB46" s="672"/>
      <c r="CUC46" s="672"/>
      <c r="CUD46" s="672"/>
      <c r="CUE46" s="672"/>
      <c r="CUF46" s="672"/>
      <c r="CUG46" s="672"/>
      <c r="CUH46" s="672"/>
      <c r="CUI46" s="672"/>
      <c r="CUJ46" s="672"/>
      <c r="CUK46" s="672"/>
      <c r="CUL46" s="672"/>
      <c r="CUM46" s="672"/>
      <c r="CUN46" s="672"/>
      <c r="CUO46" s="672"/>
      <c r="CUP46" s="672"/>
      <c r="CUQ46" s="672"/>
      <c r="CUR46" s="672"/>
      <c r="CUS46" s="672"/>
      <c r="CUT46" s="672"/>
      <c r="CUU46" s="672"/>
      <c r="CUV46" s="672"/>
      <c r="CUW46" s="672"/>
      <c r="CUX46" s="672"/>
      <c r="CUY46" s="672"/>
      <c r="CUZ46" s="672"/>
      <c r="CVA46" s="672"/>
      <c r="CVB46" s="672"/>
      <c r="CVC46" s="672"/>
      <c r="CVD46" s="672"/>
      <c r="CVE46" s="672"/>
      <c r="CVF46" s="672"/>
      <c r="CVG46" s="672"/>
      <c r="CVH46" s="672"/>
      <c r="CVI46" s="672"/>
      <c r="CVJ46" s="672"/>
      <c r="CVK46" s="672"/>
      <c r="CVL46" s="672"/>
      <c r="CVM46" s="672"/>
      <c r="CVN46" s="672"/>
      <c r="CVO46" s="672"/>
      <c r="CVP46" s="672"/>
      <c r="CVQ46" s="672"/>
      <c r="CVR46" s="672"/>
      <c r="CVS46" s="672"/>
      <c r="CVT46" s="672"/>
      <c r="CVU46" s="672"/>
      <c r="CVV46" s="672"/>
      <c r="CVW46" s="672"/>
      <c r="CVX46" s="672"/>
      <c r="CVY46" s="672"/>
      <c r="CVZ46" s="672"/>
      <c r="CWA46" s="672"/>
      <c r="CWB46" s="672"/>
      <c r="CWC46" s="672"/>
      <c r="CWD46" s="672"/>
      <c r="CWE46" s="672"/>
      <c r="CWF46" s="672"/>
      <c r="CWG46" s="672"/>
      <c r="CWH46" s="672"/>
      <c r="CWI46" s="672"/>
      <c r="CWJ46" s="672"/>
      <c r="CWK46" s="672"/>
      <c r="CWL46" s="672"/>
      <c r="CWM46" s="672"/>
      <c r="CWN46" s="672"/>
      <c r="CWO46" s="672"/>
      <c r="CWP46" s="672"/>
      <c r="CWQ46" s="672"/>
      <c r="CWR46" s="672"/>
      <c r="CWS46" s="672"/>
      <c r="CWT46" s="672"/>
      <c r="CWU46" s="672"/>
      <c r="CWV46" s="672"/>
      <c r="CWW46" s="672"/>
      <c r="CWX46" s="672"/>
      <c r="CWY46" s="672"/>
      <c r="CWZ46" s="672"/>
      <c r="CXA46" s="672"/>
      <c r="CXB46" s="672"/>
      <c r="CXC46" s="672"/>
      <c r="CXD46" s="672"/>
      <c r="CXE46" s="672"/>
      <c r="CXF46" s="672"/>
      <c r="CXG46" s="672"/>
      <c r="CXH46" s="672"/>
      <c r="CXI46" s="672"/>
      <c r="CXJ46" s="672"/>
      <c r="CXK46" s="672"/>
      <c r="CXL46" s="672"/>
      <c r="CXM46" s="672"/>
      <c r="CXN46" s="672"/>
      <c r="CXO46" s="672"/>
      <c r="CXP46" s="672"/>
      <c r="CXQ46" s="672"/>
      <c r="CXR46" s="672"/>
      <c r="CXS46" s="672"/>
      <c r="CXT46" s="672"/>
      <c r="CXU46" s="672"/>
      <c r="CXV46" s="672"/>
      <c r="CXW46" s="672"/>
      <c r="CXX46" s="672"/>
      <c r="CXY46" s="672"/>
      <c r="CXZ46" s="672"/>
      <c r="CYA46" s="672"/>
      <c r="CYB46" s="672"/>
      <c r="CYC46" s="672"/>
      <c r="CYD46" s="672"/>
      <c r="CYE46" s="672"/>
      <c r="CYF46" s="672"/>
      <c r="CYG46" s="672"/>
      <c r="CYH46" s="672"/>
      <c r="CYI46" s="672"/>
      <c r="CYJ46" s="672"/>
      <c r="CYK46" s="672"/>
      <c r="CYL46" s="672"/>
      <c r="CYM46" s="672"/>
      <c r="CYN46" s="672"/>
      <c r="CYO46" s="672"/>
      <c r="CYP46" s="672"/>
      <c r="CYQ46" s="672"/>
      <c r="CYR46" s="672"/>
      <c r="CYS46" s="672"/>
      <c r="CYT46" s="672"/>
      <c r="CYU46" s="672"/>
      <c r="CYV46" s="672"/>
      <c r="CYW46" s="672"/>
      <c r="CYX46" s="672"/>
      <c r="CYY46" s="672"/>
      <c r="CYZ46" s="672"/>
      <c r="CZA46" s="672"/>
      <c r="CZB46" s="672"/>
      <c r="CZC46" s="672"/>
      <c r="CZD46" s="672"/>
      <c r="CZE46" s="672"/>
      <c r="CZF46" s="672"/>
      <c r="CZG46" s="672"/>
      <c r="CZH46" s="672"/>
      <c r="CZI46" s="672"/>
      <c r="CZJ46" s="672"/>
      <c r="CZK46" s="672"/>
      <c r="CZL46" s="672"/>
      <c r="CZM46" s="672"/>
      <c r="CZN46" s="672"/>
      <c r="CZO46" s="672"/>
      <c r="CZP46" s="672"/>
      <c r="CZQ46" s="672"/>
      <c r="CZR46" s="672"/>
      <c r="CZS46" s="672"/>
      <c r="CZT46" s="672"/>
      <c r="CZU46" s="672"/>
      <c r="CZV46" s="672"/>
      <c r="CZW46" s="672"/>
      <c r="CZX46" s="672"/>
      <c r="CZY46" s="672"/>
      <c r="CZZ46" s="672"/>
      <c r="DAA46" s="672"/>
      <c r="DAB46" s="672"/>
      <c r="DAC46" s="672"/>
      <c r="DAD46" s="672"/>
      <c r="DAE46" s="672"/>
      <c r="DAF46" s="672"/>
      <c r="DAG46" s="672"/>
      <c r="DAH46" s="672"/>
      <c r="DAI46" s="672"/>
      <c r="DAJ46" s="672"/>
      <c r="DAK46" s="672"/>
      <c r="DAL46" s="672"/>
      <c r="DAM46" s="672"/>
      <c r="DAN46" s="672"/>
      <c r="DAO46" s="672"/>
      <c r="DAP46" s="672"/>
      <c r="DAQ46" s="672"/>
      <c r="DAR46" s="672"/>
      <c r="DAS46" s="672"/>
      <c r="DAT46" s="672"/>
      <c r="DAU46" s="672"/>
      <c r="DAV46" s="672"/>
      <c r="DAW46" s="672"/>
      <c r="DAX46" s="672"/>
      <c r="DAY46" s="672"/>
      <c r="DAZ46" s="672"/>
      <c r="DBA46" s="672"/>
      <c r="DBB46" s="672"/>
      <c r="DBC46" s="672"/>
      <c r="DBD46" s="672"/>
      <c r="DBE46" s="672"/>
      <c r="DBF46" s="672"/>
      <c r="DBG46" s="672"/>
      <c r="DBH46" s="672"/>
      <c r="DBI46" s="672"/>
      <c r="DBJ46" s="672"/>
      <c r="DBK46" s="672"/>
      <c r="DBL46" s="672"/>
      <c r="DBM46" s="672"/>
      <c r="DBN46" s="672"/>
      <c r="DBO46" s="672"/>
      <c r="DBP46" s="672"/>
      <c r="DBQ46" s="672"/>
      <c r="DBR46" s="672"/>
      <c r="DBS46" s="672"/>
      <c r="DBT46" s="672"/>
      <c r="DBU46" s="672"/>
      <c r="DBV46" s="672"/>
      <c r="DBW46" s="672"/>
      <c r="DBX46" s="672"/>
      <c r="DBY46" s="672"/>
      <c r="DBZ46" s="672"/>
      <c r="DCA46" s="672"/>
      <c r="DCB46" s="672"/>
      <c r="DCC46" s="672"/>
      <c r="DCD46" s="672"/>
      <c r="DCE46" s="672"/>
      <c r="DCF46" s="672"/>
      <c r="DCG46" s="672"/>
      <c r="DCH46" s="672"/>
      <c r="DCI46" s="672"/>
      <c r="DCJ46" s="672"/>
      <c r="DCK46" s="672"/>
      <c r="DCL46" s="672"/>
      <c r="DCM46" s="672"/>
      <c r="DCN46" s="672"/>
      <c r="DCO46" s="672"/>
      <c r="DCP46" s="672"/>
      <c r="DCQ46" s="672"/>
      <c r="DCR46" s="672"/>
      <c r="DCS46" s="672"/>
      <c r="DCT46" s="672"/>
      <c r="DCU46" s="672"/>
      <c r="DCV46" s="672"/>
      <c r="DCW46" s="672"/>
      <c r="DCX46" s="672"/>
      <c r="DCY46" s="672"/>
      <c r="DCZ46" s="672"/>
      <c r="DDA46" s="672"/>
      <c r="DDB46" s="672"/>
      <c r="DDC46" s="672"/>
      <c r="DDD46" s="672"/>
      <c r="DDE46" s="672"/>
      <c r="DDF46" s="672"/>
      <c r="DDG46" s="672"/>
      <c r="DDH46" s="672"/>
      <c r="DDI46" s="672"/>
      <c r="DDJ46" s="672"/>
      <c r="DDK46" s="672"/>
      <c r="DDL46" s="672"/>
      <c r="DDM46" s="672"/>
      <c r="DDN46" s="672"/>
      <c r="DDO46" s="672"/>
      <c r="DDP46" s="672"/>
      <c r="DDQ46" s="672"/>
      <c r="DDR46" s="672"/>
      <c r="DDS46" s="672"/>
      <c r="DDT46" s="672"/>
      <c r="DDU46" s="672"/>
      <c r="DDV46" s="672"/>
      <c r="DDW46" s="672"/>
      <c r="DDX46" s="672"/>
      <c r="DDY46" s="672"/>
      <c r="DDZ46" s="672"/>
      <c r="DEA46" s="672"/>
      <c r="DEB46" s="672"/>
      <c r="DEC46" s="672"/>
      <c r="DED46" s="672"/>
      <c r="DEE46" s="672"/>
      <c r="DEF46" s="672"/>
      <c r="DEG46" s="672"/>
      <c r="DEH46" s="672"/>
      <c r="DEI46" s="672"/>
      <c r="DEJ46" s="672"/>
      <c r="DEK46" s="672"/>
      <c r="DEL46" s="672"/>
      <c r="DEM46" s="672"/>
      <c r="DEN46" s="672"/>
      <c r="DEO46" s="672"/>
      <c r="DEP46" s="672"/>
      <c r="DEQ46" s="672"/>
      <c r="DER46" s="672"/>
      <c r="DES46" s="672"/>
      <c r="DET46" s="672"/>
      <c r="DEU46" s="672"/>
      <c r="DEV46" s="672"/>
      <c r="DEW46" s="672"/>
      <c r="DEX46" s="672"/>
      <c r="DEY46" s="672"/>
      <c r="DEZ46" s="672"/>
      <c r="DFA46" s="672"/>
      <c r="DFB46" s="672"/>
      <c r="DFC46" s="672"/>
      <c r="DFD46" s="672"/>
      <c r="DFE46" s="672"/>
      <c r="DFF46" s="672"/>
      <c r="DFG46" s="672"/>
      <c r="DFH46" s="672"/>
      <c r="DFI46" s="672"/>
      <c r="DFJ46" s="672"/>
      <c r="DFK46" s="672"/>
      <c r="DFL46" s="672"/>
      <c r="DFM46" s="672"/>
      <c r="DFN46" s="672"/>
      <c r="DFO46" s="672"/>
      <c r="DFP46" s="672"/>
      <c r="DFQ46" s="672"/>
      <c r="DFR46" s="672"/>
      <c r="DFS46" s="672"/>
      <c r="DFT46" s="672"/>
      <c r="DFU46" s="672"/>
      <c r="DFV46" s="672"/>
      <c r="DFW46" s="672"/>
      <c r="DFX46" s="672"/>
      <c r="DFY46" s="672"/>
      <c r="DFZ46" s="672"/>
      <c r="DGA46" s="672"/>
      <c r="DGB46" s="672"/>
      <c r="DGC46" s="672"/>
      <c r="DGD46" s="672"/>
      <c r="DGE46" s="672"/>
      <c r="DGF46" s="672"/>
      <c r="DGG46" s="672"/>
      <c r="DGH46" s="672"/>
      <c r="DGI46" s="672"/>
      <c r="DGJ46" s="672"/>
      <c r="DGK46" s="672"/>
      <c r="DGL46" s="672"/>
      <c r="DGM46" s="672"/>
      <c r="DGN46" s="672"/>
      <c r="DGO46" s="672"/>
      <c r="DGP46" s="672"/>
      <c r="DGQ46" s="672"/>
      <c r="DGR46" s="672"/>
      <c r="DGS46" s="672"/>
      <c r="DGT46" s="672"/>
      <c r="DGU46" s="672"/>
      <c r="DGV46" s="672"/>
      <c r="DGW46" s="672"/>
      <c r="DGX46" s="672"/>
      <c r="DGY46" s="672"/>
      <c r="DGZ46" s="672"/>
      <c r="DHA46" s="672"/>
      <c r="DHB46" s="672"/>
      <c r="DHC46" s="672"/>
      <c r="DHD46" s="672"/>
      <c r="DHE46" s="672"/>
      <c r="DHF46" s="672"/>
      <c r="DHG46" s="672"/>
      <c r="DHH46" s="672"/>
      <c r="DHI46" s="672"/>
      <c r="DHJ46" s="672"/>
      <c r="DHK46" s="672"/>
      <c r="DHL46" s="672"/>
      <c r="DHM46" s="672"/>
      <c r="DHN46" s="672"/>
      <c r="DHO46" s="672"/>
      <c r="DHP46" s="672"/>
      <c r="DHQ46" s="672"/>
      <c r="DHR46" s="672"/>
      <c r="DHS46" s="672"/>
      <c r="DHT46" s="672"/>
      <c r="DHU46" s="672"/>
      <c r="DHV46" s="672"/>
      <c r="DHW46" s="672"/>
      <c r="DHX46" s="672"/>
      <c r="DHY46" s="672"/>
      <c r="DHZ46" s="672"/>
      <c r="DIA46" s="672"/>
      <c r="DIB46" s="672"/>
      <c r="DIC46" s="672"/>
      <c r="DID46" s="672"/>
      <c r="DIE46" s="672"/>
      <c r="DIF46" s="672"/>
      <c r="DIG46" s="672"/>
      <c r="DIH46" s="672"/>
      <c r="DII46" s="672"/>
      <c r="DIJ46" s="672"/>
      <c r="DIK46" s="672"/>
      <c r="DIL46" s="672"/>
      <c r="DIM46" s="672"/>
      <c r="DIN46" s="672"/>
      <c r="DIO46" s="672"/>
      <c r="DIP46" s="672"/>
      <c r="DIQ46" s="672"/>
      <c r="DIR46" s="672"/>
      <c r="DIS46" s="672"/>
      <c r="DIT46" s="672"/>
      <c r="DIU46" s="672"/>
      <c r="DIV46" s="672"/>
      <c r="DIW46" s="672"/>
      <c r="DIX46" s="672"/>
      <c r="DIY46" s="672"/>
      <c r="DIZ46" s="672"/>
      <c r="DJA46" s="672"/>
      <c r="DJB46" s="672"/>
      <c r="DJC46" s="672"/>
      <c r="DJD46" s="672"/>
      <c r="DJE46" s="672"/>
      <c r="DJF46" s="672"/>
      <c r="DJG46" s="672"/>
      <c r="DJH46" s="672"/>
      <c r="DJI46" s="672"/>
      <c r="DJJ46" s="672"/>
      <c r="DJK46" s="672"/>
      <c r="DJL46" s="672"/>
      <c r="DJM46" s="672"/>
      <c r="DJN46" s="672"/>
      <c r="DJO46" s="672"/>
      <c r="DJP46" s="672"/>
      <c r="DJQ46" s="672"/>
      <c r="DJR46" s="672"/>
      <c r="DJS46" s="672"/>
      <c r="DJT46" s="672"/>
      <c r="DJU46" s="672"/>
      <c r="DJV46" s="672"/>
      <c r="DJW46" s="672"/>
      <c r="DJX46" s="672"/>
      <c r="DJY46" s="672"/>
      <c r="DJZ46" s="672"/>
      <c r="DKA46" s="672"/>
      <c r="DKB46" s="672"/>
      <c r="DKC46" s="672"/>
      <c r="DKD46" s="672"/>
      <c r="DKE46" s="672"/>
      <c r="DKF46" s="672"/>
      <c r="DKG46" s="672"/>
      <c r="DKH46" s="672"/>
      <c r="DKI46" s="672"/>
      <c r="DKJ46" s="672"/>
      <c r="DKK46" s="672"/>
      <c r="DKL46" s="672"/>
      <c r="DKM46" s="672"/>
      <c r="DKN46" s="672"/>
      <c r="DKO46" s="672"/>
      <c r="DKP46" s="672"/>
      <c r="DKQ46" s="672"/>
      <c r="DKR46" s="672"/>
      <c r="DKS46" s="672"/>
      <c r="DKT46" s="672"/>
      <c r="DKU46" s="672"/>
      <c r="DKV46" s="672"/>
      <c r="DKW46" s="672"/>
      <c r="DKX46" s="672"/>
      <c r="DKY46" s="672"/>
      <c r="DKZ46" s="672"/>
      <c r="DLA46" s="672"/>
      <c r="DLB46" s="672"/>
      <c r="DLC46" s="672"/>
      <c r="DLD46" s="672"/>
      <c r="DLE46" s="672"/>
      <c r="DLF46" s="672"/>
      <c r="DLG46" s="672"/>
      <c r="DLH46" s="672"/>
      <c r="DLI46" s="672"/>
      <c r="DLJ46" s="672"/>
      <c r="DLK46" s="672"/>
      <c r="DLL46" s="672"/>
      <c r="DLM46" s="672"/>
      <c r="DLN46" s="672"/>
      <c r="DLO46" s="672"/>
      <c r="DLP46" s="672"/>
      <c r="DLQ46" s="672"/>
      <c r="DLR46" s="672"/>
      <c r="DLS46" s="672"/>
      <c r="DLT46" s="672"/>
      <c r="DLU46" s="672"/>
      <c r="DLV46" s="672"/>
      <c r="DLW46" s="672"/>
      <c r="DLX46" s="672"/>
      <c r="DLY46" s="672"/>
      <c r="DLZ46" s="672"/>
      <c r="DMA46" s="672"/>
      <c r="DMB46" s="672"/>
      <c r="DMC46" s="672"/>
      <c r="DMD46" s="672"/>
      <c r="DME46" s="672"/>
      <c r="DMF46" s="672"/>
      <c r="DMG46" s="672"/>
      <c r="DMH46" s="672"/>
      <c r="DMI46" s="672"/>
      <c r="DMJ46" s="672"/>
      <c r="DMK46" s="672"/>
      <c r="DML46" s="672"/>
      <c r="DMM46" s="672"/>
      <c r="DMN46" s="672"/>
      <c r="DMO46" s="672"/>
      <c r="DMP46" s="672"/>
      <c r="DMQ46" s="672"/>
      <c r="DMR46" s="672"/>
      <c r="DMS46" s="672"/>
      <c r="DMT46" s="672"/>
      <c r="DMU46" s="672"/>
      <c r="DMV46" s="672"/>
      <c r="DMW46" s="672"/>
      <c r="DMX46" s="672"/>
      <c r="DMY46" s="672"/>
      <c r="DMZ46" s="672"/>
      <c r="DNA46" s="672"/>
      <c r="DNB46" s="672"/>
      <c r="DNC46" s="672"/>
      <c r="DND46" s="672"/>
      <c r="DNE46" s="672"/>
      <c r="DNF46" s="672"/>
      <c r="DNG46" s="672"/>
      <c r="DNH46" s="672"/>
      <c r="DNI46" s="672"/>
      <c r="DNJ46" s="672"/>
      <c r="DNK46" s="672"/>
      <c r="DNL46" s="672"/>
      <c r="DNM46" s="672"/>
      <c r="DNN46" s="672"/>
      <c r="DNO46" s="672"/>
      <c r="DNP46" s="672"/>
      <c r="DNQ46" s="672"/>
      <c r="DNR46" s="672"/>
      <c r="DNS46" s="672"/>
      <c r="DNT46" s="672"/>
      <c r="DNU46" s="672"/>
      <c r="DNV46" s="672"/>
      <c r="DNW46" s="672"/>
      <c r="DNX46" s="672"/>
      <c r="DNY46" s="672"/>
      <c r="DNZ46" s="672"/>
      <c r="DOA46" s="672"/>
      <c r="DOB46" s="672"/>
      <c r="DOC46" s="672"/>
      <c r="DOD46" s="672"/>
      <c r="DOE46" s="672"/>
      <c r="DOF46" s="672"/>
      <c r="DOG46" s="672"/>
      <c r="DOH46" s="672"/>
      <c r="DOI46" s="672"/>
      <c r="DOJ46" s="672"/>
      <c r="DOK46" s="672"/>
      <c r="DOL46" s="672"/>
      <c r="DOM46" s="672"/>
      <c r="DON46" s="672"/>
      <c r="DOO46" s="672"/>
      <c r="DOP46" s="672"/>
      <c r="DOQ46" s="672"/>
      <c r="DOR46" s="672"/>
      <c r="DOS46" s="672"/>
      <c r="DOT46" s="672"/>
      <c r="DOU46" s="672"/>
      <c r="DOV46" s="672"/>
      <c r="DOW46" s="672"/>
      <c r="DOX46" s="672"/>
      <c r="DOY46" s="672"/>
      <c r="DOZ46" s="672"/>
      <c r="DPA46" s="672"/>
      <c r="DPB46" s="672"/>
      <c r="DPC46" s="672"/>
      <c r="DPD46" s="672"/>
      <c r="DPE46" s="672"/>
      <c r="DPF46" s="672"/>
      <c r="DPG46" s="672"/>
      <c r="DPH46" s="672"/>
      <c r="DPI46" s="672"/>
      <c r="DPJ46" s="672"/>
      <c r="DPK46" s="672"/>
      <c r="DPL46" s="672"/>
      <c r="DPM46" s="672"/>
      <c r="DPN46" s="672"/>
      <c r="DPO46" s="672"/>
      <c r="DPP46" s="672"/>
      <c r="DPQ46" s="672"/>
      <c r="DPR46" s="672"/>
      <c r="DPS46" s="672"/>
      <c r="DPT46" s="672"/>
      <c r="DPU46" s="672"/>
      <c r="DPV46" s="672"/>
      <c r="DPW46" s="672"/>
      <c r="DPX46" s="672"/>
      <c r="DPY46" s="672"/>
      <c r="DPZ46" s="672"/>
      <c r="DQA46" s="672"/>
      <c r="DQB46" s="672"/>
      <c r="DQC46" s="672"/>
      <c r="DQD46" s="672"/>
      <c r="DQE46" s="672"/>
      <c r="DQF46" s="672"/>
      <c r="DQG46" s="672"/>
      <c r="DQH46" s="672"/>
      <c r="DQI46" s="672"/>
      <c r="DQJ46" s="672"/>
      <c r="DQK46" s="672"/>
      <c r="DQL46" s="672"/>
      <c r="DQM46" s="672"/>
      <c r="DQN46" s="672"/>
      <c r="DQO46" s="672"/>
      <c r="DQP46" s="672"/>
      <c r="DQQ46" s="672"/>
      <c r="DQR46" s="672"/>
      <c r="DQS46" s="672"/>
      <c r="DQT46" s="672"/>
      <c r="DQU46" s="672"/>
      <c r="DQV46" s="672"/>
      <c r="DQW46" s="672"/>
      <c r="DQX46" s="672"/>
      <c r="DQY46" s="672"/>
      <c r="DQZ46" s="672"/>
      <c r="DRA46" s="672"/>
      <c r="DRB46" s="672"/>
      <c r="DRC46" s="672"/>
      <c r="DRD46" s="672"/>
      <c r="DRE46" s="672"/>
      <c r="DRF46" s="672"/>
      <c r="DRG46" s="672"/>
      <c r="DRH46" s="672"/>
      <c r="DRI46" s="672"/>
      <c r="DRJ46" s="672"/>
      <c r="DRK46" s="672"/>
      <c r="DRL46" s="672"/>
      <c r="DRM46" s="672"/>
      <c r="DRN46" s="672"/>
      <c r="DRO46" s="672"/>
      <c r="DRP46" s="672"/>
      <c r="DRQ46" s="672"/>
      <c r="DRR46" s="672"/>
      <c r="DRS46" s="672"/>
      <c r="DRT46" s="672"/>
      <c r="DRU46" s="672"/>
      <c r="DRV46" s="672"/>
      <c r="DRW46" s="672"/>
      <c r="DRX46" s="672"/>
      <c r="DRY46" s="672"/>
      <c r="DRZ46" s="672"/>
      <c r="DSA46" s="672"/>
      <c r="DSB46" s="672"/>
      <c r="DSC46" s="672"/>
      <c r="DSD46" s="672"/>
      <c r="DSE46" s="672"/>
      <c r="DSF46" s="672"/>
      <c r="DSG46" s="672"/>
      <c r="DSH46" s="672"/>
      <c r="DSI46" s="672"/>
      <c r="DSJ46" s="672"/>
      <c r="DSK46" s="672"/>
      <c r="DSL46" s="672"/>
      <c r="DSM46" s="672"/>
      <c r="DSN46" s="672"/>
      <c r="DSO46" s="672"/>
      <c r="DSP46" s="672"/>
      <c r="DSQ46" s="672"/>
      <c r="DSR46" s="672"/>
      <c r="DSS46" s="672"/>
      <c r="DST46" s="672"/>
      <c r="DSU46" s="672"/>
      <c r="DSV46" s="672"/>
      <c r="DSW46" s="672"/>
      <c r="DSX46" s="672"/>
      <c r="DSY46" s="672"/>
      <c r="DSZ46" s="672"/>
      <c r="DTA46" s="672"/>
      <c r="DTB46" s="672"/>
      <c r="DTC46" s="672"/>
      <c r="DTD46" s="672"/>
      <c r="DTE46" s="672"/>
      <c r="DTF46" s="672"/>
      <c r="DTG46" s="672"/>
      <c r="DTH46" s="672"/>
      <c r="DTI46" s="672"/>
      <c r="DTJ46" s="672"/>
      <c r="DTK46" s="672"/>
      <c r="DTL46" s="672"/>
      <c r="DTM46" s="672"/>
      <c r="DTN46" s="672"/>
      <c r="DTO46" s="672"/>
      <c r="DTP46" s="672"/>
      <c r="DTQ46" s="672"/>
      <c r="DTR46" s="672"/>
      <c r="DTS46" s="672"/>
      <c r="DTT46" s="672"/>
      <c r="DTU46" s="672"/>
      <c r="DTV46" s="672"/>
      <c r="DTW46" s="672"/>
      <c r="DTX46" s="672"/>
      <c r="DTY46" s="672"/>
      <c r="DTZ46" s="672"/>
      <c r="DUA46" s="672"/>
      <c r="DUB46" s="672"/>
      <c r="DUC46" s="672"/>
      <c r="DUD46" s="672"/>
      <c r="DUE46" s="672"/>
      <c r="DUF46" s="672"/>
      <c r="DUG46" s="672"/>
      <c r="DUH46" s="672"/>
      <c r="DUI46" s="672"/>
      <c r="DUJ46" s="672"/>
      <c r="DUK46" s="672"/>
      <c r="DUL46" s="672"/>
      <c r="DUM46" s="672"/>
      <c r="DUN46" s="672"/>
      <c r="DUO46" s="672"/>
      <c r="DUP46" s="672"/>
      <c r="DUQ46" s="672"/>
      <c r="DUR46" s="672"/>
      <c r="DUS46" s="672"/>
      <c r="DUT46" s="672"/>
      <c r="DUU46" s="672"/>
      <c r="DUV46" s="672"/>
      <c r="DUW46" s="672"/>
      <c r="DUX46" s="672"/>
      <c r="DUY46" s="672"/>
      <c r="DUZ46" s="672"/>
      <c r="DVA46" s="672"/>
      <c r="DVB46" s="672"/>
      <c r="DVC46" s="672"/>
      <c r="DVD46" s="672"/>
      <c r="DVE46" s="672"/>
      <c r="DVF46" s="672"/>
      <c r="DVG46" s="672"/>
      <c r="DVH46" s="672"/>
      <c r="DVI46" s="672"/>
      <c r="DVJ46" s="672"/>
      <c r="DVK46" s="672"/>
      <c r="DVL46" s="672"/>
      <c r="DVM46" s="672"/>
      <c r="DVN46" s="672"/>
      <c r="DVO46" s="672"/>
      <c r="DVP46" s="672"/>
      <c r="DVQ46" s="672"/>
      <c r="DVR46" s="672"/>
      <c r="DVS46" s="672"/>
      <c r="DVT46" s="672"/>
      <c r="DVU46" s="672"/>
      <c r="DVV46" s="672"/>
      <c r="DVW46" s="672"/>
      <c r="DVX46" s="672"/>
      <c r="DVY46" s="672"/>
      <c r="DVZ46" s="672"/>
      <c r="DWA46" s="672"/>
      <c r="DWB46" s="672"/>
      <c r="DWC46" s="672"/>
      <c r="DWD46" s="672"/>
      <c r="DWE46" s="672"/>
      <c r="DWF46" s="672"/>
      <c r="DWG46" s="672"/>
      <c r="DWH46" s="672"/>
      <c r="DWI46" s="672"/>
      <c r="DWJ46" s="672"/>
      <c r="DWK46" s="672"/>
      <c r="DWL46" s="672"/>
      <c r="DWM46" s="672"/>
      <c r="DWN46" s="672"/>
      <c r="DWO46" s="672"/>
      <c r="DWP46" s="672"/>
      <c r="DWQ46" s="672"/>
      <c r="DWR46" s="672"/>
      <c r="DWS46" s="672"/>
      <c r="DWT46" s="672"/>
      <c r="DWU46" s="672"/>
      <c r="DWV46" s="672"/>
      <c r="DWW46" s="672"/>
      <c r="DWX46" s="672"/>
      <c r="DWY46" s="672"/>
      <c r="DWZ46" s="672"/>
      <c r="DXA46" s="672"/>
      <c r="DXB46" s="672"/>
      <c r="DXC46" s="672"/>
      <c r="DXD46" s="672"/>
      <c r="DXE46" s="672"/>
      <c r="DXF46" s="672"/>
      <c r="DXG46" s="672"/>
      <c r="DXH46" s="672"/>
      <c r="DXI46" s="672"/>
      <c r="DXJ46" s="672"/>
      <c r="DXK46" s="672"/>
      <c r="DXL46" s="672"/>
      <c r="DXM46" s="672"/>
      <c r="DXN46" s="672"/>
      <c r="DXO46" s="672"/>
      <c r="DXP46" s="672"/>
      <c r="DXQ46" s="672"/>
      <c r="DXR46" s="672"/>
      <c r="DXS46" s="672"/>
      <c r="DXT46" s="672"/>
      <c r="DXU46" s="672"/>
      <c r="DXV46" s="672"/>
      <c r="DXW46" s="672"/>
      <c r="DXX46" s="672"/>
      <c r="DXY46" s="672"/>
      <c r="DXZ46" s="672"/>
      <c r="DYA46" s="672"/>
      <c r="DYB46" s="672"/>
      <c r="DYC46" s="672"/>
      <c r="DYD46" s="672"/>
      <c r="DYE46" s="672"/>
      <c r="DYF46" s="672"/>
      <c r="DYG46" s="672"/>
      <c r="DYH46" s="672"/>
      <c r="DYI46" s="672"/>
      <c r="DYJ46" s="672"/>
      <c r="DYK46" s="672"/>
      <c r="DYL46" s="672"/>
      <c r="DYM46" s="672"/>
      <c r="DYN46" s="672"/>
      <c r="DYO46" s="672"/>
      <c r="DYP46" s="672"/>
      <c r="DYQ46" s="672"/>
      <c r="DYR46" s="672"/>
      <c r="DYS46" s="672"/>
      <c r="DYT46" s="672"/>
      <c r="DYU46" s="672"/>
      <c r="DYV46" s="672"/>
      <c r="DYW46" s="672"/>
      <c r="DYX46" s="672"/>
      <c r="DYY46" s="672"/>
      <c r="DYZ46" s="672"/>
      <c r="DZA46" s="672"/>
      <c r="DZB46" s="672"/>
      <c r="DZC46" s="672"/>
      <c r="DZD46" s="672"/>
      <c r="DZE46" s="672"/>
      <c r="DZF46" s="672"/>
      <c r="DZG46" s="672"/>
      <c r="DZH46" s="672"/>
      <c r="DZI46" s="672"/>
      <c r="DZJ46" s="672"/>
      <c r="DZK46" s="672"/>
      <c r="DZL46" s="672"/>
      <c r="DZM46" s="672"/>
      <c r="DZN46" s="672"/>
      <c r="DZO46" s="672"/>
      <c r="DZP46" s="672"/>
      <c r="DZQ46" s="672"/>
      <c r="DZR46" s="672"/>
      <c r="DZS46" s="672"/>
      <c r="DZT46" s="672"/>
      <c r="DZU46" s="672"/>
      <c r="DZV46" s="672"/>
      <c r="DZW46" s="672"/>
      <c r="DZX46" s="672"/>
      <c r="DZY46" s="672"/>
      <c r="DZZ46" s="672"/>
      <c r="EAA46" s="672"/>
      <c r="EAB46" s="672"/>
      <c r="EAC46" s="672"/>
      <c r="EAD46" s="672"/>
      <c r="EAE46" s="672"/>
      <c r="EAF46" s="672"/>
      <c r="EAG46" s="672"/>
      <c r="EAH46" s="672"/>
      <c r="EAI46" s="672"/>
      <c r="EAJ46" s="672"/>
      <c r="EAK46" s="672"/>
      <c r="EAL46" s="672"/>
      <c r="EAM46" s="672"/>
      <c r="EAN46" s="672"/>
      <c r="EAO46" s="672"/>
      <c r="EAP46" s="672"/>
      <c r="EAQ46" s="672"/>
      <c r="EAR46" s="672"/>
      <c r="EAS46" s="672"/>
      <c r="EAT46" s="672"/>
      <c r="EAU46" s="672"/>
      <c r="EAV46" s="672"/>
      <c r="EAW46" s="672"/>
      <c r="EAX46" s="672"/>
      <c r="EAY46" s="672"/>
      <c r="EAZ46" s="672"/>
      <c r="EBA46" s="672"/>
      <c r="EBB46" s="672"/>
      <c r="EBC46" s="672"/>
      <c r="EBD46" s="672"/>
      <c r="EBE46" s="672"/>
      <c r="EBF46" s="672"/>
      <c r="EBG46" s="672"/>
      <c r="EBH46" s="672"/>
      <c r="EBI46" s="672"/>
      <c r="EBJ46" s="672"/>
      <c r="EBK46" s="672"/>
      <c r="EBL46" s="672"/>
      <c r="EBM46" s="672"/>
      <c r="EBN46" s="672"/>
      <c r="EBO46" s="672"/>
      <c r="EBP46" s="672"/>
      <c r="EBQ46" s="672"/>
      <c r="EBR46" s="672"/>
      <c r="EBS46" s="672"/>
      <c r="EBT46" s="672"/>
      <c r="EBU46" s="672"/>
      <c r="EBV46" s="672"/>
      <c r="EBW46" s="672"/>
      <c r="EBX46" s="672"/>
      <c r="EBY46" s="672"/>
      <c r="EBZ46" s="672"/>
      <c r="ECA46" s="672"/>
      <c r="ECB46" s="672"/>
      <c r="ECC46" s="672"/>
      <c r="ECD46" s="672"/>
      <c r="ECE46" s="672"/>
      <c r="ECF46" s="672"/>
      <c r="ECG46" s="672"/>
      <c r="ECH46" s="672"/>
      <c r="ECI46" s="672"/>
      <c r="ECJ46" s="672"/>
      <c r="ECK46" s="672"/>
      <c r="ECL46" s="672"/>
      <c r="ECM46" s="672"/>
      <c r="ECN46" s="672"/>
      <c r="ECO46" s="672"/>
      <c r="ECP46" s="672"/>
      <c r="ECQ46" s="672"/>
      <c r="ECR46" s="672"/>
      <c r="ECS46" s="672"/>
      <c r="ECT46" s="672"/>
      <c r="ECU46" s="672"/>
      <c r="ECV46" s="672"/>
      <c r="ECW46" s="672"/>
      <c r="ECX46" s="672"/>
      <c r="ECY46" s="672"/>
      <c r="ECZ46" s="672"/>
      <c r="EDA46" s="672"/>
      <c r="EDB46" s="672"/>
      <c r="EDC46" s="672"/>
      <c r="EDD46" s="672"/>
      <c r="EDE46" s="672"/>
      <c r="EDF46" s="672"/>
      <c r="EDG46" s="672"/>
      <c r="EDH46" s="672"/>
      <c r="EDI46" s="672"/>
      <c r="EDJ46" s="672"/>
      <c r="EDK46" s="672"/>
      <c r="EDL46" s="672"/>
      <c r="EDM46" s="672"/>
      <c r="EDN46" s="672"/>
      <c r="EDO46" s="672"/>
      <c r="EDP46" s="672"/>
      <c r="EDQ46" s="672"/>
      <c r="EDR46" s="672"/>
      <c r="EDS46" s="672"/>
      <c r="EDT46" s="672"/>
      <c r="EDU46" s="672"/>
      <c r="EDV46" s="672"/>
      <c r="EDW46" s="672"/>
      <c r="EDX46" s="672"/>
      <c r="EDY46" s="672"/>
      <c r="EDZ46" s="672"/>
      <c r="EEA46" s="672"/>
      <c r="EEB46" s="672"/>
      <c r="EEC46" s="672"/>
      <c r="EED46" s="672"/>
      <c r="EEE46" s="672"/>
      <c r="EEF46" s="672"/>
      <c r="EEG46" s="672"/>
      <c r="EEH46" s="672"/>
      <c r="EEI46" s="672"/>
      <c r="EEJ46" s="672"/>
      <c r="EEK46" s="672"/>
      <c r="EEL46" s="672"/>
      <c r="EEM46" s="672"/>
      <c r="EEN46" s="672"/>
      <c r="EEO46" s="672"/>
      <c r="EEP46" s="672"/>
      <c r="EEQ46" s="672"/>
      <c r="EER46" s="672"/>
      <c r="EES46" s="672"/>
      <c r="EET46" s="672"/>
      <c r="EEU46" s="672"/>
      <c r="EEV46" s="672"/>
      <c r="EEW46" s="672"/>
      <c r="EEX46" s="672"/>
      <c r="EEY46" s="672"/>
      <c r="EEZ46" s="672"/>
      <c r="EFA46" s="672"/>
      <c r="EFB46" s="672"/>
      <c r="EFC46" s="672"/>
      <c r="EFD46" s="672"/>
      <c r="EFE46" s="672"/>
      <c r="EFF46" s="672"/>
      <c r="EFG46" s="672"/>
      <c r="EFH46" s="672"/>
      <c r="EFI46" s="672"/>
      <c r="EFJ46" s="672"/>
      <c r="EFK46" s="672"/>
      <c r="EFL46" s="672"/>
      <c r="EFM46" s="672"/>
      <c r="EFN46" s="672"/>
      <c r="EFO46" s="672"/>
      <c r="EFP46" s="672"/>
      <c r="EFQ46" s="672"/>
      <c r="EFR46" s="672"/>
      <c r="EFS46" s="672"/>
      <c r="EFT46" s="672"/>
      <c r="EFU46" s="672"/>
      <c r="EFV46" s="672"/>
      <c r="EFW46" s="672"/>
      <c r="EFX46" s="672"/>
      <c r="EFY46" s="672"/>
      <c r="EFZ46" s="672"/>
      <c r="EGA46" s="672"/>
      <c r="EGB46" s="672"/>
      <c r="EGC46" s="672"/>
      <c r="EGD46" s="672"/>
      <c r="EGE46" s="672"/>
      <c r="EGF46" s="672"/>
      <c r="EGG46" s="672"/>
      <c r="EGH46" s="672"/>
      <c r="EGI46" s="672"/>
      <c r="EGJ46" s="672"/>
      <c r="EGK46" s="672"/>
      <c r="EGL46" s="672"/>
      <c r="EGM46" s="672"/>
      <c r="EGN46" s="672"/>
      <c r="EGO46" s="672"/>
      <c r="EGP46" s="672"/>
      <c r="EGQ46" s="672"/>
      <c r="EGR46" s="672"/>
      <c r="EGS46" s="672"/>
      <c r="EGT46" s="672"/>
      <c r="EGU46" s="672"/>
      <c r="EGV46" s="672"/>
      <c r="EGW46" s="672"/>
      <c r="EGX46" s="672"/>
      <c r="EGY46" s="672"/>
      <c r="EGZ46" s="672"/>
      <c r="EHA46" s="672"/>
      <c r="EHB46" s="672"/>
      <c r="EHC46" s="672"/>
      <c r="EHD46" s="672"/>
      <c r="EHE46" s="672"/>
      <c r="EHF46" s="672"/>
      <c r="EHG46" s="672"/>
      <c r="EHH46" s="672"/>
      <c r="EHI46" s="672"/>
      <c r="EHJ46" s="672"/>
      <c r="EHK46" s="672"/>
      <c r="EHL46" s="672"/>
      <c r="EHM46" s="672"/>
      <c r="EHN46" s="672"/>
      <c r="EHO46" s="672"/>
      <c r="EHP46" s="672"/>
      <c r="EHQ46" s="672"/>
      <c r="EHR46" s="672"/>
      <c r="EHS46" s="672"/>
      <c r="EHT46" s="672"/>
      <c r="EHU46" s="672"/>
      <c r="EHV46" s="672"/>
      <c r="EHW46" s="672"/>
      <c r="EHX46" s="672"/>
      <c r="EHY46" s="672"/>
      <c r="EHZ46" s="672"/>
      <c r="EIA46" s="672"/>
      <c r="EIB46" s="672"/>
      <c r="EIC46" s="672"/>
      <c r="EID46" s="672"/>
      <c r="EIE46" s="672"/>
      <c r="EIF46" s="672"/>
      <c r="EIG46" s="672"/>
      <c r="EIH46" s="672"/>
      <c r="EII46" s="672"/>
      <c r="EIJ46" s="672"/>
      <c r="EIK46" s="672"/>
      <c r="EIL46" s="672"/>
      <c r="EIM46" s="672"/>
      <c r="EIN46" s="672"/>
      <c r="EIO46" s="672"/>
      <c r="EIP46" s="672"/>
      <c r="EIQ46" s="672"/>
      <c r="EIR46" s="672"/>
      <c r="EIS46" s="672"/>
      <c r="EIT46" s="672"/>
      <c r="EIU46" s="672"/>
      <c r="EIV46" s="672"/>
      <c r="EIW46" s="672"/>
      <c r="EIX46" s="672"/>
      <c r="EIY46" s="672"/>
      <c r="EIZ46" s="672"/>
      <c r="EJA46" s="672"/>
      <c r="EJB46" s="672"/>
      <c r="EJC46" s="672"/>
      <c r="EJD46" s="672"/>
      <c r="EJE46" s="672"/>
      <c r="EJF46" s="672"/>
      <c r="EJG46" s="672"/>
      <c r="EJH46" s="672"/>
      <c r="EJI46" s="672"/>
      <c r="EJJ46" s="672"/>
      <c r="EJK46" s="672"/>
      <c r="EJL46" s="672"/>
      <c r="EJM46" s="672"/>
      <c r="EJN46" s="672"/>
      <c r="EJO46" s="672"/>
      <c r="EJP46" s="672"/>
      <c r="EJQ46" s="672"/>
      <c r="EJR46" s="672"/>
      <c r="EJS46" s="672"/>
      <c r="EJT46" s="672"/>
      <c r="EJU46" s="672"/>
      <c r="EJV46" s="672"/>
      <c r="EJW46" s="672"/>
      <c r="EJX46" s="672"/>
      <c r="EJY46" s="672"/>
      <c r="EJZ46" s="672"/>
      <c r="EKA46" s="672"/>
      <c r="EKB46" s="672"/>
      <c r="EKC46" s="672"/>
      <c r="EKD46" s="672"/>
      <c r="EKE46" s="672"/>
      <c r="EKF46" s="672"/>
      <c r="EKG46" s="672"/>
      <c r="EKH46" s="672"/>
      <c r="EKI46" s="672"/>
      <c r="EKJ46" s="672"/>
      <c r="EKK46" s="672"/>
      <c r="EKL46" s="672"/>
      <c r="EKM46" s="672"/>
      <c r="EKN46" s="672"/>
      <c r="EKO46" s="672"/>
      <c r="EKP46" s="672"/>
      <c r="EKQ46" s="672"/>
      <c r="EKR46" s="672"/>
      <c r="EKS46" s="672"/>
      <c r="EKT46" s="672"/>
      <c r="EKU46" s="672"/>
      <c r="EKV46" s="672"/>
      <c r="EKW46" s="672"/>
      <c r="EKX46" s="672"/>
      <c r="EKY46" s="672"/>
      <c r="EKZ46" s="672"/>
      <c r="ELA46" s="672"/>
      <c r="ELB46" s="672"/>
      <c r="ELC46" s="672"/>
      <c r="ELD46" s="672"/>
      <c r="ELE46" s="672"/>
      <c r="ELF46" s="672"/>
      <c r="ELG46" s="672"/>
      <c r="ELH46" s="672"/>
      <c r="ELI46" s="672"/>
      <c r="ELJ46" s="672"/>
      <c r="ELK46" s="672"/>
      <c r="ELL46" s="672"/>
      <c r="ELM46" s="672"/>
      <c r="ELN46" s="672"/>
      <c r="ELO46" s="672"/>
      <c r="ELP46" s="672"/>
      <c r="ELQ46" s="672"/>
      <c r="ELR46" s="672"/>
      <c r="ELS46" s="672"/>
      <c r="ELT46" s="672"/>
      <c r="ELU46" s="672"/>
      <c r="ELV46" s="672"/>
      <c r="ELW46" s="672"/>
      <c r="ELX46" s="672"/>
      <c r="ELY46" s="672"/>
      <c r="ELZ46" s="672"/>
      <c r="EMA46" s="672"/>
      <c r="EMB46" s="672"/>
      <c r="EMC46" s="672"/>
      <c r="EMD46" s="672"/>
      <c r="EME46" s="672"/>
      <c r="EMF46" s="672"/>
      <c r="EMG46" s="672"/>
      <c r="EMH46" s="672"/>
      <c r="EMI46" s="672"/>
      <c r="EMJ46" s="672"/>
      <c r="EMK46" s="672"/>
      <c r="EML46" s="672"/>
      <c r="EMM46" s="672"/>
      <c r="EMN46" s="672"/>
      <c r="EMO46" s="672"/>
      <c r="EMP46" s="672"/>
      <c r="EMQ46" s="672"/>
      <c r="EMR46" s="672"/>
      <c r="EMS46" s="672"/>
      <c r="EMT46" s="672"/>
      <c r="EMU46" s="672"/>
      <c r="EMV46" s="672"/>
      <c r="EMW46" s="672"/>
      <c r="EMX46" s="672"/>
      <c r="EMY46" s="672"/>
      <c r="EMZ46" s="672"/>
      <c r="ENA46" s="672"/>
      <c r="ENB46" s="672"/>
      <c r="ENC46" s="672"/>
      <c r="END46" s="672"/>
      <c r="ENE46" s="672"/>
      <c r="ENF46" s="672"/>
      <c r="ENG46" s="672"/>
      <c r="ENH46" s="672"/>
      <c r="ENI46" s="672"/>
      <c r="ENJ46" s="672"/>
      <c r="ENK46" s="672"/>
      <c r="ENL46" s="672"/>
      <c r="ENM46" s="672"/>
      <c r="ENN46" s="672"/>
      <c r="ENO46" s="672"/>
      <c r="ENP46" s="672"/>
      <c r="ENQ46" s="672"/>
      <c r="ENR46" s="672"/>
      <c r="ENS46" s="672"/>
      <c r="ENT46" s="672"/>
      <c r="ENU46" s="672"/>
      <c r="ENV46" s="672"/>
      <c r="ENW46" s="672"/>
      <c r="ENX46" s="672"/>
      <c r="ENY46" s="672"/>
      <c r="ENZ46" s="672"/>
      <c r="EOA46" s="672"/>
      <c r="EOB46" s="672"/>
      <c r="EOC46" s="672"/>
      <c r="EOD46" s="672"/>
      <c r="EOE46" s="672"/>
      <c r="EOF46" s="672"/>
      <c r="EOG46" s="672"/>
      <c r="EOH46" s="672"/>
      <c r="EOI46" s="672"/>
      <c r="EOJ46" s="672"/>
      <c r="EOK46" s="672"/>
      <c r="EOL46" s="672"/>
      <c r="EOM46" s="672"/>
      <c r="EON46" s="672"/>
      <c r="EOO46" s="672"/>
      <c r="EOP46" s="672"/>
      <c r="EOQ46" s="672"/>
      <c r="EOR46" s="672"/>
      <c r="EOS46" s="672"/>
      <c r="EOT46" s="672"/>
      <c r="EOU46" s="672"/>
      <c r="EOV46" s="672"/>
      <c r="EOW46" s="672"/>
      <c r="EOX46" s="672"/>
      <c r="EOY46" s="672"/>
      <c r="EOZ46" s="672"/>
      <c r="EPA46" s="672"/>
      <c r="EPB46" s="672"/>
      <c r="EPC46" s="672"/>
      <c r="EPD46" s="672"/>
      <c r="EPE46" s="672"/>
      <c r="EPF46" s="672"/>
      <c r="EPG46" s="672"/>
      <c r="EPH46" s="672"/>
      <c r="EPI46" s="672"/>
      <c r="EPJ46" s="672"/>
      <c r="EPK46" s="672"/>
      <c r="EPL46" s="672"/>
      <c r="EPM46" s="672"/>
      <c r="EPN46" s="672"/>
      <c r="EPO46" s="672"/>
      <c r="EPP46" s="672"/>
      <c r="EPQ46" s="672"/>
      <c r="EPR46" s="672"/>
      <c r="EPS46" s="672"/>
      <c r="EPT46" s="672"/>
      <c r="EPU46" s="672"/>
      <c r="EPV46" s="672"/>
      <c r="EPW46" s="672"/>
      <c r="EPX46" s="672"/>
      <c r="EPY46" s="672"/>
      <c r="EPZ46" s="672"/>
      <c r="EQA46" s="672"/>
      <c r="EQB46" s="672"/>
      <c r="EQC46" s="672"/>
      <c r="EQD46" s="672"/>
      <c r="EQE46" s="672"/>
      <c r="EQF46" s="672"/>
      <c r="EQG46" s="672"/>
      <c r="EQH46" s="672"/>
      <c r="EQI46" s="672"/>
      <c r="EQJ46" s="672"/>
      <c r="EQK46" s="672"/>
      <c r="EQL46" s="672"/>
      <c r="EQM46" s="672"/>
      <c r="EQN46" s="672"/>
      <c r="EQO46" s="672"/>
      <c r="EQP46" s="672"/>
      <c r="EQQ46" s="672"/>
      <c r="EQR46" s="672"/>
      <c r="EQS46" s="672"/>
      <c r="EQT46" s="672"/>
      <c r="EQU46" s="672"/>
      <c r="EQV46" s="672"/>
      <c r="EQW46" s="672"/>
      <c r="EQX46" s="672"/>
      <c r="EQY46" s="672"/>
      <c r="EQZ46" s="672"/>
      <c r="ERA46" s="672"/>
      <c r="ERB46" s="672"/>
      <c r="ERC46" s="672"/>
      <c r="ERD46" s="672"/>
      <c r="ERE46" s="672"/>
      <c r="ERF46" s="672"/>
      <c r="ERG46" s="672"/>
      <c r="ERH46" s="672"/>
      <c r="ERI46" s="672"/>
      <c r="ERJ46" s="672"/>
      <c r="ERK46" s="672"/>
      <c r="ERL46" s="672"/>
      <c r="ERM46" s="672"/>
      <c r="ERN46" s="672"/>
      <c r="ERO46" s="672"/>
      <c r="ERP46" s="672"/>
      <c r="ERQ46" s="672"/>
      <c r="ERR46" s="672"/>
      <c r="ERS46" s="672"/>
      <c r="ERT46" s="672"/>
      <c r="ERU46" s="672"/>
      <c r="ERV46" s="672"/>
      <c r="ERW46" s="672"/>
      <c r="ERX46" s="672"/>
      <c r="ERY46" s="672"/>
      <c r="ERZ46" s="672"/>
      <c r="ESA46" s="672"/>
      <c r="ESB46" s="672"/>
      <c r="ESC46" s="672"/>
      <c r="ESD46" s="672"/>
      <c r="ESE46" s="672"/>
      <c r="ESF46" s="672"/>
      <c r="ESG46" s="672"/>
      <c r="ESH46" s="672"/>
      <c r="ESI46" s="672"/>
      <c r="ESJ46" s="672"/>
      <c r="ESK46" s="672"/>
      <c r="ESL46" s="672"/>
      <c r="ESM46" s="672"/>
      <c r="ESN46" s="672"/>
      <c r="ESO46" s="672"/>
      <c r="ESP46" s="672"/>
      <c r="ESQ46" s="672"/>
      <c r="ESR46" s="672"/>
      <c r="ESS46" s="672"/>
      <c r="EST46" s="672"/>
      <c r="ESU46" s="672"/>
      <c r="ESV46" s="672"/>
      <c r="ESW46" s="672"/>
      <c r="ESX46" s="672"/>
      <c r="ESY46" s="672"/>
      <c r="ESZ46" s="672"/>
      <c r="ETA46" s="672"/>
      <c r="ETB46" s="672"/>
      <c r="ETC46" s="672"/>
      <c r="ETD46" s="672"/>
      <c r="ETE46" s="672"/>
      <c r="ETF46" s="672"/>
      <c r="ETG46" s="672"/>
      <c r="ETH46" s="672"/>
      <c r="ETI46" s="672"/>
      <c r="ETJ46" s="672"/>
      <c r="ETK46" s="672"/>
      <c r="ETL46" s="672"/>
      <c r="ETM46" s="672"/>
      <c r="ETN46" s="672"/>
      <c r="ETO46" s="672"/>
      <c r="ETP46" s="672"/>
      <c r="ETQ46" s="672"/>
      <c r="ETR46" s="672"/>
      <c r="ETS46" s="672"/>
      <c r="ETT46" s="672"/>
      <c r="ETU46" s="672"/>
      <c r="ETV46" s="672"/>
      <c r="ETW46" s="672"/>
      <c r="ETX46" s="672"/>
      <c r="ETY46" s="672"/>
      <c r="ETZ46" s="672"/>
      <c r="EUA46" s="672"/>
      <c r="EUB46" s="672"/>
      <c r="EUC46" s="672"/>
      <c r="EUD46" s="672"/>
      <c r="EUE46" s="672"/>
      <c r="EUF46" s="672"/>
      <c r="EUG46" s="672"/>
      <c r="EUH46" s="672"/>
      <c r="EUI46" s="672"/>
      <c r="EUJ46" s="672"/>
      <c r="EUK46" s="672"/>
      <c r="EUL46" s="672"/>
      <c r="EUM46" s="672"/>
      <c r="EUN46" s="672"/>
      <c r="EUO46" s="672"/>
      <c r="EUP46" s="672"/>
      <c r="EUQ46" s="672"/>
      <c r="EUR46" s="672"/>
      <c r="EUS46" s="672"/>
      <c r="EUT46" s="672"/>
      <c r="EUU46" s="672"/>
      <c r="EUV46" s="672"/>
      <c r="EUW46" s="672"/>
      <c r="EUX46" s="672"/>
      <c r="EUY46" s="672"/>
      <c r="EUZ46" s="672"/>
      <c r="EVA46" s="672"/>
      <c r="EVB46" s="672"/>
      <c r="EVC46" s="672"/>
      <c r="EVD46" s="672"/>
      <c r="EVE46" s="672"/>
      <c r="EVF46" s="672"/>
      <c r="EVG46" s="672"/>
      <c r="EVH46" s="672"/>
      <c r="EVI46" s="672"/>
      <c r="EVJ46" s="672"/>
      <c r="EVK46" s="672"/>
      <c r="EVL46" s="672"/>
      <c r="EVM46" s="672"/>
      <c r="EVN46" s="672"/>
      <c r="EVO46" s="672"/>
      <c r="EVP46" s="672"/>
      <c r="EVQ46" s="672"/>
      <c r="EVR46" s="672"/>
      <c r="EVS46" s="672"/>
      <c r="EVT46" s="672"/>
      <c r="EVU46" s="672"/>
      <c r="EVV46" s="672"/>
      <c r="EVW46" s="672"/>
      <c r="EVX46" s="672"/>
      <c r="EVY46" s="672"/>
      <c r="EVZ46" s="672"/>
      <c r="EWA46" s="672"/>
      <c r="EWB46" s="672"/>
      <c r="EWC46" s="672"/>
      <c r="EWD46" s="672"/>
      <c r="EWE46" s="672"/>
      <c r="EWF46" s="672"/>
      <c r="EWG46" s="672"/>
      <c r="EWH46" s="672"/>
      <c r="EWI46" s="672"/>
      <c r="EWJ46" s="672"/>
      <c r="EWK46" s="672"/>
      <c r="EWL46" s="672"/>
      <c r="EWM46" s="672"/>
      <c r="EWN46" s="672"/>
      <c r="EWO46" s="672"/>
      <c r="EWP46" s="672"/>
      <c r="EWQ46" s="672"/>
      <c r="EWR46" s="672"/>
      <c r="EWS46" s="672"/>
      <c r="EWT46" s="672"/>
      <c r="EWU46" s="672"/>
      <c r="EWV46" s="672"/>
      <c r="EWW46" s="672"/>
      <c r="EWX46" s="672"/>
      <c r="EWY46" s="672"/>
      <c r="EWZ46" s="672"/>
      <c r="EXA46" s="672"/>
      <c r="EXB46" s="672"/>
      <c r="EXC46" s="672"/>
      <c r="EXD46" s="672"/>
      <c r="EXE46" s="672"/>
      <c r="EXF46" s="672"/>
      <c r="EXG46" s="672"/>
      <c r="EXH46" s="672"/>
      <c r="EXI46" s="672"/>
      <c r="EXJ46" s="672"/>
      <c r="EXK46" s="672"/>
      <c r="EXL46" s="672"/>
      <c r="EXM46" s="672"/>
      <c r="EXN46" s="672"/>
      <c r="EXO46" s="672"/>
      <c r="EXP46" s="672"/>
      <c r="EXQ46" s="672"/>
      <c r="EXR46" s="672"/>
      <c r="EXS46" s="672"/>
      <c r="EXT46" s="672"/>
      <c r="EXU46" s="672"/>
      <c r="EXV46" s="672"/>
      <c r="EXW46" s="672"/>
      <c r="EXX46" s="672"/>
      <c r="EXY46" s="672"/>
      <c r="EXZ46" s="672"/>
      <c r="EYA46" s="672"/>
      <c r="EYB46" s="672"/>
      <c r="EYC46" s="672"/>
      <c r="EYD46" s="672"/>
      <c r="EYE46" s="672"/>
      <c r="EYF46" s="672"/>
      <c r="EYG46" s="672"/>
      <c r="EYH46" s="672"/>
      <c r="EYI46" s="672"/>
      <c r="EYJ46" s="672"/>
      <c r="EYK46" s="672"/>
      <c r="EYL46" s="672"/>
      <c r="EYM46" s="672"/>
      <c r="EYN46" s="672"/>
      <c r="EYO46" s="672"/>
      <c r="EYP46" s="672"/>
      <c r="EYQ46" s="672"/>
      <c r="EYR46" s="672"/>
      <c r="EYS46" s="672"/>
      <c r="EYT46" s="672"/>
      <c r="EYU46" s="672"/>
      <c r="EYV46" s="672"/>
      <c r="EYW46" s="672"/>
      <c r="EYX46" s="672"/>
      <c r="EYY46" s="672"/>
      <c r="EYZ46" s="672"/>
      <c r="EZA46" s="672"/>
      <c r="EZB46" s="672"/>
      <c r="EZC46" s="672"/>
      <c r="EZD46" s="672"/>
      <c r="EZE46" s="672"/>
      <c r="EZF46" s="672"/>
      <c r="EZG46" s="672"/>
      <c r="EZH46" s="672"/>
      <c r="EZI46" s="672"/>
      <c r="EZJ46" s="672"/>
      <c r="EZK46" s="672"/>
      <c r="EZL46" s="672"/>
      <c r="EZM46" s="672"/>
      <c r="EZN46" s="672"/>
      <c r="EZO46" s="672"/>
      <c r="EZP46" s="672"/>
      <c r="EZQ46" s="672"/>
      <c r="EZR46" s="672"/>
      <c r="EZS46" s="672"/>
      <c r="EZT46" s="672"/>
      <c r="EZU46" s="672"/>
      <c r="EZV46" s="672"/>
      <c r="EZW46" s="672"/>
      <c r="EZX46" s="672"/>
      <c r="EZY46" s="672"/>
      <c r="EZZ46" s="672"/>
      <c r="FAA46" s="672"/>
      <c r="FAB46" s="672"/>
      <c r="FAC46" s="672"/>
      <c r="FAD46" s="672"/>
      <c r="FAE46" s="672"/>
      <c r="FAF46" s="672"/>
      <c r="FAG46" s="672"/>
      <c r="FAH46" s="672"/>
      <c r="FAI46" s="672"/>
      <c r="FAJ46" s="672"/>
      <c r="FAK46" s="672"/>
      <c r="FAL46" s="672"/>
      <c r="FAM46" s="672"/>
      <c r="FAN46" s="672"/>
      <c r="FAO46" s="672"/>
      <c r="FAP46" s="672"/>
      <c r="FAQ46" s="672"/>
      <c r="FAR46" s="672"/>
      <c r="FAS46" s="672"/>
      <c r="FAT46" s="672"/>
      <c r="FAU46" s="672"/>
      <c r="FAV46" s="672"/>
      <c r="FAW46" s="672"/>
      <c r="FAX46" s="672"/>
      <c r="FAY46" s="672"/>
      <c r="FAZ46" s="672"/>
      <c r="FBA46" s="672"/>
      <c r="FBB46" s="672"/>
      <c r="FBC46" s="672"/>
      <c r="FBD46" s="672"/>
      <c r="FBE46" s="672"/>
      <c r="FBF46" s="672"/>
      <c r="FBG46" s="672"/>
      <c r="FBH46" s="672"/>
      <c r="FBI46" s="672"/>
      <c r="FBJ46" s="672"/>
      <c r="FBK46" s="672"/>
      <c r="FBL46" s="672"/>
      <c r="FBM46" s="672"/>
      <c r="FBN46" s="672"/>
      <c r="FBO46" s="672"/>
      <c r="FBP46" s="672"/>
      <c r="FBQ46" s="672"/>
      <c r="FBR46" s="672"/>
      <c r="FBS46" s="672"/>
      <c r="FBT46" s="672"/>
      <c r="FBU46" s="672"/>
      <c r="FBV46" s="672"/>
      <c r="FBW46" s="672"/>
      <c r="FBX46" s="672"/>
      <c r="FBY46" s="672"/>
      <c r="FBZ46" s="672"/>
      <c r="FCA46" s="672"/>
      <c r="FCB46" s="672"/>
      <c r="FCC46" s="672"/>
      <c r="FCD46" s="672"/>
      <c r="FCE46" s="672"/>
      <c r="FCF46" s="672"/>
      <c r="FCG46" s="672"/>
      <c r="FCH46" s="672"/>
      <c r="FCI46" s="672"/>
      <c r="FCJ46" s="672"/>
      <c r="FCK46" s="672"/>
      <c r="FCL46" s="672"/>
      <c r="FCM46" s="672"/>
      <c r="FCN46" s="672"/>
      <c r="FCO46" s="672"/>
      <c r="FCP46" s="672"/>
      <c r="FCQ46" s="672"/>
      <c r="FCR46" s="672"/>
      <c r="FCS46" s="672"/>
      <c r="FCT46" s="672"/>
      <c r="FCU46" s="672"/>
      <c r="FCV46" s="672"/>
      <c r="FCW46" s="672"/>
      <c r="FCX46" s="672"/>
      <c r="FCY46" s="672"/>
      <c r="FCZ46" s="672"/>
      <c r="FDA46" s="672"/>
      <c r="FDB46" s="672"/>
      <c r="FDC46" s="672"/>
      <c r="FDD46" s="672"/>
      <c r="FDE46" s="672"/>
      <c r="FDF46" s="672"/>
      <c r="FDG46" s="672"/>
      <c r="FDH46" s="672"/>
      <c r="FDI46" s="672"/>
      <c r="FDJ46" s="672"/>
      <c r="FDK46" s="672"/>
      <c r="FDL46" s="672"/>
      <c r="FDM46" s="672"/>
      <c r="FDN46" s="672"/>
      <c r="FDO46" s="672"/>
      <c r="FDP46" s="672"/>
      <c r="FDQ46" s="672"/>
      <c r="FDR46" s="672"/>
      <c r="FDS46" s="672"/>
      <c r="FDT46" s="672"/>
      <c r="FDU46" s="672"/>
      <c r="FDV46" s="672"/>
      <c r="FDW46" s="672"/>
      <c r="FDX46" s="672"/>
      <c r="FDY46" s="672"/>
      <c r="FDZ46" s="672"/>
      <c r="FEA46" s="672"/>
      <c r="FEB46" s="672"/>
      <c r="FEC46" s="672"/>
      <c r="FED46" s="672"/>
      <c r="FEE46" s="672"/>
      <c r="FEF46" s="672"/>
      <c r="FEG46" s="672"/>
      <c r="FEH46" s="672"/>
      <c r="FEI46" s="672"/>
      <c r="FEJ46" s="672"/>
      <c r="FEK46" s="672"/>
      <c r="FEL46" s="672"/>
      <c r="FEM46" s="672"/>
      <c r="FEN46" s="672"/>
      <c r="FEO46" s="672"/>
      <c r="FEP46" s="672"/>
      <c r="FEQ46" s="672"/>
      <c r="FER46" s="672"/>
      <c r="FES46" s="672"/>
      <c r="FET46" s="672"/>
      <c r="FEU46" s="672"/>
      <c r="FEV46" s="672"/>
      <c r="FEW46" s="672"/>
      <c r="FEX46" s="672"/>
      <c r="FEY46" s="672"/>
      <c r="FEZ46" s="672"/>
      <c r="FFA46" s="672"/>
      <c r="FFB46" s="672"/>
      <c r="FFC46" s="672"/>
      <c r="FFD46" s="672"/>
      <c r="FFE46" s="672"/>
      <c r="FFF46" s="672"/>
      <c r="FFG46" s="672"/>
      <c r="FFH46" s="672"/>
      <c r="FFI46" s="672"/>
      <c r="FFJ46" s="672"/>
      <c r="FFK46" s="672"/>
      <c r="FFL46" s="672"/>
      <c r="FFM46" s="672"/>
      <c r="FFN46" s="672"/>
      <c r="FFO46" s="672"/>
      <c r="FFP46" s="672"/>
      <c r="FFQ46" s="672"/>
      <c r="FFR46" s="672"/>
      <c r="FFS46" s="672"/>
      <c r="FFT46" s="672"/>
      <c r="FFU46" s="672"/>
      <c r="FFV46" s="672"/>
      <c r="FFW46" s="672"/>
      <c r="FFX46" s="672"/>
      <c r="FFY46" s="672"/>
      <c r="FFZ46" s="672"/>
      <c r="FGA46" s="672"/>
      <c r="FGB46" s="672"/>
      <c r="FGC46" s="672"/>
      <c r="FGD46" s="672"/>
      <c r="FGE46" s="672"/>
      <c r="FGF46" s="672"/>
      <c r="FGG46" s="672"/>
      <c r="FGH46" s="672"/>
      <c r="FGI46" s="672"/>
      <c r="FGJ46" s="672"/>
      <c r="FGK46" s="672"/>
      <c r="FGL46" s="672"/>
      <c r="FGM46" s="672"/>
      <c r="FGN46" s="672"/>
      <c r="FGO46" s="672"/>
      <c r="FGP46" s="672"/>
      <c r="FGQ46" s="672"/>
      <c r="FGR46" s="672"/>
      <c r="FGS46" s="672"/>
      <c r="FGT46" s="672"/>
      <c r="FGU46" s="672"/>
      <c r="FGV46" s="672"/>
      <c r="FGW46" s="672"/>
      <c r="FGX46" s="672"/>
      <c r="FGY46" s="672"/>
      <c r="FGZ46" s="672"/>
      <c r="FHA46" s="672"/>
      <c r="FHB46" s="672"/>
      <c r="FHC46" s="672"/>
      <c r="FHD46" s="672"/>
      <c r="FHE46" s="672"/>
      <c r="FHF46" s="672"/>
      <c r="FHG46" s="672"/>
      <c r="FHH46" s="672"/>
      <c r="FHI46" s="672"/>
      <c r="FHJ46" s="672"/>
      <c r="FHK46" s="672"/>
      <c r="FHL46" s="672"/>
      <c r="FHM46" s="672"/>
      <c r="FHN46" s="672"/>
      <c r="FHO46" s="672"/>
      <c r="FHP46" s="672"/>
      <c r="FHQ46" s="672"/>
      <c r="FHR46" s="672"/>
      <c r="FHS46" s="672"/>
      <c r="FHT46" s="672"/>
      <c r="FHU46" s="672"/>
      <c r="FHV46" s="672"/>
      <c r="FHW46" s="672"/>
      <c r="FHX46" s="672"/>
      <c r="FHY46" s="672"/>
      <c r="FHZ46" s="672"/>
      <c r="FIA46" s="672"/>
      <c r="FIB46" s="672"/>
      <c r="FIC46" s="672"/>
      <c r="FID46" s="672"/>
      <c r="FIE46" s="672"/>
      <c r="FIF46" s="672"/>
      <c r="FIG46" s="672"/>
      <c r="FIH46" s="672"/>
      <c r="FII46" s="672"/>
      <c r="FIJ46" s="672"/>
      <c r="FIK46" s="672"/>
      <c r="FIL46" s="672"/>
      <c r="FIM46" s="672"/>
      <c r="FIN46" s="672"/>
      <c r="FIO46" s="672"/>
      <c r="FIP46" s="672"/>
      <c r="FIQ46" s="672"/>
      <c r="FIR46" s="672"/>
      <c r="FIS46" s="672"/>
      <c r="FIT46" s="672"/>
      <c r="FIU46" s="672"/>
      <c r="FIV46" s="672"/>
      <c r="FIW46" s="672"/>
      <c r="FIX46" s="672"/>
      <c r="FIY46" s="672"/>
      <c r="FIZ46" s="672"/>
      <c r="FJA46" s="672"/>
      <c r="FJB46" s="672"/>
      <c r="FJC46" s="672"/>
      <c r="FJD46" s="672"/>
      <c r="FJE46" s="672"/>
      <c r="FJF46" s="672"/>
      <c r="FJG46" s="672"/>
      <c r="FJH46" s="672"/>
      <c r="FJI46" s="672"/>
      <c r="FJJ46" s="672"/>
      <c r="FJK46" s="672"/>
      <c r="FJL46" s="672"/>
      <c r="FJM46" s="672"/>
      <c r="FJN46" s="672"/>
      <c r="FJO46" s="672"/>
      <c r="FJP46" s="672"/>
      <c r="FJQ46" s="672"/>
      <c r="FJR46" s="672"/>
      <c r="FJS46" s="672"/>
      <c r="FJT46" s="672"/>
      <c r="FJU46" s="672"/>
      <c r="FJV46" s="672"/>
      <c r="FJW46" s="672"/>
      <c r="FJX46" s="672"/>
      <c r="FJY46" s="672"/>
      <c r="FJZ46" s="672"/>
      <c r="FKA46" s="672"/>
      <c r="FKB46" s="672"/>
      <c r="FKC46" s="672"/>
      <c r="FKD46" s="672"/>
      <c r="FKE46" s="672"/>
      <c r="FKF46" s="672"/>
      <c r="FKG46" s="672"/>
      <c r="FKH46" s="672"/>
      <c r="FKI46" s="672"/>
      <c r="FKJ46" s="672"/>
      <c r="FKK46" s="672"/>
      <c r="FKL46" s="672"/>
      <c r="FKM46" s="672"/>
      <c r="FKN46" s="672"/>
      <c r="FKO46" s="672"/>
      <c r="FKP46" s="672"/>
      <c r="FKQ46" s="672"/>
      <c r="FKR46" s="672"/>
      <c r="FKS46" s="672"/>
      <c r="FKT46" s="672"/>
      <c r="FKU46" s="672"/>
      <c r="FKV46" s="672"/>
      <c r="FKW46" s="672"/>
      <c r="FKX46" s="672"/>
      <c r="FKY46" s="672"/>
      <c r="FKZ46" s="672"/>
      <c r="FLA46" s="672"/>
      <c r="FLB46" s="672"/>
      <c r="FLC46" s="672"/>
      <c r="FLD46" s="672"/>
      <c r="FLE46" s="672"/>
      <c r="FLF46" s="672"/>
      <c r="FLG46" s="672"/>
      <c r="FLH46" s="672"/>
      <c r="FLI46" s="672"/>
      <c r="FLJ46" s="672"/>
      <c r="FLK46" s="672"/>
      <c r="FLL46" s="672"/>
      <c r="FLM46" s="672"/>
      <c r="FLN46" s="672"/>
      <c r="FLO46" s="672"/>
      <c r="FLP46" s="672"/>
      <c r="FLQ46" s="672"/>
      <c r="FLR46" s="672"/>
      <c r="FLS46" s="672"/>
      <c r="FLT46" s="672"/>
      <c r="FLU46" s="672"/>
      <c r="FLV46" s="672"/>
      <c r="FLW46" s="672"/>
      <c r="FLX46" s="672"/>
      <c r="FLY46" s="672"/>
      <c r="FLZ46" s="672"/>
      <c r="FMA46" s="672"/>
      <c r="FMB46" s="672"/>
      <c r="FMC46" s="672"/>
      <c r="FMD46" s="672"/>
      <c r="FME46" s="672"/>
      <c r="FMF46" s="672"/>
      <c r="FMG46" s="672"/>
      <c r="FMH46" s="672"/>
      <c r="FMI46" s="672"/>
      <c r="FMJ46" s="672"/>
      <c r="FMK46" s="672"/>
      <c r="FML46" s="672"/>
      <c r="FMM46" s="672"/>
      <c r="FMN46" s="672"/>
      <c r="FMO46" s="672"/>
      <c r="FMP46" s="672"/>
      <c r="FMQ46" s="672"/>
      <c r="FMR46" s="672"/>
      <c r="FMS46" s="672"/>
      <c r="FMT46" s="672"/>
      <c r="FMU46" s="672"/>
      <c r="FMV46" s="672"/>
      <c r="FMW46" s="672"/>
      <c r="FMX46" s="672"/>
      <c r="FMY46" s="672"/>
      <c r="FMZ46" s="672"/>
      <c r="FNA46" s="672"/>
      <c r="FNB46" s="672"/>
      <c r="FNC46" s="672"/>
      <c r="FND46" s="672"/>
      <c r="FNE46" s="672"/>
      <c r="FNF46" s="672"/>
      <c r="FNG46" s="672"/>
      <c r="FNH46" s="672"/>
      <c r="FNI46" s="672"/>
      <c r="FNJ46" s="672"/>
      <c r="FNK46" s="672"/>
      <c r="FNL46" s="672"/>
      <c r="FNM46" s="672"/>
      <c r="FNN46" s="672"/>
      <c r="FNO46" s="672"/>
      <c r="FNP46" s="672"/>
      <c r="FNQ46" s="672"/>
      <c r="FNR46" s="672"/>
      <c r="FNS46" s="672"/>
      <c r="FNT46" s="672"/>
      <c r="FNU46" s="672"/>
      <c r="FNV46" s="672"/>
      <c r="FNW46" s="672"/>
      <c r="FNX46" s="672"/>
      <c r="FNY46" s="672"/>
      <c r="FNZ46" s="672"/>
      <c r="FOA46" s="672"/>
      <c r="FOB46" s="672"/>
      <c r="FOC46" s="672"/>
      <c r="FOD46" s="672"/>
      <c r="FOE46" s="672"/>
      <c r="FOF46" s="672"/>
      <c r="FOG46" s="672"/>
      <c r="FOH46" s="672"/>
      <c r="FOI46" s="672"/>
      <c r="FOJ46" s="672"/>
      <c r="FOK46" s="672"/>
      <c r="FOL46" s="672"/>
      <c r="FOM46" s="672"/>
      <c r="FON46" s="672"/>
      <c r="FOO46" s="672"/>
      <c r="FOP46" s="672"/>
      <c r="FOQ46" s="672"/>
      <c r="FOR46" s="672"/>
      <c r="FOS46" s="672"/>
      <c r="FOT46" s="672"/>
      <c r="FOU46" s="672"/>
      <c r="FOV46" s="672"/>
      <c r="FOW46" s="672"/>
      <c r="FOX46" s="672"/>
      <c r="FOY46" s="672"/>
      <c r="FOZ46" s="672"/>
      <c r="FPA46" s="672"/>
      <c r="FPB46" s="672"/>
      <c r="FPC46" s="672"/>
      <c r="FPD46" s="672"/>
      <c r="FPE46" s="672"/>
      <c r="FPF46" s="672"/>
      <c r="FPG46" s="672"/>
      <c r="FPH46" s="672"/>
      <c r="FPI46" s="672"/>
      <c r="FPJ46" s="672"/>
      <c r="FPK46" s="672"/>
      <c r="FPL46" s="672"/>
      <c r="FPM46" s="672"/>
      <c r="FPN46" s="672"/>
      <c r="FPO46" s="672"/>
      <c r="FPP46" s="672"/>
      <c r="FPQ46" s="672"/>
      <c r="FPR46" s="672"/>
      <c r="FPS46" s="672"/>
      <c r="FPT46" s="672"/>
      <c r="FPU46" s="672"/>
      <c r="FPV46" s="672"/>
      <c r="FPW46" s="672"/>
      <c r="FPX46" s="672"/>
      <c r="FPY46" s="672"/>
      <c r="FPZ46" s="672"/>
      <c r="FQA46" s="672"/>
      <c r="FQB46" s="672"/>
      <c r="FQC46" s="672"/>
      <c r="FQD46" s="672"/>
      <c r="FQE46" s="672"/>
      <c r="FQF46" s="672"/>
      <c r="FQG46" s="672"/>
      <c r="FQH46" s="672"/>
      <c r="FQI46" s="672"/>
      <c r="FQJ46" s="672"/>
      <c r="FQK46" s="672"/>
      <c r="FQL46" s="672"/>
      <c r="FQM46" s="672"/>
      <c r="FQN46" s="672"/>
      <c r="FQO46" s="672"/>
      <c r="FQP46" s="672"/>
      <c r="FQQ46" s="672"/>
      <c r="FQR46" s="672"/>
      <c r="FQS46" s="672"/>
      <c r="FQT46" s="672"/>
      <c r="FQU46" s="672"/>
      <c r="FQV46" s="672"/>
      <c r="FQW46" s="672"/>
      <c r="FQX46" s="672"/>
      <c r="FQY46" s="672"/>
      <c r="FQZ46" s="672"/>
      <c r="FRA46" s="672"/>
      <c r="FRB46" s="672"/>
      <c r="FRC46" s="672"/>
      <c r="FRD46" s="672"/>
      <c r="FRE46" s="672"/>
      <c r="FRF46" s="672"/>
      <c r="FRG46" s="672"/>
      <c r="FRH46" s="672"/>
      <c r="FRI46" s="672"/>
      <c r="FRJ46" s="672"/>
      <c r="FRK46" s="672"/>
      <c r="FRL46" s="672"/>
      <c r="FRM46" s="672"/>
      <c r="FRN46" s="672"/>
      <c r="FRO46" s="672"/>
      <c r="FRP46" s="672"/>
      <c r="FRQ46" s="672"/>
      <c r="FRR46" s="672"/>
      <c r="FRS46" s="672"/>
      <c r="FRT46" s="672"/>
      <c r="FRU46" s="672"/>
      <c r="FRV46" s="672"/>
      <c r="FRW46" s="672"/>
      <c r="FRX46" s="672"/>
      <c r="FRY46" s="672"/>
      <c r="FRZ46" s="672"/>
      <c r="FSA46" s="672"/>
      <c r="FSB46" s="672"/>
      <c r="FSC46" s="672"/>
      <c r="FSD46" s="672"/>
      <c r="FSE46" s="672"/>
      <c r="FSF46" s="672"/>
      <c r="FSG46" s="672"/>
      <c r="FSH46" s="672"/>
      <c r="FSI46" s="672"/>
      <c r="FSJ46" s="672"/>
      <c r="FSK46" s="672"/>
      <c r="FSL46" s="672"/>
      <c r="FSM46" s="672"/>
      <c r="FSN46" s="672"/>
      <c r="FSO46" s="672"/>
      <c r="FSP46" s="672"/>
      <c r="FSQ46" s="672"/>
      <c r="FSR46" s="672"/>
      <c r="FSS46" s="672"/>
      <c r="FST46" s="672"/>
      <c r="FSU46" s="672"/>
      <c r="FSV46" s="672"/>
      <c r="FSW46" s="672"/>
      <c r="FSX46" s="672"/>
      <c r="FSY46" s="672"/>
      <c r="FSZ46" s="672"/>
      <c r="FTA46" s="672"/>
      <c r="FTB46" s="672"/>
      <c r="FTC46" s="672"/>
      <c r="FTD46" s="672"/>
      <c r="FTE46" s="672"/>
      <c r="FTF46" s="672"/>
      <c r="FTG46" s="672"/>
      <c r="FTH46" s="672"/>
      <c r="FTI46" s="672"/>
      <c r="FTJ46" s="672"/>
      <c r="FTK46" s="672"/>
      <c r="FTL46" s="672"/>
      <c r="FTM46" s="672"/>
      <c r="FTN46" s="672"/>
      <c r="FTO46" s="672"/>
      <c r="FTP46" s="672"/>
      <c r="FTQ46" s="672"/>
      <c r="FTR46" s="672"/>
      <c r="FTS46" s="672"/>
      <c r="FTT46" s="672"/>
      <c r="FTU46" s="672"/>
      <c r="FTV46" s="672"/>
      <c r="FTW46" s="672"/>
      <c r="FTX46" s="672"/>
      <c r="FTY46" s="672"/>
      <c r="FTZ46" s="672"/>
      <c r="FUA46" s="672"/>
      <c r="FUB46" s="672"/>
      <c r="FUC46" s="672"/>
      <c r="FUD46" s="672"/>
      <c r="FUE46" s="672"/>
      <c r="FUF46" s="672"/>
      <c r="FUG46" s="672"/>
      <c r="FUH46" s="672"/>
      <c r="FUI46" s="672"/>
      <c r="FUJ46" s="672"/>
      <c r="FUK46" s="672"/>
      <c r="FUL46" s="672"/>
      <c r="FUM46" s="672"/>
      <c r="FUN46" s="672"/>
      <c r="FUO46" s="672"/>
      <c r="FUP46" s="672"/>
      <c r="FUQ46" s="672"/>
      <c r="FUR46" s="672"/>
      <c r="FUS46" s="672"/>
      <c r="FUT46" s="672"/>
      <c r="FUU46" s="672"/>
      <c r="FUV46" s="672"/>
      <c r="FUW46" s="672"/>
      <c r="FUX46" s="672"/>
      <c r="FUY46" s="672"/>
      <c r="FUZ46" s="672"/>
      <c r="FVA46" s="672"/>
      <c r="FVB46" s="672"/>
      <c r="FVC46" s="672"/>
      <c r="FVD46" s="672"/>
      <c r="FVE46" s="672"/>
      <c r="FVF46" s="672"/>
      <c r="FVG46" s="672"/>
      <c r="FVH46" s="672"/>
      <c r="FVI46" s="672"/>
      <c r="FVJ46" s="672"/>
      <c r="FVK46" s="672"/>
      <c r="FVL46" s="672"/>
      <c r="FVM46" s="672"/>
      <c r="FVN46" s="672"/>
      <c r="FVO46" s="672"/>
      <c r="FVP46" s="672"/>
      <c r="FVQ46" s="672"/>
      <c r="FVR46" s="672"/>
      <c r="FVS46" s="672"/>
      <c r="FVT46" s="672"/>
      <c r="FVU46" s="672"/>
      <c r="FVV46" s="672"/>
      <c r="FVW46" s="672"/>
      <c r="FVX46" s="672"/>
      <c r="FVY46" s="672"/>
      <c r="FVZ46" s="672"/>
      <c r="FWA46" s="672"/>
      <c r="FWB46" s="672"/>
      <c r="FWC46" s="672"/>
      <c r="FWD46" s="672"/>
      <c r="FWE46" s="672"/>
      <c r="FWF46" s="672"/>
      <c r="FWG46" s="672"/>
      <c r="FWH46" s="672"/>
      <c r="FWI46" s="672"/>
      <c r="FWJ46" s="672"/>
      <c r="FWK46" s="672"/>
      <c r="FWL46" s="672"/>
      <c r="FWM46" s="672"/>
      <c r="FWN46" s="672"/>
      <c r="FWO46" s="672"/>
      <c r="FWP46" s="672"/>
      <c r="FWQ46" s="672"/>
      <c r="FWR46" s="672"/>
      <c r="FWS46" s="672"/>
      <c r="FWT46" s="672"/>
      <c r="FWU46" s="672"/>
      <c r="FWV46" s="672"/>
      <c r="FWW46" s="672"/>
      <c r="FWX46" s="672"/>
      <c r="FWY46" s="672"/>
      <c r="FWZ46" s="672"/>
      <c r="FXA46" s="672"/>
      <c r="FXB46" s="672"/>
      <c r="FXC46" s="672"/>
      <c r="FXD46" s="672"/>
      <c r="FXE46" s="672"/>
      <c r="FXF46" s="672"/>
      <c r="FXG46" s="672"/>
      <c r="FXH46" s="672"/>
      <c r="FXI46" s="672"/>
      <c r="FXJ46" s="672"/>
      <c r="FXK46" s="672"/>
      <c r="FXL46" s="672"/>
      <c r="FXM46" s="672"/>
      <c r="FXN46" s="672"/>
      <c r="FXO46" s="672"/>
      <c r="FXP46" s="672"/>
      <c r="FXQ46" s="672"/>
      <c r="FXR46" s="672"/>
      <c r="FXS46" s="672"/>
      <c r="FXT46" s="672"/>
      <c r="FXU46" s="672"/>
      <c r="FXV46" s="672"/>
      <c r="FXW46" s="672"/>
      <c r="FXX46" s="672"/>
      <c r="FXY46" s="672"/>
      <c r="FXZ46" s="672"/>
      <c r="FYA46" s="672"/>
      <c r="FYB46" s="672"/>
      <c r="FYC46" s="672"/>
      <c r="FYD46" s="672"/>
      <c r="FYE46" s="672"/>
      <c r="FYF46" s="672"/>
      <c r="FYG46" s="672"/>
      <c r="FYH46" s="672"/>
      <c r="FYI46" s="672"/>
      <c r="FYJ46" s="672"/>
      <c r="FYK46" s="672"/>
      <c r="FYL46" s="672"/>
      <c r="FYM46" s="672"/>
      <c r="FYN46" s="672"/>
      <c r="FYO46" s="672"/>
      <c r="FYP46" s="672"/>
      <c r="FYQ46" s="672"/>
      <c r="FYR46" s="672"/>
      <c r="FYS46" s="672"/>
      <c r="FYT46" s="672"/>
      <c r="FYU46" s="672"/>
      <c r="FYV46" s="672"/>
      <c r="FYW46" s="672"/>
      <c r="FYX46" s="672"/>
      <c r="FYY46" s="672"/>
      <c r="FYZ46" s="672"/>
      <c r="FZA46" s="672"/>
      <c r="FZB46" s="672"/>
      <c r="FZC46" s="672"/>
      <c r="FZD46" s="672"/>
      <c r="FZE46" s="672"/>
      <c r="FZF46" s="672"/>
      <c r="FZG46" s="672"/>
      <c r="FZH46" s="672"/>
      <c r="FZI46" s="672"/>
      <c r="FZJ46" s="672"/>
      <c r="FZK46" s="672"/>
      <c r="FZL46" s="672"/>
      <c r="FZM46" s="672"/>
      <c r="FZN46" s="672"/>
      <c r="FZO46" s="672"/>
      <c r="FZP46" s="672"/>
      <c r="FZQ46" s="672"/>
      <c r="FZR46" s="672"/>
      <c r="FZS46" s="672"/>
      <c r="FZT46" s="672"/>
      <c r="FZU46" s="672"/>
      <c r="FZV46" s="672"/>
      <c r="FZW46" s="672"/>
      <c r="FZX46" s="672"/>
      <c r="FZY46" s="672"/>
      <c r="FZZ46" s="672"/>
      <c r="GAA46" s="672"/>
      <c r="GAB46" s="672"/>
      <c r="GAC46" s="672"/>
      <c r="GAD46" s="672"/>
      <c r="GAE46" s="672"/>
      <c r="GAF46" s="672"/>
      <c r="GAG46" s="672"/>
      <c r="GAH46" s="672"/>
      <c r="GAI46" s="672"/>
      <c r="GAJ46" s="672"/>
      <c r="GAK46" s="672"/>
      <c r="GAL46" s="672"/>
      <c r="GAM46" s="672"/>
      <c r="GAN46" s="672"/>
      <c r="GAO46" s="672"/>
      <c r="GAP46" s="672"/>
      <c r="GAQ46" s="672"/>
      <c r="GAR46" s="672"/>
      <c r="GAS46" s="672"/>
      <c r="GAT46" s="672"/>
      <c r="GAU46" s="672"/>
      <c r="GAV46" s="672"/>
      <c r="GAW46" s="672"/>
      <c r="GAX46" s="672"/>
      <c r="GAY46" s="672"/>
      <c r="GAZ46" s="672"/>
      <c r="GBA46" s="672"/>
      <c r="GBB46" s="672"/>
      <c r="GBC46" s="672"/>
      <c r="GBD46" s="672"/>
      <c r="GBE46" s="672"/>
      <c r="GBF46" s="672"/>
      <c r="GBG46" s="672"/>
      <c r="GBH46" s="672"/>
      <c r="GBI46" s="672"/>
      <c r="GBJ46" s="672"/>
      <c r="GBK46" s="672"/>
      <c r="GBL46" s="672"/>
      <c r="GBM46" s="672"/>
      <c r="GBN46" s="672"/>
      <c r="GBO46" s="672"/>
      <c r="GBP46" s="672"/>
      <c r="GBQ46" s="672"/>
      <c r="GBR46" s="672"/>
      <c r="GBS46" s="672"/>
      <c r="GBT46" s="672"/>
      <c r="GBU46" s="672"/>
      <c r="GBV46" s="672"/>
      <c r="GBW46" s="672"/>
      <c r="GBX46" s="672"/>
      <c r="GBY46" s="672"/>
      <c r="GBZ46" s="672"/>
      <c r="GCA46" s="672"/>
      <c r="GCB46" s="672"/>
      <c r="GCC46" s="672"/>
      <c r="GCD46" s="672"/>
      <c r="GCE46" s="672"/>
      <c r="GCF46" s="672"/>
      <c r="GCG46" s="672"/>
      <c r="GCH46" s="672"/>
      <c r="GCI46" s="672"/>
      <c r="GCJ46" s="672"/>
      <c r="GCK46" s="672"/>
      <c r="GCL46" s="672"/>
      <c r="GCM46" s="672"/>
      <c r="GCN46" s="672"/>
      <c r="GCO46" s="672"/>
      <c r="GCP46" s="672"/>
      <c r="GCQ46" s="672"/>
      <c r="GCR46" s="672"/>
      <c r="GCS46" s="672"/>
      <c r="GCT46" s="672"/>
      <c r="GCU46" s="672"/>
      <c r="GCV46" s="672"/>
      <c r="GCW46" s="672"/>
      <c r="GCX46" s="672"/>
      <c r="GCY46" s="672"/>
      <c r="GCZ46" s="672"/>
      <c r="GDA46" s="672"/>
      <c r="GDB46" s="672"/>
      <c r="GDC46" s="672"/>
      <c r="GDD46" s="672"/>
      <c r="GDE46" s="672"/>
      <c r="GDF46" s="672"/>
      <c r="GDG46" s="672"/>
      <c r="GDH46" s="672"/>
      <c r="GDI46" s="672"/>
      <c r="GDJ46" s="672"/>
      <c r="GDK46" s="672"/>
      <c r="GDL46" s="672"/>
      <c r="GDM46" s="672"/>
      <c r="GDN46" s="672"/>
      <c r="GDO46" s="672"/>
      <c r="GDP46" s="672"/>
      <c r="GDQ46" s="672"/>
      <c r="GDR46" s="672"/>
      <c r="GDS46" s="672"/>
      <c r="GDT46" s="672"/>
      <c r="GDU46" s="672"/>
      <c r="GDV46" s="672"/>
      <c r="GDW46" s="672"/>
      <c r="GDX46" s="672"/>
      <c r="GDY46" s="672"/>
      <c r="GDZ46" s="672"/>
      <c r="GEA46" s="672"/>
      <c r="GEB46" s="672"/>
      <c r="GEC46" s="672"/>
      <c r="GED46" s="672"/>
      <c r="GEE46" s="672"/>
      <c r="GEF46" s="672"/>
      <c r="GEG46" s="672"/>
      <c r="GEH46" s="672"/>
      <c r="GEI46" s="672"/>
      <c r="GEJ46" s="672"/>
      <c r="GEK46" s="672"/>
      <c r="GEL46" s="672"/>
      <c r="GEM46" s="672"/>
      <c r="GEN46" s="672"/>
      <c r="GEO46" s="672"/>
      <c r="GEP46" s="672"/>
      <c r="GEQ46" s="672"/>
      <c r="GER46" s="672"/>
      <c r="GES46" s="672"/>
      <c r="GET46" s="672"/>
      <c r="GEU46" s="672"/>
      <c r="GEV46" s="672"/>
      <c r="GEW46" s="672"/>
      <c r="GEX46" s="672"/>
      <c r="GEY46" s="672"/>
      <c r="GEZ46" s="672"/>
      <c r="GFA46" s="672"/>
      <c r="GFB46" s="672"/>
      <c r="GFC46" s="672"/>
      <c r="GFD46" s="672"/>
      <c r="GFE46" s="672"/>
      <c r="GFF46" s="672"/>
      <c r="GFG46" s="672"/>
      <c r="GFH46" s="672"/>
      <c r="GFI46" s="672"/>
      <c r="GFJ46" s="672"/>
      <c r="GFK46" s="672"/>
      <c r="GFL46" s="672"/>
      <c r="GFM46" s="672"/>
      <c r="GFN46" s="672"/>
      <c r="GFO46" s="672"/>
      <c r="GFP46" s="672"/>
      <c r="GFQ46" s="672"/>
      <c r="GFR46" s="672"/>
      <c r="GFS46" s="672"/>
      <c r="GFT46" s="672"/>
      <c r="GFU46" s="672"/>
      <c r="GFV46" s="672"/>
      <c r="GFW46" s="672"/>
      <c r="GFX46" s="672"/>
      <c r="GFY46" s="672"/>
      <c r="GFZ46" s="672"/>
      <c r="GGA46" s="672"/>
      <c r="GGB46" s="672"/>
      <c r="GGC46" s="672"/>
      <c r="GGD46" s="672"/>
      <c r="GGE46" s="672"/>
      <c r="GGF46" s="672"/>
      <c r="GGG46" s="672"/>
      <c r="GGH46" s="672"/>
      <c r="GGI46" s="672"/>
      <c r="GGJ46" s="672"/>
      <c r="GGK46" s="672"/>
      <c r="GGL46" s="672"/>
      <c r="GGM46" s="672"/>
      <c r="GGN46" s="672"/>
      <c r="GGO46" s="672"/>
      <c r="GGP46" s="672"/>
      <c r="GGQ46" s="672"/>
      <c r="GGR46" s="672"/>
      <c r="GGS46" s="672"/>
      <c r="GGT46" s="672"/>
      <c r="GGU46" s="672"/>
      <c r="GGV46" s="672"/>
      <c r="GGW46" s="672"/>
      <c r="GGX46" s="672"/>
      <c r="GGY46" s="672"/>
      <c r="GGZ46" s="672"/>
      <c r="GHA46" s="672"/>
      <c r="GHB46" s="672"/>
      <c r="GHC46" s="672"/>
      <c r="GHD46" s="672"/>
      <c r="GHE46" s="672"/>
      <c r="GHF46" s="672"/>
      <c r="GHG46" s="672"/>
      <c r="GHH46" s="672"/>
      <c r="GHI46" s="672"/>
      <c r="GHJ46" s="672"/>
      <c r="GHK46" s="672"/>
      <c r="GHL46" s="672"/>
      <c r="GHM46" s="672"/>
      <c r="GHN46" s="672"/>
      <c r="GHO46" s="672"/>
      <c r="GHP46" s="672"/>
      <c r="GHQ46" s="672"/>
      <c r="GHR46" s="672"/>
      <c r="GHS46" s="672"/>
      <c r="GHT46" s="672"/>
      <c r="GHU46" s="672"/>
      <c r="GHV46" s="672"/>
      <c r="GHW46" s="672"/>
      <c r="GHX46" s="672"/>
      <c r="GHY46" s="672"/>
      <c r="GHZ46" s="672"/>
      <c r="GIA46" s="672"/>
      <c r="GIB46" s="672"/>
      <c r="GIC46" s="672"/>
      <c r="GID46" s="672"/>
      <c r="GIE46" s="672"/>
      <c r="GIF46" s="672"/>
      <c r="GIG46" s="672"/>
      <c r="GIH46" s="672"/>
      <c r="GII46" s="672"/>
      <c r="GIJ46" s="672"/>
      <c r="GIK46" s="672"/>
      <c r="GIL46" s="672"/>
      <c r="GIM46" s="672"/>
      <c r="GIN46" s="672"/>
      <c r="GIO46" s="672"/>
      <c r="GIP46" s="672"/>
      <c r="GIQ46" s="672"/>
      <c r="GIR46" s="672"/>
      <c r="GIS46" s="672"/>
      <c r="GIT46" s="672"/>
      <c r="GIU46" s="672"/>
      <c r="GIV46" s="672"/>
      <c r="GIW46" s="672"/>
      <c r="GIX46" s="672"/>
      <c r="GIY46" s="672"/>
      <c r="GIZ46" s="672"/>
      <c r="GJA46" s="672"/>
      <c r="GJB46" s="672"/>
      <c r="GJC46" s="672"/>
      <c r="GJD46" s="672"/>
      <c r="GJE46" s="672"/>
      <c r="GJF46" s="672"/>
      <c r="GJG46" s="672"/>
      <c r="GJH46" s="672"/>
      <c r="GJI46" s="672"/>
      <c r="GJJ46" s="672"/>
      <c r="GJK46" s="672"/>
      <c r="GJL46" s="672"/>
      <c r="GJM46" s="672"/>
      <c r="GJN46" s="672"/>
      <c r="GJO46" s="672"/>
      <c r="GJP46" s="672"/>
      <c r="GJQ46" s="672"/>
      <c r="GJR46" s="672"/>
      <c r="GJS46" s="672"/>
      <c r="GJT46" s="672"/>
      <c r="GJU46" s="672"/>
      <c r="GJV46" s="672"/>
      <c r="GJW46" s="672"/>
      <c r="GJX46" s="672"/>
      <c r="GJY46" s="672"/>
      <c r="GJZ46" s="672"/>
      <c r="GKA46" s="672"/>
      <c r="GKB46" s="672"/>
      <c r="GKC46" s="672"/>
      <c r="GKD46" s="672"/>
      <c r="GKE46" s="672"/>
      <c r="GKF46" s="672"/>
      <c r="GKG46" s="672"/>
      <c r="GKH46" s="672"/>
      <c r="GKI46" s="672"/>
      <c r="GKJ46" s="672"/>
      <c r="GKK46" s="672"/>
      <c r="GKL46" s="672"/>
      <c r="GKM46" s="672"/>
      <c r="GKN46" s="672"/>
      <c r="GKO46" s="672"/>
      <c r="GKP46" s="672"/>
      <c r="GKQ46" s="672"/>
      <c r="GKR46" s="672"/>
      <c r="GKS46" s="672"/>
      <c r="GKT46" s="672"/>
      <c r="GKU46" s="672"/>
      <c r="GKV46" s="672"/>
      <c r="GKW46" s="672"/>
      <c r="GKX46" s="672"/>
      <c r="GKY46" s="672"/>
      <c r="GKZ46" s="672"/>
      <c r="GLA46" s="672"/>
      <c r="GLB46" s="672"/>
      <c r="GLC46" s="672"/>
      <c r="GLD46" s="672"/>
      <c r="GLE46" s="672"/>
      <c r="GLF46" s="672"/>
      <c r="GLG46" s="672"/>
      <c r="GLH46" s="672"/>
      <c r="GLI46" s="672"/>
      <c r="GLJ46" s="672"/>
      <c r="GLK46" s="672"/>
      <c r="GLL46" s="672"/>
      <c r="GLM46" s="672"/>
      <c r="GLN46" s="672"/>
      <c r="GLO46" s="672"/>
      <c r="GLP46" s="672"/>
      <c r="GLQ46" s="672"/>
      <c r="GLR46" s="672"/>
      <c r="GLS46" s="672"/>
      <c r="GLT46" s="672"/>
      <c r="GLU46" s="672"/>
      <c r="GLV46" s="672"/>
      <c r="GLW46" s="672"/>
      <c r="GLX46" s="672"/>
      <c r="GLY46" s="672"/>
      <c r="GLZ46" s="672"/>
      <c r="GMA46" s="672"/>
      <c r="GMB46" s="672"/>
      <c r="GMC46" s="672"/>
      <c r="GMD46" s="672"/>
      <c r="GME46" s="672"/>
      <c r="GMF46" s="672"/>
      <c r="GMG46" s="672"/>
      <c r="GMH46" s="672"/>
      <c r="GMI46" s="672"/>
      <c r="GMJ46" s="672"/>
      <c r="GMK46" s="672"/>
      <c r="GML46" s="672"/>
      <c r="GMM46" s="672"/>
      <c r="GMN46" s="672"/>
      <c r="GMO46" s="672"/>
      <c r="GMP46" s="672"/>
      <c r="GMQ46" s="672"/>
      <c r="GMR46" s="672"/>
      <c r="GMS46" s="672"/>
      <c r="GMT46" s="672"/>
      <c r="GMU46" s="672"/>
      <c r="GMV46" s="672"/>
      <c r="GMW46" s="672"/>
      <c r="GMX46" s="672"/>
      <c r="GMY46" s="672"/>
      <c r="GMZ46" s="672"/>
      <c r="GNA46" s="672"/>
      <c r="GNB46" s="672"/>
      <c r="GNC46" s="672"/>
      <c r="GND46" s="672"/>
      <c r="GNE46" s="672"/>
      <c r="GNF46" s="672"/>
      <c r="GNG46" s="672"/>
      <c r="GNH46" s="672"/>
      <c r="GNI46" s="672"/>
      <c r="GNJ46" s="672"/>
      <c r="GNK46" s="672"/>
      <c r="GNL46" s="672"/>
      <c r="GNM46" s="672"/>
      <c r="GNN46" s="672"/>
      <c r="GNO46" s="672"/>
      <c r="GNP46" s="672"/>
      <c r="GNQ46" s="672"/>
      <c r="GNR46" s="672"/>
      <c r="GNS46" s="672"/>
      <c r="GNT46" s="672"/>
      <c r="GNU46" s="672"/>
      <c r="GNV46" s="672"/>
      <c r="GNW46" s="672"/>
      <c r="GNX46" s="672"/>
      <c r="GNY46" s="672"/>
      <c r="GNZ46" s="672"/>
      <c r="GOA46" s="672"/>
      <c r="GOB46" s="672"/>
      <c r="GOC46" s="672"/>
      <c r="GOD46" s="672"/>
      <c r="GOE46" s="672"/>
      <c r="GOF46" s="672"/>
      <c r="GOG46" s="672"/>
      <c r="GOH46" s="672"/>
      <c r="GOI46" s="672"/>
      <c r="GOJ46" s="672"/>
      <c r="GOK46" s="672"/>
      <c r="GOL46" s="672"/>
      <c r="GOM46" s="672"/>
      <c r="GON46" s="672"/>
      <c r="GOO46" s="672"/>
      <c r="GOP46" s="672"/>
      <c r="GOQ46" s="672"/>
      <c r="GOR46" s="672"/>
      <c r="GOS46" s="672"/>
      <c r="GOT46" s="672"/>
      <c r="GOU46" s="672"/>
      <c r="GOV46" s="672"/>
      <c r="GOW46" s="672"/>
      <c r="GOX46" s="672"/>
      <c r="GOY46" s="672"/>
      <c r="GOZ46" s="672"/>
      <c r="GPA46" s="672"/>
      <c r="GPB46" s="672"/>
      <c r="GPC46" s="672"/>
      <c r="GPD46" s="672"/>
      <c r="GPE46" s="672"/>
      <c r="GPF46" s="672"/>
      <c r="GPG46" s="672"/>
      <c r="GPH46" s="672"/>
      <c r="GPI46" s="672"/>
      <c r="GPJ46" s="672"/>
      <c r="GPK46" s="672"/>
      <c r="GPL46" s="672"/>
      <c r="GPM46" s="672"/>
      <c r="GPN46" s="672"/>
      <c r="GPO46" s="672"/>
      <c r="GPP46" s="672"/>
      <c r="GPQ46" s="672"/>
      <c r="GPR46" s="672"/>
      <c r="GPS46" s="672"/>
      <c r="GPT46" s="672"/>
      <c r="GPU46" s="672"/>
      <c r="GPV46" s="672"/>
      <c r="GPW46" s="672"/>
      <c r="GPX46" s="672"/>
      <c r="GPY46" s="672"/>
      <c r="GPZ46" s="672"/>
      <c r="GQA46" s="672"/>
      <c r="GQB46" s="672"/>
      <c r="GQC46" s="672"/>
      <c r="GQD46" s="672"/>
      <c r="GQE46" s="672"/>
      <c r="GQF46" s="672"/>
      <c r="GQG46" s="672"/>
      <c r="GQH46" s="672"/>
      <c r="GQI46" s="672"/>
      <c r="GQJ46" s="672"/>
      <c r="GQK46" s="672"/>
      <c r="GQL46" s="672"/>
      <c r="GQM46" s="672"/>
      <c r="GQN46" s="672"/>
      <c r="GQO46" s="672"/>
      <c r="GQP46" s="672"/>
      <c r="GQQ46" s="672"/>
      <c r="GQR46" s="672"/>
      <c r="GQS46" s="672"/>
      <c r="GQT46" s="672"/>
      <c r="GQU46" s="672"/>
      <c r="GQV46" s="672"/>
      <c r="GQW46" s="672"/>
      <c r="GQX46" s="672"/>
      <c r="GQY46" s="672"/>
      <c r="GQZ46" s="672"/>
      <c r="GRA46" s="672"/>
      <c r="GRB46" s="672"/>
      <c r="GRC46" s="672"/>
      <c r="GRD46" s="672"/>
      <c r="GRE46" s="672"/>
      <c r="GRF46" s="672"/>
      <c r="GRG46" s="672"/>
      <c r="GRH46" s="672"/>
      <c r="GRI46" s="672"/>
      <c r="GRJ46" s="672"/>
      <c r="GRK46" s="672"/>
      <c r="GRL46" s="672"/>
      <c r="GRM46" s="672"/>
      <c r="GRN46" s="672"/>
      <c r="GRO46" s="672"/>
      <c r="GRP46" s="672"/>
      <c r="GRQ46" s="672"/>
      <c r="GRR46" s="672"/>
      <c r="GRS46" s="672"/>
      <c r="GRT46" s="672"/>
      <c r="GRU46" s="672"/>
      <c r="GRV46" s="672"/>
      <c r="GRW46" s="672"/>
      <c r="GRX46" s="672"/>
      <c r="GRY46" s="672"/>
      <c r="GRZ46" s="672"/>
      <c r="GSA46" s="672"/>
      <c r="GSB46" s="672"/>
      <c r="GSC46" s="672"/>
      <c r="GSD46" s="672"/>
      <c r="GSE46" s="672"/>
      <c r="GSF46" s="672"/>
      <c r="GSG46" s="672"/>
      <c r="GSH46" s="672"/>
      <c r="GSI46" s="672"/>
      <c r="GSJ46" s="672"/>
      <c r="GSK46" s="672"/>
      <c r="GSL46" s="672"/>
      <c r="GSM46" s="672"/>
      <c r="GSN46" s="672"/>
      <c r="GSO46" s="672"/>
      <c r="GSP46" s="672"/>
      <c r="GSQ46" s="672"/>
      <c r="GSR46" s="672"/>
      <c r="GSS46" s="672"/>
      <c r="GST46" s="672"/>
      <c r="GSU46" s="672"/>
      <c r="GSV46" s="672"/>
      <c r="GSW46" s="672"/>
      <c r="GSX46" s="672"/>
      <c r="GSY46" s="672"/>
      <c r="GSZ46" s="672"/>
      <c r="GTA46" s="672"/>
      <c r="GTB46" s="672"/>
      <c r="GTC46" s="672"/>
      <c r="GTD46" s="672"/>
      <c r="GTE46" s="672"/>
      <c r="GTF46" s="672"/>
      <c r="GTG46" s="672"/>
      <c r="GTH46" s="672"/>
      <c r="GTI46" s="672"/>
      <c r="GTJ46" s="672"/>
      <c r="GTK46" s="672"/>
      <c r="GTL46" s="672"/>
      <c r="GTM46" s="672"/>
      <c r="GTN46" s="672"/>
      <c r="GTO46" s="672"/>
      <c r="GTP46" s="672"/>
      <c r="GTQ46" s="672"/>
      <c r="GTR46" s="672"/>
      <c r="GTS46" s="672"/>
      <c r="GTT46" s="672"/>
      <c r="GTU46" s="672"/>
      <c r="GTV46" s="672"/>
      <c r="GTW46" s="672"/>
      <c r="GTX46" s="672"/>
      <c r="GTY46" s="672"/>
      <c r="GTZ46" s="672"/>
      <c r="GUA46" s="672"/>
      <c r="GUB46" s="672"/>
      <c r="GUC46" s="672"/>
      <c r="GUD46" s="672"/>
      <c r="GUE46" s="672"/>
      <c r="GUF46" s="672"/>
      <c r="GUG46" s="672"/>
      <c r="GUH46" s="672"/>
      <c r="GUI46" s="672"/>
      <c r="GUJ46" s="672"/>
      <c r="GUK46" s="672"/>
      <c r="GUL46" s="672"/>
      <c r="GUM46" s="672"/>
      <c r="GUN46" s="672"/>
      <c r="GUO46" s="672"/>
      <c r="GUP46" s="672"/>
      <c r="GUQ46" s="672"/>
      <c r="GUR46" s="672"/>
      <c r="GUS46" s="672"/>
      <c r="GUT46" s="672"/>
      <c r="GUU46" s="672"/>
      <c r="GUV46" s="672"/>
      <c r="GUW46" s="672"/>
      <c r="GUX46" s="672"/>
      <c r="GUY46" s="672"/>
      <c r="GUZ46" s="672"/>
      <c r="GVA46" s="672"/>
      <c r="GVB46" s="672"/>
      <c r="GVC46" s="672"/>
      <c r="GVD46" s="672"/>
      <c r="GVE46" s="672"/>
      <c r="GVF46" s="672"/>
      <c r="GVG46" s="672"/>
      <c r="GVH46" s="672"/>
      <c r="GVI46" s="672"/>
      <c r="GVJ46" s="672"/>
      <c r="GVK46" s="672"/>
      <c r="GVL46" s="672"/>
      <c r="GVM46" s="672"/>
      <c r="GVN46" s="672"/>
      <c r="GVO46" s="672"/>
      <c r="GVP46" s="672"/>
      <c r="GVQ46" s="672"/>
      <c r="GVR46" s="672"/>
      <c r="GVS46" s="672"/>
      <c r="GVT46" s="672"/>
      <c r="GVU46" s="672"/>
      <c r="GVV46" s="672"/>
      <c r="GVW46" s="672"/>
      <c r="GVX46" s="672"/>
      <c r="GVY46" s="672"/>
      <c r="GVZ46" s="672"/>
      <c r="GWA46" s="672"/>
      <c r="GWB46" s="672"/>
      <c r="GWC46" s="672"/>
      <c r="GWD46" s="672"/>
      <c r="GWE46" s="672"/>
      <c r="GWF46" s="672"/>
      <c r="GWG46" s="672"/>
      <c r="GWH46" s="672"/>
      <c r="GWI46" s="672"/>
      <c r="GWJ46" s="672"/>
      <c r="GWK46" s="672"/>
      <c r="GWL46" s="672"/>
      <c r="GWM46" s="672"/>
      <c r="GWN46" s="672"/>
      <c r="GWO46" s="672"/>
      <c r="GWP46" s="672"/>
      <c r="GWQ46" s="672"/>
      <c r="GWR46" s="672"/>
      <c r="GWS46" s="672"/>
      <c r="GWT46" s="672"/>
      <c r="GWU46" s="672"/>
      <c r="GWV46" s="672"/>
      <c r="GWW46" s="672"/>
      <c r="GWX46" s="672"/>
      <c r="GWY46" s="672"/>
      <c r="GWZ46" s="672"/>
      <c r="GXA46" s="672"/>
      <c r="GXB46" s="672"/>
      <c r="GXC46" s="672"/>
      <c r="GXD46" s="672"/>
      <c r="GXE46" s="672"/>
      <c r="GXF46" s="672"/>
      <c r="GXG46" s="672"/>
      <c r="GXH46" s="672"/>
      <c r="GXI46" s="672"/>
      <c r="GXJ46" s="672"/>
      <c r="GXK46" s="672"/>
      <c r="GXL46" s="672"/>
      <c r="GXM46" s="672"/>
      <c r="GXN46" s="672"/>
      <c r="GXO46" s="672"/>
      <c r="GXP46" s="672"/>
      <c r="GXQ46" s="672"/>
      <c r="GXR46" s="672"/>
      <c r="GXS46" s="672"/>
      <c r="GXT46" s="672"/>
      <c r="GXU46" s="672"/>
      <c r="GXV46" s="672"/>
      <c r="GXW46" s="672"/>
      <c r="GXX46" s="672"/>
      <c r="GXY46" s="672"/>
      <c r="GXZ46" s="672"/>
      <c r="GYA46" s="672"/>
      <c r="GYB46" s="672"/>
      <c r="GYC46" s="672"/>
      <c r="GYD46" s="672"/>
      <c r="GYE46" s="672"/>
      <c r="GYF46" s="672"/>
      <c r="GYG46" s="672"/>
      <c r="GYH46" s="672"/>
      <c r="GYI46" s="672"/>
      <c r="GYJ46" s="672"/>
      <c r="GYK46" s="672"/>
      <c r="GYL46" s="672"/>
      <c r="GYM46" s="672"/>
      <c r="GYN46" s="672"/>
      <c r="GYO46" s="672"/>
      <c r="GYP46" s="672"/>
      <c r="GYQ46" s="672"/>
      <c r="GYR46" s="672"/>
      <c r="GYS46" s="672"/>
      <c r="GYT46" s="672"/>
      <c r="GYU46" s="672"/>
      <c r="GYV46" s="672"/>
      <c r="GYW46" s="672"/>
      <c r="GYX46" s="672"/>
      <c r="GYY46" s="672"/>
      <c r="GYZ46" s="672"/>
      <c r="GZA46" s="672"/>
      <c r="GZB46" s="672"/>
      <c r="GZC46" s="672"/>
      <c r="GZD46" s="672"/>
      <c r="GZE46" s="672"/>
      <c r="GZF46" s="672"/>
      <c r="GZG46" s="672"/>
      <c r="GZH46" s="672"/>
      <c r="GZI46" s="672"/>
      <c r="GZJ46" s="672"/>
      <c r="GZK46" s="672"/>
      <c r="GZL46" s="672"/>
      <c r="GZM46" s="672"/>
      <c r="GZN46" s="672"/>
      <c r="GZO46" s="672"/>
      <c r="GZP46" s="672"/>
      <c r="GZQ46" s="672"/>
      <c r="GZR46" s="672"/>
      <c r="GZS46" s="672"/>
      <c r="GZT46" s="672"/>
      <c r="GZU46" s="672"/>
      <c r="GZV46" s="672"/>
      <c r="GZW46" s="672"/>
      <c r="GZX46" s="672"/>
      <c r="GZY46" s="672"/>
      <c r="GZZ46" s="672"/>
      <c r="HAA46" s="672"/>
      <c r="HAB46" s="672"/>
      <c r="HAC46" s="672"/>
      <c r="HAD46" s="672"/>
      <c r="HAE46" s="672"/>
      <c r="HAF46" s="672"/>
      <c r="HAG46" s="672"/>
      <c r="HAH46" s="672"/>
      <c r="HAI46" s="672"/>
      <c r="HAJ46" s="672"/>
      <c r="HAK46" s="672"/>
      <c r="HAL46" s="672"/>
      <c r="HAM46" s="672"/>
      <c r="HAN46" s="672"/>
      <c r="HAO46" s="672"/>
      <c r="HAP46" s="672"/>
      <c r="HAQ46" s="672"/>
      <c r="HAR46" s="672"/>
      <c r="HAS46" s="672"/>
      <c r="HAT46" s="672"/>
      <c r="HAU46" s="672"/>
      <c r="HAV46" s="672"/>
      <c r="HAW46" s="672"/>
      <c r="HAX46" s="672"/>
      <c r="HAY46" s="672"/>
      <c r="HAZ46" s="672"/>
      <c r="HBA46" s="672"/>
      <c r="HBB46" s="672"/>
      <c r="HBC46" s="672"/>
      <c r="HBD46" s="672"/>
      <c r="HBE46" s="672"/>
      <c r="HBF46" s="672"/>
      <c r="HBG46" s="672"/>
      <c r="HBH46" s="672"/>
      <c r="HBI46" s="672"/>
      <c r="HBJ46" s="672"/>
      <c r="HBK46" s="672"/>
      <c r="HBL46" s="672"/>
      <c r="HBM46" s="672"/>
      <c r="HBN46" s="672"/>
      <c r="HBO46" s="672"/>
      <c r="HBP46" s="672"/>
      <c r="HBQ46" s="672"/>
      <c r="HBR46" s="672"/>
      <c r="HBS46" s="672"/>
      <c r="HBT46" s="672"/>
      <c r="HBU46" s="672"/>
      <c r="HBV46" s="672"/>
      <c r="HBW46" s="672"/>
      <c r="HBX46" s="672"/>
      <c r="HBY46" s="672"/>
      <c r="HBZ46" s="672"/>
      <c r="HCA46" s="672"/>
      <c r="HCB46" s="672"/>
      <c r="HCC46" s="672"/>
      <c r="HCD46" s="672"/>
      <c r="HCE46" s="672"/>
      <c r="HCF46" s="672"/>
      <c r="HCG46" s="672"/>
      <c r="HCH46" s="672"/>
      <c r="HCI46" s="672"/>
      <c r="HCJ46" s="672"/>
      <c r="HCK46" s="672"/>
      <c r="HCL46" s="672"/>
      <c r="HCM46" s="672"/>
      <c r="HCN46" s="672"/>
      <c r="HCO46" s="672"/>
      <c r="HCP46" s="672"/>
      <c r="HCQ46" s="672"/>
      <c r="HCR46" s="672"/>
      <c r="HCS46" s="672"/>
      <c r="HCT46" s="672"/>
      <c r="HCU46" s="672"/>
      <c r="HCV46" s="672"/>
      <c r="HCW46" s="672"/>
      <c r="HCX46" s="672"/>
      <c r="HCY46" s="672"/>
      <c r="HCZ46" s="672"/>
      <c r="HDA46" s="672"/>
      <c r="HDB46" s="672"/>
      <c r="HDC46" s="672"/>
      <c r="HDD46" s="672"/>
      <c r="HDE46" s="672"/>
      <c r="HDF46" s="672"/>
      <c r="HDG46" s="672"/>
      <c r="HDH46" s="672"/>
      <c r="HDI46" s="672"/>
      <c r="HDJ46" s="672"/>
      <c r="HDK46" s="672"/>
      <c r="HDL46" s="672"/>
      <c r="HDM46" s="672"/>
      <c r="HDN46" s="672"/>
      <c r="HDO46" s="672"/>
      <c r="HDP46" s="672"/>
      <c r="HDQ46" s="672"/>
      <c r="HDR46" s="672"/>
      <c r="HDS46" s="672"/>
      <c r="HDT46" s="672"/>
      <c r="HDU46" s="672"/>
      <c r="HDV46" s="672"/>
      <c r="HDW46" s="672"/>
      <c r="HDX46" s="672"/>
      <c r="HDY46" s="672"/>
      <c r="HDZ46" s="672"/>
      <c r="HEA46" s="672"/>
      <c r="HEB46" s="672"/>
      <c r="HEC46" s="672"/>
      <c r="HED46" s="672"/>
      <c r="HEE46" s="672"/>
      <c r="HEF46" s="672"/>
      <c r="HEG46" s="672"/>
      <c r="HEH46" s="672"/>
      <c r="HEI46" s="672"/>
      <c r="HEJ46" s="672"/>
      <c r="HEK46" s="672"/>
      <c r="HEL46" s="672"/>
      <c r="HEM46" s="672"/>
      <c r="HEN46" s="672"/>
      <c r="HEO46" s="672"/>
      <c r="HEP46" s="672"/>
      <c r="HEQ46" s="672"/>
      <c r="HER46" s="672"/>
      <c r="HES46" s="672"/>
      <c r="HET46" s="672"/>
      <c r="HEU46" s="672"/>
      <c r="HEV46" s="672"/>
      <c r="HEW46" s="672"/>
      <c r="HEX46" s="672"/>
      <c r="HEY46" s="672"/>
      <c r="HEZ46" s="672"/>
      <c r="HFA46" s="672"/>
      <c r="HFB46" s="672"/>
      <c r="HFC46" s="672"/>
      <c r="HFD46" s="672"/>
      <c r="HFE46" s="672"/>
      <c r="HFF46" s="672"/>
      <c r="HFG46" s="672"/>
      <c r="HFH46" s="672"/>
      <c r="HFI46" s="672"/>
      <c r="HFJ46" s="672"/>
      <c r="HFK46" s="672"/>
      <c r="HFL46" s="672"/>
      <c r="HFM46" s="672"/>
      <c r="HFN46" s="672"/>
      <c r="HFO46" s="672"/>
      <c r="HFP46" s="672"/>
      <c r="HFQ46" s="672"/>
      <c r="HFR46" s="672"/>
      <c r="HFS46" s="672"/>
      <c r="HFT46" s="672"/>
      <c r="HFU46" s="672"/>
      <c r="HFV46" s="672"/>
      <c r="HFW46" s="672"/>
      <c r="HFX46" s="672"/>
      <c r="HFY46" s="672"/>
      <c r="HFZ46" s="672"/>
      <c r="HGA46" s="672"/>
      <c r="HGB46" s="672"/>
      <c r="HGC46" s="672"/>
      <c r="HGD46" s="672"/>
      <c r="HGE46" s="672"/>
      <c r="HGF46" s="672"/>
      <c r="HGG46" s="672"/>
      <c r="HGH46" s="672"/>
      <c r="HGI46" s="672"/>
      <c r="HGJ46" s="672"/>
      <c r="HGK46" s="672"/>
      <c r="HGL46" s="672"/>
      <c r="HGM46" s="672"/>
      <c r="HGN46" s="672"/>
      <c r="HGO46" s="672"/>
      <c r="HGP46" s="672"/>
      <c r="HGQ46" s="672"/>
      <c r="HGR46" s="672"/>
      <c r="HGS46" s="672"/>
      <c r="HGT46" s="672"/>
      <c r="HGU46" s="672"/>
      <c r="HGV46" s="672"/>
      <c r="HGW46" s="672"/>
      <c r="HGX46" s="672"/>
      <c r="HGY46" s="672"/>
      <c r="HGZ46" s="672"/>
      <c r="HHA46" s="672"/>
      <c r="HHB46" s="672"/>
      <c r="HHC46" s="672"/>
      <c r="HHD46" s="672"/>
      <c r="HHE46" s="672"/>
      <c r="HHF46" s="672"/>
      <c r="HHG46" s="672"/>
      <c r="HHH46" s="672"/>
      <c r="HHI46" s="672"/>
      <c r="HHJ46" s="672"/>
      <c r="HHK46" s="672"/>
      <c r="HHL46" s="672"/>
      <c r="HHM46" s="672"/>
      <c r="HHN46" s="672"/>
      <c r="HHO46" s="672"/>
      <c r="HHP46" s="672"/>
      <c r="HHQ46" s="672"/>
      <c r="HHR46" s="672"/>
      <c r="HHS46" s="672"/>
      <c r="HHT46" s="672"/>
      <c r="HHU46" s="672"/>
      <c r="HHV46" s="672"/>
      <c r="HHW46" s="672"/>
      <c r="HHX46" s="672"/>
      <c r="HHY46" s="672"/>
      <c r="HHZ46" s="672"/>
      <c r="HIA46" s="672"/>
      <c r="HIB46" s="672"/>
      <c r="HIC46" s="672"/>
      <c r="HID46" s="672"/>
      <c r="HIE46" s="672"/>
      <c r="HIF46" s="672"/>
      <c r="HIG46" s="672"/>
      <c r="HIH46" s="672"/>
      <c r="HII46" s="672"/>
      <c r="HIJ46" s="672"/>
      <c r="HIK46" s="672"/>
      <c r="HIL46" s="672"/>
      <c r="HIM46" s="672"/>
      <c r="HIN46" s="672"/>
      <c r="HIO46" s="672"/>
      <c r="HIP46" s="672"/>
      <c r="HIQ46" s="672"/>
      <c r="HIR46" s="672"/>
      <c r="HIS46" s="672"/>
      <c r="HIT46" s="672"/>
      <c r="HIU46" s="672"/>
      <c r="HIV46" s="672"/>
      <c r="HIW46" s="672"/>
      <c r="HIX46" s="672"/>
      <c r="HIY46" s="672"/>
      <c r="HIZ46" s="672"/>
      <c r="HJA46" s="672"/>
      <c r="HJB46" s="672"/>
      <c r="HJC46" s="672"/>
      <c r="HJD46" s="672"/>
      <c r="HJE46" s="672"/>
      <c r="HJF46" s="672"/>
      <c r="HJG46" s="672"/>
      <c r="HJH46" s="672"/>
      <c r="HJI46" s="672"/>
      <c r="HJJ46" s="672"/>
      <c r="HJK46" s="672"/>
      <c r="HJL46" s="672"/>
      <c r="HJM46" s="672"/>
      <c r="HJN46" s="672"/>
      <c r="HJO46" s="672"/>
      <c r="HJP46" s="672"/>
      <c r="HJQ46" s="672"/>
      <c r="HJR46" s="672"/>
      <c r="HJS46" s="672"/>
      <c r="HJT46" s="672"/>
      <c r="HJU46" s="672"/>
      <c r="HJV46" s="672"/>
      <c r="HJW46" s="672"/>
      <c r="HJX46" s="672"/>
      <c r="HJY46" s="672"/>
      <c r="HJZ46" s="672"/>
      <c r="HKA46" s="672"/>
      <c r="HKB46" s="672"/>
      <c r="HKC46" s="672"/>
      <c r="HKD46" s="672"/>
      <c r="HKE46" s="672"/>
      <c r="HKF46" s="672"/>
      <c r="HKG46" s="672"/>
      <c r="HKH46" s="672"/>
      <c r="HKI46" s="672"/>
      <c r="HKJ46" s="672"/>
      <c r="HKK46" s="672"/>
      <c r="HKL46" s="672"/>
      <c r="HKM46" s="672"/>
      <c r="HKN46" s="672"/>
      <c r="HKO46" s="672"/>
      <c r="HKP46" s="672"/>
      <c r="HKQ46" s="672"/>
      <c r="HKR46" s="672"/>
      <c r="HKS46" s="672"/>
      <c r="HKT46" s="672"/>
      <c r="HKU46" s="672"/>
      <c r="HKV46" s="672"/>
      <c r="HKW46" s="672"/>
      <c r="HKX46" s="672"/>
      <c r="HKY46" s="672"/>
      <c r="HKZ46" s="672"/>
      <c r="HLA46" s="672"/>
      <c r="HLB46" s="672"/>
      <c r="HLC46" s="672"/>
      <c r="HLD46" s="672"/>
      <c r="HLE46" s="672"/>
      <c r="HLF46" s="672"/>
      <c r="HLG46" s="672"/>
      <c r="HLH46" s="672"/>
      <c r="HLI46" s="672"/>
      <c r="HLJ46" s="672"/>
      <c r="HLK46" s="672"/>
      <c r="HLL46" s="672"/>
      <c r="HLM46" s="672"/>
      <c r="HLN46" s="672"/>
      <c r="HLO46" s="672"/>
      <c r="HLP46" s="672"/>
      <c r="HLQ46" s="672"/>
      <c r="HLR46" s="672"/>
      <c r="HLS46" s="672"/>
      <c r="HLT46" s="672"/>
      <c r="HLU46" s="672"/>
      <c r="HLV46" s="672"/>
      <c r="HLW46" s="672"/>
      <c r="HLX46" s="672"/>
      <c r="HLY46" s="672"/>
      <c r="HLZ46" s="672"/>
      <c r="HMA46" s="672"/>
      <c r="HMB46" s="672"/>
      <c r="HMC46" s="672"/>
      <c r="HMD46" s="672"/>
      <c r="HME46" s="672"/>
      <c r="HMF46" s="672"/>
      <c r="HMG46" s="672"/>
      <c r="HMH46" s="672"/>
      <c r="HMI46" s="672"/>
      <c r="HMJ46" s="672"/>
      <c r="HMK46" s="672"/>
      <c r="HML46" s="672"/>
      <c r="HMM46" s="672"/>
      <c r="HMN46" s="672"/>
      <c r="HMO46" s="672"/>
      <c r="HMP46" s="672"/>
      <c r="HMQ46" s="672"/>
      <c r="HMR46" s="672"/>
      <c r="HMS46" s="672"/>
      <c r="HMT46" s="672"/>
      <c r="HMU46" s="672"/>
      <c r="HMV46" s="672"/>
      <c r="HMW46" s="672"/>
      <c r="HMX46" s="672"/>
      <c r="HMY46" s="672"/>
      <c r="HMZ46" s="672"/>
      <c r="HNA46" s="672"/>
      <c r="HNB46" s="672"/>
      <c r="HNC46" s="672"/>
      <c r="HND46" s="672"/>
      <c r="HNE46" s="672"/>
      <c r="HNF46" s="672"/>
      <c r="HNG46" s="672"/>
      <c r="HNH46" s="672"/>
      <c r="HNI46" s="672"/>
      <c r="HNJ46" s="672"/>
      <c r="HNK46" s="672"/>
      <c r="HNL46" s="672"/>
      <c r="HNM46" s="672"/>
      <c r="HNN46" s="672"/>
      <c r="HNO46" s="672"/>
      <c r="HNP46" s="672"/>
      <c r="HNQ46" s="672"/>
      <c r="HNR46" s="672"/>
      <c r="HNS46" s="672"/>
      <c r="HNT46" s="672"/>
      <c r="HNU46" s="672"/>
      <c r="HNV46" s="672"/>
      <c r="HNW46" s="672"/>
      <c r="HNX46" s="672"/>
      <c r="HNY46" s="672"/>
      <c r="HNZ46" s="672"/>
      <c r="HOA46" s="672"/>
      <c r="HOB46" s="672"/>
      <c r="HOC46" s="672"/>
      <c r="HOD46" s="672"/>
      <c r="HOE46" s="672"/>
      <c r="HOF46" s="672"/>
      <c r="HOG46" s="672"/>
      <c r="HOH46" s="672"/>
      <c r="HOI46" s="672"/>
      <c r="HOJ46" s="672"/>
      <c r="HOK46" s="672"/>
      <c r="HOL46" s="672"/>
      <c r="HOM46" s="672"/>
      <c r="HON46" s="672"/>
      <c r="HOO46" s="672"/>
      <c r="HOP46" s="672"/>
      <c r="HOQ46" s="672"/>
      <c r="HOR46" s="672"/>
      <c r="HOS46" s="672"/>
      <c r="HOT46" s="672"/>
      <c r="HOU46" s="672"/>
      <c r="HOV46" s="672"/>
      <c r="HOW46" s="672"/>
      <c r="HOX46" s="672"/>
      <c r="HOY46" s="672"/>
      <c r="HOZ46" s="672"/>
      <c r="HPA46" s="672"/>
      <c r="HPB46" s="672"/>
      <c r="HPC46" s="672"/>
      <c r="HPD46" s="672"/>
      <c r="HPE46" s="672"/>
      <c r="HPF46" s="672"/>
      <c r="HPG46" s="672"/>
      <c r="HPH46" s="672"/>
      <c r="HPI46" s="672"/>
      <c r="HPJ46" s="672"/>
      <c r="HPK46" s="672"/>
      <c r="HPL46" s="672"/>
      <c r="HPM46" s="672"/>
      <c r="HPN46" s="672"/>
      <c r="HPO46" s="672"/>
      <c r="HPP46" s="672"/>
      <c r="HPQ46" s="672"/>
      <c r="HPR46" s="672"/>
      <c r="HPS46" s="672"/>
      <c r="HPT46" s="672"/>
      <c r="HPU46" s="672"/>
      <c r="HPV46" s="672"/>
      <c r="HPW46" s="672"/>
      <c r="HPX46" s="672"/>
      <c r="HPY46" s="672"/>
      <c r="HPZ46" s="672"/>
      <c r="HQA46" s="672"/>
      <c r="HQB46" s="672"/>
      <c r="HQC46" s="672"/>
      <c r="HQD46" s="672"/>
      <c r="HQE46" s="672"/>
      <c r="HQF46" s="672"/>
      <c r="HQG46" s="672"/>
      <c r="HQH46" s="672"/>
      <c r="HQI46" s="672"/>
      <c r="HQJ46" s="672"/>
      <c r="HQK46" s="672"/>
      <c r="HQL46" s="672"/>
      <c r="HQM46" s="672"/>
      <c r="HQN46" s="672"/>
      <c r="HQO46" s="672"/>
      <c r="HQP46" s="672"/>
      <c r="HQQ46" s="672"/>
      <c r="HQR46" s="672"/>
      <c r="HQS46" s="672"/>
      <c r="HQT46" s="672"/>
      <c r="HQU46" s="672"/>
      <c r="HQV46" s="672"/>
      <c r="HQW46" s="672"/>
      <c r="HQX46" s="672"/>
      <c r="HQY46" s="672"/>
      <c r="HQZ46" s="672"/>
      <c r="HRA46" s="672"/>
      <c r="HRB46" s="672"/>
      <c r="HRC46" s="672"/>
      <c r="HRD46" s="672"/>
      <c r="HRE46" s="672"/>
      <c r="HRF46" s="672"/>
      <c r="HRG46" s="672"/>
      <c r="HRH46" s="672"/>
      <c r="HRI46" s="672"/>
      <c r="HRJ46" s="672"/>
      <c r="HRK46" s="672"/>
      <c r="HRL46" s="672"/>
      <c r="HRM46" s="672"/>
      <c r="HRN46" s="672"/>
      <c r="HRO46" s="672"/>
      <c r="HRP46" s="672"/>
      <c r="HRQ46" s="672"/>
      <c r="HRR46" s="672"/>
      <c r="HRS46" s="672"/>
      <c r="HRT46" s="672"/>
      <c r="HRU46" s="672"/>
      <c r="HRV46" s="672"/>
      <c r="HRW46" s="672"/>
      <c r="HRX46" s="672"/>
      <c r="HRY46" s="672"/>
      <c r="HRZ46" s="672"/>
      <c r="HSA46" s="672"/>
      <c r="HSB46" s="672"/>
      <c r="HSC46" s="672"/>
      <c r="HSD46" s="672"/>
      <c r="HSE46" s="672"/>
      <c r="HSF46" s="672"/>
      <c r="HSG46" s="672"/>
      <c r="HSH46" s="672"/>
      <c r="HSI46" s="672"/>
      <c r="HSJ46" s="672"/>
      <c r="HSK46" s="672"/>
      <c r="HSL46" s="672"/>
      <c r="HSM46" s="672"/>
      <c r="HSN46" s="672"/>
      <c r="HSO46" s="672"/>
      <c r="HSP46" s="672"/>
      <c r="HSQ46" s="672"/>
      <c r="HSR46" s="672"/>
      <c r="HSS46" s="672"/>
      <c r="HST46" s="672"/>
      <c r="HSU46" s="672"/>
      <c r="HSV46" s="672"/>
      <c r="HSW46" s="672"/>
      <c r="HSX46" s="672"/>
      <c r="HSY46" s="672"/>
      <c r="HSZ46" s="672"/>
      <c r="HTA46" s="672"/>
      <c r="HTB46" s="672"/>
      <c r="HTC46" s="672"/>
      <c r="HTD46" s="672"/>
      <c r="HTE46" s="672"/>
      <c r="HTF46" s="672"/>
      <c r="HTG46" s="672"/>
      <c r="HTH46" s="672"/>
      <c r="HTI46" s="672"/>
      <c r="HTJ46" s="672"/>
      <c r="HTK46" s="672"/>
      <c r="HTL46" s="672"/>
      <c r="HTM46" s="672"/>
      <c r="HTN46" s="672"/>
      <c r="HTO46" s="672"/>
      <c r="HTP46" s="672"/>
      <c r="HTQ46" s="672"/>
      <c r="HTR46" s="672"/>
      <c r="HTS46" s="672"/>
      <c r="HTT46" s="672"/>
      <c r="HTU46" s="672"/>
      <c r="HTV46" s="672"/>
      <c r="HTW46" s="672"/>
      <c r="HTX46" s="672"/>
      <c r="HTY46" s="672"/>
      <c r="HTZ46" s="672"/>
      <c r="HUA46" s="672"/>
      <c r="HUB46" s="672"/>
      <c r="HUC46" s="672"/>
      <c r="HUD46" s="672"/>
      <c r="HUE46" s="672"/>
      <c r="HUF46" s="672"/>
      <c r="HUG46" s="672"/>
      <c r="HUH46" s="672"/>
      <c r="HUI46" s="672"/>
      <c r="HUJ46" s="672"/>
      <c r="HUK46" s="672"/>
      <c r="HUL46" s="672"/>
      <c r="HUM46" s="672"/>
      <c r="HUN46" s="672"/>
      <c r="HUO46" s="672"/>
      <c r="HUP46" s="672"/>
      <c r="HUQ46" s="672"/>
      <c r="HUR46" s="672"/>
      <c r="HUS46" s="672"/>
      <c r="HUT46" s="672"/>
      <c r="HUU46" s="672"/>
      <c r="HUV46" s="672"/>
      <c r="HUW46" s="672"/>
      <c r="HUX46" s="672"/>
      <c r="HUY46" s="672"/>
      <c r="HUZ46" s="672"/>
      <c r="HVA46" s="672"/>
      <c r="HVB46" s="672"/>
      <c r="HVC46" s="672"/>
      <c r="HVD46" s="672"/>
      <c r="HVE46" s="672"/>
      <c r="HVF46" s="672"/>
      <c r="HVG46" s="672"/>
      <c r="HVH46" s="672"/>
      <c r="HVI46" s="672"/>
      <c r="HVJ46" s="672"/>
      <c r="HVK46" s="672"/>
      <c r="HVL46" s="672"/>
      <c r="HVM46" s="672"/>
      <c r="HVN46" s="672"/>
      <c r="HVO46" s="672"/>
      <c r="HVP46" s="672"/>
      <c r="HVQ46" s="672"/>
      <c r="HVR46" s="672"/>
      <c r="HVS46" s="672"/>
      <c r="HVT46" s="672"/>
      <c r="HVU46" s="672"/>
      <c r="HVV46" s="672"/>
      <c r="HVW46" s="672"/>
      <c r="HVX46" s="672"/>
      <c r="HVY46" s="672"/>
      <c r="HVZ46" s="672"/>
      <c r="HWA46" s="672"/>
      <c r="HWB46" s="672"/>
      <c r="HWC46" s="672"/>
      <c r="HWD46" s="672"/>
      <c r="HWE46" s="672"/>
      <c r="HWF46" s="672"/>
      <c r="HWG46" s="672"/>
      <c r="HWH46" s="672"/>
      <c r="HWI46" s="672"/>
      <c r="HWJ46" s="672"/>
      <c r="HWK46" s="672"/>
      <c r="HWL46" s="672"/>
      <c r="HWM46" s="672"/>
      <c r="HWN46" s="672"/>
      <c r="HWO46" s="672"/>
      <c r="HWP46" s="672"/>
      <c r="HWQ46" s="672"/>
      <c r="HWR46" s="672"/>
      <c r="HWS46" s="672"/>
      <c r="HWT46" s="672"/>
      <c r="HWU46" s="672"/>
      <c r="HWV46" s="672"/>
      <c r="HWW46" s="672"/>
      <c r="HWX46" s="672"/>
      <c r="HWY46" s="672"/>
      <c r="HWZ46" s="672"/>
      <c r="HXA46" s="672"/>
      <c r="HXB46" s="672"/>
      <c r="HXC46" s="672"/>
      <c r="HXD46" s="672"/>
      <c r="HXE46" s="672"/>
      <c r="HXF46" s="672"/>
      <c r="HXG46" s="672"/>
      <c r="HXH46" s="672"/>
      <c r="HXI46" s="672"/>
      <c r="HXJ46" s="672"/>
      <c r="HXK46" s="672"/>
      <c r="HXL46" s="672"/>
      <c r="HXM46" s="672"/>
      <c r="HXN46" s="672"/>
      <c r="HXO46" s="672"/>
      <c r="HXP46" s="672"/>
      <c r="HXQ46" s="672"/>
      <c r="HXR46" s="672"/>
      <c r="HXS46" s="672"/>
      <c r="HXT46" s="672"/>
      <c r="HXU46" s="672"/>
      <c r="HXV46" s="672"/>
      <c r="HXW46" s="672"/>
      <c r="HXX46" s="672"/>
      <c r="HXY46" s="672"/>
      <c r="HXZ46" s="672"/>
      <c r="HYA46" s="672"/>
      <c r="HYB46" s="672"/>
      <c r="HYC46" s="672"/>
      <c r="HYD46" s="672"/>
      <c r="HYE46" s="672"/>
      <c r="HYF46" s="672"/>
      <c r="HYG46" s="672"/>
      <c r="HYH46" s="672"/>
      <c r="HYI46" s="672"/>
      <c r="HYJ46" s="672"/>
      <c r="HYK46" s="672"/>
      <c r="HYL46" s="672"/>
      <c r="HYM46" s="672"/>
      <c r="HYN46" s="672"/>
      <c r="HYO46" s="672"/>
      <c r="HYP46" s="672"/>
      <c r="HYQ46" s="672"/>
      <c r="HYR46" s="672"/>
      <c r="HYS46" s="672"/>
      <c r="HYT46" s="672"/>
      <c r="HYU46" s="672"/>
      <c r="HYV46" s="672"/>
      <c r="HYW46" s="672"/>
      <c r="HYX46" s="672"/>
      <c r="HYY46" s="672"/>
      <c r="HYZ46" s="672"/>
      <c r="HZA46" s="672"/>
      <c r="HZB46" s="672"/>
      <c r="HZC46" s="672"/>
      <c r="HZD46" s="672"/>
      <c r="HZE46" s="672"/>
      <c r="HZF46" s="672"/>
      <c r="HZG46" s="672"/>
      <c r="HZH46" s="672"/>
      <c r="HZI46" s="672"/>
      <c r="HZJ46" s="672"/>
      <c r="HZK46" s="672"/>
      <c r="HZL46" s="672"/>
      <c r="HZM46" s="672"/>
      <c r="HZN46" s="672"/>
      <c r="HZO46" s="672"/>
      <c r="HZP46" s="672"/>
      <c r="HZQ46" s="672"/>
      <c r="HZR46" s="672"/>
      <c r="HZS46" s="672"/>
      <c r="HZT46" s="672"/>
      <c r="HZU46" s="672"/>
      <c r="HZV46" s="672"/>
      <c r="HZW46" s="672"/>
      <c r="HZX46" s="672"/>
      <c r="HZY46" s="672"/>
      <c r="HZZ46" s="672"/>
      <c r="IAA46" s="672"/>
      <c r="IAB46" s="672"/>
      <c r="IAC46" s="672"/>
      <c r="IAD46" s="672"/>
      <c r="IAE46" s="672"/>
      <c r="IAF46" s="672"/>
      <c r="IAG46" s="672"/>
      <c r="IAH46" s="672"/>
      <c r="IAI46" s="672"/>
      <c r="IAJ46" s="672"/>
      <c r="IAK46" s="672"/>
      <c r="IAL46" s="672"/>
      <c r="IAM46" s="672"/>
      <c r="IAN46" s="672"/>
      <c r="IAO46" s="672"/>
      <c r="IAP46" s="672"/>
      <c r="IAQ46" s="672"/>
      <c r="IAR46" s="672"/>
      <c r="IAS46" s="672"/>
      <c r="IAT46" s="672"/>
      <c r="IAU46" s="672"/>
      <c r="IAV46" s="672"/>
      <c r="IAW46" s="672"/>
      <c r="IAX46" s="672"/>
      <c r="IAY46" s="672"/>
      <c r="IAZ46" s="672"/>
      <c r="IBA46" s="672"/>
      <c r="IBB46" s="672"/>
      <c r="IBC46" s="672"/>
      <c r="IBD46" s="672"/>
      <c r="IBE46" s="672"/>
      <c r="IBF46" s="672"/>
      <c r="IBG46" s="672"/>
      <c r="IBH46" s="672"/>
      <c r="IBI46" s="672"/>
      <c r="IBJ46" s="672"/>
      <c r="IBK46" s="672"/>
      <c r="IBL46" s="672"/>
      <c r="IBM46" s="672"/>
      <c r="IBN46" s="672"/>
      <c r="IBO46" s="672"/>
      <c r="IBP46" s="672"/>
      <c r="IBQ46" s="672"/>
      <c r="IBR46" s="672"/>
      <c r="IBS46" s="672"/>
      <c r="IBT46" s="672"/>
      <c r="IBU46" s="672"/>
      <c r="IBV46" s="672"/>
      <c r="IBW46" s="672"/>
      <c r="IBX46" s="672"/>
      <c r="IBY46" s="672"/>
      <c r="IBZ46" s="672"/>
      <c r="ICA46" s="672"/>
      <c r="ICB46" s="672"/>
      <c r="ICC46" s="672"/>
      <c r="ICD46" s="672"/>
      <c r="ICE46" s="672"/>
      <c r="ICF46" s="672"/>
      <c r="ICG46" s="672"/>
      <c r="ICH46" s="672"/>
      <c r="ICI46" s="672"/>
      <c r="ICJ46" s="672"/>
      <c r="ICK46" s="672"/>
      <c r="ICL46" s="672"/>
      <c r="ICM46" s="672"/>
      <c r="ICN46" s="672"/>
      <c r="ICO46" s="672"/>
      <c r="ICP46" s="672"/>
      <c r="ICQ46" s="672"/>
      <c r="ICR46" s="672"/>
      <c r="ICS46" s="672"/>
      <c r="ICT46" s="672"/>
      <c r="ICU46" s="672"/>
      <c r="ICV46" s="672"/>
      <c r="ICW46" s="672"/>
      <c r="ICX46" s="672"/>
      <c r="ICY46" s="672"/>
      <c r="ICZ46" s="672"/>
      <c r="IDA46" s="672"/>
      <c r="IDB46" s="672"/>
      <c r="IDC46" s="672"/>
      <c r="IDD46" s="672"/>
      <c r="IDE46" s="672"/>
      <c r="IDF46" s="672"/>
      <c r="IDG46" s="672"/>
      <c r="IDH46" s="672"/>
      <c r="IDI46" s="672"/>
      <c r="IDJ46" s="672"/>
      <c r="IDK46" s="672"/>
      <c r="IDL46" s="672"/>
      <c r="IDM46" s="672"/>
      <c r="IDN46" s="672"/>
      <c r="IDO46" s="672"/>
      <c r="IDP46" s="672"/>
      <c r="IDQ46" s="672"/>
      <c r="IDR46" s="672"/>
      <c r="IDS46" s="672"/>
      <c r="IDT46" s="672"/>
      <c r="IDU46" s="672"/>
      <c r="IDV46" s="672"/>
      <c r="IDW46" s="672"/>
      <c r="IDX46" s="672"/>
      <c r="IDY46" s="672"/>
      <c r="IDZ46" s="672"/>
      <c r="IEA46" s="672"/>
      <c r="IEB46" s="672"/>
      <c r="IEC46" s="672"/>
      <c r="IED46" s="672"/>
      <c r="IEE46" s="672"/>
      <c r="IEF46" s="672"/>
      <c r="IEG46" s="672"/>
      <c r="IEH46" s="672"/>
      <c r="IEI46" s="672"/>
      <c r="IEJ46" s="672"/>
      <c r="IEK46" s="672"/>
      <c r="IEL46" s="672"/>
      <c r="IEM46" s="672"/>
      <c r="IEN46" s="672"/>
      <c r="IEO46" s="672"/>
      <c r="IEP46" s="672"/>
      <c r="IEQ46" s="672"/>
      <c r="IER46" s="672"/>
      <c r="IES46" s="672"/>
      <c r="IET46" s="672"/>
      <c r="IEU46" s="672"/>
      <c r="IEV46" s="672"/>
      <c r="IEW46" s="672"/>
      <c r="IEX46" s="672"/>
      <c r="IEY46" s="672"/>
      <c r="IEZ46" s="672"/>
      <c r="IFA46" s="672"/>
      <c r="IFB46" s="672"/>
      <c r="IFC46" s="672"/>
      <c r="IFD46" s="672"/>
      <c r="IFE46" s="672"/>
      <c r="IFF46" s="672"/>
      <c r="IFG46" s="672"/>
      <c r="IFH46" s="672"/>
      <c r="IFI46" s="672"/>
      <c r="IFJ46" s="672"/>
      <c r="IFK46" s="672"/>
      <c r="IFL46" s="672"/>
      <c r="IFM46" s="672"/>
      <c r="IFN46" s="672"/>
      <c r="IFO46" s="672"/>
      <c r="IFP46" s="672"/>
      <c r="IFQ46" s="672"/>
      <c r="IFR46" s="672"/>
      <c r="IFS46" s="672"/>
      <c r="IFT46" s="672"/>
      <c r="IFU46" s="672"/>
      <c r="IFV46" s="672"/>
      <c r="IFW46" s="672"/>
      <c r="IFX46" s="672"/>
      <c r="IFY46" s="672"/>
      <c r="IFZ46" s="672"/>
      <c r="IGA46" s="672"/>
      <c r="IGB46" s="672"/>
      <c r="IGC46" s="672"/>
      <c r="IGD46" s="672"/>
      <c r="IGE46" s="672"/>
      <c r="IGF46" s="672"/>
      <c r="IGG46" s="672"/>
      <c r="IGH46" s="672"/>
      <c r="IGI46" s="672"/>
      <c r="IGJ46" s="672"/>
      <c r="IGK46" s="672"/>
      <c r="IGL46" s="672"/>
      <c r="IGM46" s="672"/>
      <c r="IGN46" s="672"/>
      <c r="IGO46" s="672"/>
      <c r="IGP46" s="672"/>
      <c r="IGQ46" s="672"/>
      <c r="IGR46" s="672"/>
      <c r="IGS46" s="672"/>
      <c r="IGT46" s="672"/>
      <c r="IGU46" s="672"/>
      <c r="IGV46" s="672"/>
      <c r="IGW46" s="672"/>
      <c r="IGX46" s="672"/>
      <c r="IGY46" s="672"/>
      <c r="IGZ46" s="672"/>
      <c r="IHA46" s="672"/>
      <c r="IHB46" s="672"/>
      <c r="IHC46" s="672"/>
      <c r="IHD46" s="672"/>
      <c r="IHE46" s="672"/>
      <c r="IHF46" s="672"/>
      <c r="IHG46" s="672"/>
      <c r="IHH46" s="672"/>
      <c r="IHI46" s="672"/>
      <c r="IHJ46" s="672"/>
      <c r="IHK46" s="672"/>
      <c r="IHL46" s="672"/>
      <c r="IHM46" s="672"/>
      <c r="IHN46" s="672"/>
      <c r="IHO46" s="672"/>
      <c r="IHP46" s="672"/>
      <c r="IHQ46" s="672"/>
      <c r="IHR46" s="672"/>
      <c r="IHS46" s="672"/>
      <c r="IHT46" s="672"/>
      <c r="IHU46" s="672"/>
      <c r="IHV46" s="672"/>
      <c r="IHW46" s="672"/>
      <c r="IHX46" s="672"/>
      <c r="IHY46" s="672"/>
      <c r="IHZ46" s="672"/>
      <c r="IIA46" s="672"/>
      <c r="IIB46" s="672"/>
      <c r="IIC46" s="672"/>
      <c r="IID46" s="672"/>
      <c r="IIE46" s="672"/>
      <c r="IIF46" s="672"/>
      <c r="IIG46" s="672"/>
      <c r="IIH46" s="672"/>
      <c r="III46" s="672"/>
      <c r="IIJ46" s="672"/>
      <c r="IIK46" s="672"/>
      <c r="IIL46" s="672"/>
      <c r="IIM46" s="672"/>
      <c r="IIN46" s="672"/>
      <c r="IIO46" s="672"/>
      <c r="IIP46" s="672"/>
      <c r="IIQ46" s="672"/>
      <c r="IIR46" s="672"/>
      <c r="IIS46" s="672"/>
      <c r="IIT46" s="672"/>
      <c r="IIU46" s="672"/>
      <c r="IIV46" s="672"/>
      <c r="IIW46" s="672"/>
      <c r="IIX46" s="672"/>
      <c r="IIY46" s="672"/>
      <c r="IIZ46" s="672"/>
      <c r="IJA46" s="672"/>
      <c r="IJB46" s="672"/>
      <c r="IJC46" s="672"/>
      <c r="IJD46" s="672"/>
      <c r="IJE46" s="672"/>
      <c r="IJF46" s="672"/>
      <c r="IJG46" s="672"/>
      <c r="IJH46" s="672"/>
      <c r="IJI46" s="672"/>
      <c r="IJJ46" s="672"/>
      <c r="IJK46" s="672"/>
      <c r="IJL46" s="672"/>
      <c r="IJM46" s="672"/>
      <c r="IJN46" s="672"/>
      <c r="IJO46" s="672"/>
      <c r="IJP46" s="672"/>
      <c r="IJQ46" s="672"/>
      <c r="IJR46" s="672"/>
      <c r="IJS46" s="672"/>
      <c r="IJT46" s="672"/>
      <c r="IJU46" s="672"/>
      <c r="IJV46" s="672"/>
      <c r="IJW46" s="672"/>
      <c r="IJX46" s="672"/>
      <c r="IJY46" s="672"/>
      <c r="IJZ46" s="672"/>
      <c r="IKA46" s="672"/>
      <c r="IKB46" s="672"/>
      <c r="IKC46" s="672"/>
      <c r="IKD46" s="672"/>
      <c r="IKE46" s="672"/>
      <c r="IKF46" s="672"/>
      <c r="IKG46" s="672"/>
      <c r="IKH46" s="672"/>
      <c r="IKI46" s="672"/>
      <c r="IKJ46" s="672"/>
      <c r="IKK46" s="672"/>
      <c r="IKL46" s="672"/>
      <c r="IKM46" s="672"/>
      <c r="IKN46" s="672"/>
      <c r="IKO46" s="672"/>
      <c r="IKP46" s="672"/>
      <c r="IKQ46" s="672"/>
      <c r="IKR46" s="672"/>
      <c r="IKS46" s="672"/>
      <c r="IKT46" s="672"/>
      <c r="IKU46" s="672"/>
      <c r="IKV46" s="672"/>
      <c r="IKW46" s="672"/>
      <c r="IKX46" s="672"/>
      <c r="IKY46" s="672"/>
      <c r="IKZ46" s="672"/>
      <c r="ILA46" s="672"/>
      <c r="ILB46" s="672"/>
      <c r="ILC46" s="672"/>
      <c r="ILD46" s="672"/>
      <c r="ILE46" s="672"/>
      <c r="ILF46" s="672"/>
      <c r="ILG46" s="672"/>
      <c r="ILH46" s="672"/>
      <c r="ILI46" s="672"/>
      <c r="ILJ46" s="672"/>
      <c r="ILK46" s="672"/>
      <c r="ILL46" s="672"/>
      <c r="ILM46" s="672"/>
      <c r="ILN46" s="672"/>
      <c r="ILO46" s="672"/>
      <c r="ILP46" s="672"/>
      <c r="ILQ46" s="672"/>
      <c r="ILR46" s="672"/>
      <c r="ILS46" s="672"/>
      <c r="ILT46" s="672"/>
      <c r="ILU46" s="672"/>
      <c r="ILV46" s="672"/>
      <c r="ILW46" s="672"/>
      <c r="ILX46" s="672"/>
      <c r="ILY46" s="672"/>
      <c r="ILZ46" s="672"/>
      <c r="IMA46" s="672"/>
      <c r="IMB46" s="672"/>
      <c r="IMC46" s="672"/>
      <c r="IMD46" s="672"/>
      <c r="IME46" s="672"/>
      <c r="IMF46" s="672"/>
      <c r="IMG46" s="672"/>
      <c r="IMH46" s="672"/>
      <c r="IMI46" s="672"/>
      <c r="IMJ46" s="672"/>
      <c r="IMK46" s="672"/>
      <c r="IML46" s="672"/>
      <c r="IMM46" s="672"/>
      <c r="IMN46" s="672"/>
      <c r="IMO46" s="672"/>
      <c r="IMP46" s="672"/>
      <c r="IMQ46" s="672"/>
      <c r="IMR46" s="672"/>
      <c r="IMS46" s="672"/>
      <c r="IMT46" s="672"/>
      <c r="IMU46" s="672"/>
      <c r="IMV46" s="672"/>
      <c r="IMW46" s="672"/>
      <c r="IMX46" s="672"/>
      <c r="IMY46" s="672"/>
      <c r="IMZ46" s="672"/>
      <c r="INA46" s="672"/>
      <c r="INB46" s="672"/>
      <c r="INC46" s="672"/>
      <c r="IND46" s="672"/>
      <c r="INE46" s="672"/>
      <c r="INF46" s="672"/>
      <c r="ING46" s="672"/>
      <c r="INH46" s="672"/>
      <c r="INI46" s="672"/>
      <c r="INJ46" s="672"/>
      <c r="INK46" s="672"/>
      <c r="INL46" s="672"/>
      <c r="INM46" s="672"/>
      <c r="INN46" s="672"/>
      <c r="INO46" s="672"/>
      <c r="INP46" s="672"/>
      <c r="INQ46" s="672"/>
      <c r="INR46" s="672"/>
      <c r="INS46" s="672"/>
      <c r="INT46" s="672"/>
      <c r="INU46" s="672"/>
      <c r="INV46" s="672"/>
      <c r="INW46" s="672"/>
      <c r="INX46" s="672"/>
      <c r="INY46" s="672"/>
      <c r="INZ46" s="672"/>
      <c r="IOA46" s="672"/>
      <c r="IOB46" s="672"/>
      <c r="IOC46" s="672"/>
      <c r="IOD46" s="672"/>
      <c r="IOE46" s="672"/>
      <c r="IOF46" s="672"/>
      <c r="IOG46" s="672"/>
      <c r="IOH46" s="672"/>
      <c r="IOI46" s="672"/>
      <c r="IOJ46" s="672"/>
      <c r="IOK46" s="672"/>
      <c r="IOL46" s="672"/>
      <c r="IOM46" s="672"/>
      <c r="ION46" s="672"/>
      <c r="IOO46" s="672"/>
      <c r="IOP46" s="672"/>
      <c r="IOQ46" s="672"/>
      <c r="IOR46" s="672"/>
      <c r="IOS46" s="672"/>
      <c r="IOT46" s="672"/>
      <c r="IOU46" s="672"/>
      <c r="IOV46" s="672"/>
      <c r="IOW46" s="672"/>
      <c r="IOX46" s="672"/>
      <c r="IOY46" s="672"/>
      <c r="IOZ46" s="672"/>
      <c r="IPA46" s="672"/>
      <c r="IPB46" s="672"/>
      <c r="IPC46" s="672"/>
      <c r="IPD46" s="672"/>
      <c r="IPE46" s="672"/>
      <c r="IPF46" s="672"/>
      <c r="IPG46" s="672"/>
      <c r="IPH46" s="672"/>
      <c r="IPI46" s="672"/>
      <c r="IPJ46" s="672"/>
      <c r="IPK46" s="672"/>
      <c r="IPL46" s="672"/>
      <c r="IPM46" s="672"/>
      <c r="IPN46" s="672"/>
      <c r="IPO46" s="672"/>
      <c r="IPP46" s="672"/>
      <c r="IPQ46" s="672"/>
      <c r="IPR46" s="672"/>
      <c r="IPS46" s="672"/>
      <c r="IPT46" s="672"/>
      <c r="IPU46" s="672"/>
      <c r="IPV46" s="672"/>
      <c r="IPW46" s="672"/>
      <c r="IPX46" s="672"/>
      <c r="IPY46" s="672"/>
      <c r="IPZ46" s="672"/>
      <c r="IQA46" s="672"/>
      <c r="IQB46" s="672"/>
      <c r="IQC46" s="672"/>
      <c r="IQD46" s="672"/>
      <c r="IQE46" s="672"/>
      <c r="IQF46" s="672"/>
      <c r="IQG46" s="672"/>
      <c r="IQH46" s="672"/>
      <c r="IQI46" s="672"/>
      <c r="IQJ46" s="672"/>
      <c r="IQK46" s="672"/>
      <c r="IQL46" s="672"/>
      <c r="IQM46" s="672"/>
      <c r="IQN46" s="672"/>
      <c r="IQO46" s="672"/>
      <c r="IQP46" s="672"/>
      <c r="IQQ46" s="672"/>
      <c r="IQR46" s="672"/>
      <c r="IQS46" s="672"/>
      <c r="IQT46" s="672"/>
      <c r="IQU46" s="672"/>
      <c r="IQV46" s="672"/>
      <c r="IQW46" s="672"/>
      <c r="IQX46" s="672"/>
      <c r="IQY46" s="672"/>
      <c r="IQZ46" s="672"/>
      <c r="IRA46" s="672"/>
      <c r="IRB46" s="672"/>
      <c r="IRC46" s="672"/>
      <c r="IRD46" s="672"/>
      <c r="IRE46" s="672"/>
      <c r="IRF46" s="672"/>
      <c r="IRG46" s="672"/>
      <c r="IRH46" s="672"/>
      <c r="IRI46" s="672"/>
      <c r="IRJ46" s="672"/>
      <c r="IRK46" s="672"/>
      <c r="IRL46" s="672"/>
      <c r="IRM46" s="672"/>
      <c r="IRN46" s="672"/>
      <c r="IRO46" s="672"/>
      <c r="IRP46" s="672"/>
      <c r="IRQ46" s="672"/>
      <c r="IRR46" s="672"/>
      <c r="IRS46" s="672"/>
      <c r="IRT46" s="672"/>
      <c r="IRU46" s="672"/>
      <c r="IRV46" s="672"/>
      <c r="IRW46" s="672"/>
      <c r="IRX46" s="672"/>
      <c r="IRY46" s="672"/>
      <c r="IRZ46" s="672"/>
      <c r="ISA46" s="672"/>
      <c r="ISB46" s="672"/>
      <c r="ISC46" s="672"/>
      <c r="ISD46" s="672"/>
      <c r="ISE46" s="672"/>
      <c r="ISF46" s="672"/>
      <c r="ISG46" s="672"/>
      <c r="ISH46" s="672"/>
      <c r="ISI46" s="672"/>
      <c r="ISJ46" s="672"/>
      <c r="ISK46" s="672"/>
      <c r="ISL46" s="672"/>
      <c r="ISM46" s="672"/>
      <c r="ISN46" s="672"/>
      <c r="ISO46" s="672"/>
      <c r="ISP46" s="672"/>
      <c r="ISQ46" s="672"/>
      <c r="ISR46" s="672"/>
      <c r="ISS46" s="672"/>
      <c r="IST46" s="672"/>
      <c r="ISU46" s="672"/>
      <c r="ISV46" s="672"/>
      <c r="ISW46" s="672"/>
      <c r="ISX46" s="672"/>
      <c r="ISY46" s="672"/>
      <c r="ISZ46" s="672"/>
      <c r="ITA46" s="672"/>
      <c r="ITB46" s="672"/>
      <c r="ITC46" s="672"/>
      <c r="ITD46" s="672"/>
      <c r="ITE46" s="672"/>
      <c r="ITF46" s="672"/>
      <c r="ITG46" s="672"/>
      <c r="ITH46" s="672"/>
      <c r="ITI46" s="672"/>
      <c r="ITJ46" s="672"/>
      <c r="ITK46" s="672"/>
      <c r="ITL46" s="672"/>
      <c r="ITM46" s="672"/>
      <c r="ITN46" s="672"/>
      <c r="ITO46" s="672"/>
      <c r="ITP46" s="672"/>
      <c r="ITQ46" s="672"/>
      <c r="ITR46" s="672"/>
      <c r="ITS46" s="672"/>
      <c r="ITT46" s="672"/>
      <c r="ITU46" s="672"/>
      <c r="ITV46" s="672"/>
      <c r="ITW46" s="672"/>
      <c r="ITX46" s="672"/>
      <c r="ITY46" s="672"/>
      <c r="ITZ46" s="672"/>
      <c r="IUA46" s="672"/>
      <c r="IUB46" s="672"/>
      <c r="IUC46" s="672"/>
      <c r="IUD46" s="672"/>
      <c r="IUE46" s="672"/>
      <c r="IUF46" s="672"/>
      <c r="IUG46" s="672"/>
      <c r="IUH46" s="672"/>
      <c r="IUI46" s="672"/>
      <c r="IUJ46" s="672"/>
      <c r="IUK46" s="672"/>
      <c r="IUL46" s="672"/>
      <c r="IUM46" s="672"/>
      <c r="IUN46" s="672"/>
      <c r="IUO46" s="672"/>
      <c r="IUP46" s="672"/>
      <c r="IUQ46" s="672"/>
      <c r="IUR46" s="672"/>
      <c r="IUS46" s="672"/>
      <c r="IUT46" s="672"/>
      <c r="IUU46" s="672"/>
      <c r="IUV46" s="672"/>
      <c r="IUW46" s="672"/>
      <c r="IUX46" s="672"/>
      <c r="IUY46" s="672"/>
      <c r="IUZ46" s="672"/>
      <c r="IVA46" s="672"/>
      <c r="IVB46" s="672"/>
      <c r="IVC46" s="672"/>
      <c r="IVD46" s="672"/>
      <c r="IVE46" s="672"/>
      <c r="IVF46" s="672"/>
      <c r="IVG46" s="672"/>
      <c r="IVH46" s="672"/>
      <c r="IVI46" s="672"/>
      <c r="IVJ46" s="672"/>
      <c r="IVK46" s="672"/>
      <c r="IVL46" s="672"/>
      <c r="IVM46" s="672"/>
      <c r="IVN46" s="672"/>
      <c r="IVO46" s="672"/>
      <c r="IVP46" s="672"/>
      <c r="IVQ46" s="672"/>
      <c r="IVR46" s="672"/>
      <c r="IVS46" s="672"/>
      <c r="IVT46" s="672"/>
      <c r="IVU46" s="672"/>
      <c r="IVV46" s="672"/>
      <c r="IVW46" s="672"/>
      <c r="IVX46" s="672"/>
      <c r="IVY46" s="672"/>
      <c r="IVZ46" s="672"/>
      <c r="IWA46" s="672"/>
      <c r="IWB46" s="672"/>
      <c r="IWC46" s="672"/>
      <c r="IWD46" s="672"/>
      <c r="IWE46" s="672"/>
      <c r="IWF46" s="672"/>
      <c r="IWG46" s="672"/>
      <c r="IWH46" s="672"/>
      <c r="IWI46" s="672"/>
      <c r="IWJ46" s="672"/>
      <c r="IWK46" s="672"/>
      <c r="IWL46" s="672"/>
      <c r="IWM46" s="672"/>
      <c r="IWN46" s="672"/>
      <c r="IWO46" s="672"/>
      <c r="IWP46" s="672"/>
      <c r="IWQ46" s="672"/>
      <c r="IWR46" s="672"/>
      <c r="IWS46" s="672"/>
      <c r="IWT46" s="672"/>
      <c r="IWU46" s="672"/>
      <c r="IWV46" s="672"/>
      <c r="IWW46" s="672"/>
      <c r="IWX46" s="672"/>
      <c r="IWY46" s="672"/>
      <c r="IWZ46" s="672"/>
      <c r="IXA46" s="672"/>
      <c r="IXB46" s="672"/>
      <c r="IXC46" s="672"/>
      <c r="IXD46" s="672"/>
      <c r="IXE46" s="672"/>
      <c r="IXF46" s="672"/>
      <c r="IXG46" s="672"/>
      <c r="IXH46" s="672"/>
      <c r="IXI46" s="672"/>
      <c r="IXJ46" s="672"/>
      <c r="IXK46" s="672"/>
      <c r="IXL46" s="672"/>
      <c r="IXM46" s="672"/>
      <c r="IXN46" s="672"/>
      <c r="IXO46" s="672"/>
      <c r="IXP46" s="672"/>
      <c r="IXQ46" s="672"/>
      <c r="IXR46" s="672"/>
      <c r="IXS46" s="672"/>
      <c r="IXT46" s="672"/>
      <c r="IXU46" s="672"/>
      <c r="IXV46" s="672"/>
      <c r="IXW46" s="672"/>
      <c r="IXX46" s="672"/>
      <c r="IXY46" s="672"/>
      <c r="IXZ46" s="672"/>
      <c r="IYA46" s="672"/>
      <c r="IYB46" s="672"/>
      <c r="IYC46" s="672"/>
      <c r="IYD46" s="672"/>
      <c r="IYE46" s="672"/>
      <c r="IYF46" s="672"/>
      <c r="IYG46" s="672"/>
      <c r="IYH46" s="672"/>
      <c r="IYI46" s="672"/>
      <c r="IYJ46" s="672"/>
      <c r="IYK46" s="672"/>
      <c r="IYL46" s="672"/>
      <c r="IYM46" s="672"/>
      <c r="IYN46" s="672"/>
      <c r="IYO46" s="672"/>
      <c r="IYP46" s="672"/>
      <c r="IYQ46" s="672"/>
      <c r="IYR46" s="672"/>
      <c r="IYS46" s="672"/>
      <c r="IYT46" s="672"/>
      <c r="IYU46" s="672"/>
      <c r="IYV46" s="672"/>
      <c r="IYW46" s="672"/>
      <c r="IYX46" s="672"/>
      <c r="IYY46" s="672"/>
      <c r="IYZ46" s="672"/>
      <c r="IZA46" s="672"/>
      <c r="IZB46" s="672"/>
      <c r="IZC46" s="672"/>
      <c r="IZD46" s="672"/>
      <c r="IZE46" s="672"/>
      <c r="IZF46" s="672"/>
      <c r="IZG46" s="672"/>
      <c r="IZH46" s="672"/>
      <c r="IZI46" s="672"/>
      <c r="IZJ46" s="672"/>
      <c r="IZK46" s="672"/>
      <c r="IZL46" s="672"/>
      <c r="IZM46" s="672"/>
      <c r="IZN46" s="672"/>
      <c r="IZO46" s="672"/>
      <c r="IZP46" s="672"/>
      <c r="IZQ46" s="672"/>
      <c r="IZR46" s="672"/>
      <c r="IZS46" s="672"/>
      <c r="IZT46" s="672"/>
      <c r="IZU46" s="672"/>
      <c r="IZV46" s="672"/>
      <c r="IZW46" s="672"/>
      <c r="IZX46" s="672"/>
      <c r="IZY46" s="672"/>
      <c r="IZZ46" s="672"/>
      <c r="JAA46" s="672"/>
      <c r="JAB46" s="672"/>
      <c r="JAC46" s="672"/>
      <c r="JAD46" s="672"/>
      <c r="JAE46" s="672"/>
      <c r="JAF46" s="672"/>
      <c r="JAG46" s="672"/>
      <c r="JAH46" s="672"/>
      <c r="JAI46" s="672"/>
      <c r="JAJ46" s="672"/>
      <c r="JAK46" s="672"/>
      <c r="JAL46" s="672"/>
      <c r="JAM46" s="672"/>
      <c r="JAN46" s="672"/>
      <c r="JAO46" s="672"/>
      <c r="JAP46" s="672"/>
      <c r="JAQ46" s="672"/>
      <c r="JAR46" s="672"/>
      <c r="JAS46" s="672"/>
      <c r="JAT46" s="672"/>
      <c r="JAU46" s="672"/>
      <c r="JAV46" s="672"/>
      <c r="JAW46" s="672"/>
      <c r="JAX46" s="672"/>
      <c r="JAY46" s="672"/>
      <c r="JAZ46" s="672"/>
      <c r="JBA46" s="672"/>
      <c r="JBB46" s="672"/>
      <c r="JBC46" s="672"/>
      <c r="JBD46" s="672"/>
      <c r="JBE46" s="672"/>
      <c r="JBF46" s="672"/>
      <c r="JBG46" s="672"/>
      <c r="JBH46" s="672"/>
      <c r="JBI46" s="672"/>
      <c r="JBJ46" s="672"/>
      <c r="JBK46" s="672"/>
      <c r="JBL46" s="672"/>
      <c r="JBM46" s="672"/>
      <c r="JBN46" s="672"/>
      <c r="JBO46" s="672"/>
      <c r="JBP46" s="672"/>
      <c r="JBQ46" s="672"/>
      <c r="JBR46" s="672"/>
      <c r="JBS46" s="672"/>
      <c r="JBT46" s="672"/>
      <c r="JBU46" s="672"/>
      <c r="JBV46" s="672"/>
      <c r="JBW46" s="672"/>
      <c r="JBX46" s="672"/>
      <c r="JBY46" s="672"/>
      <c r="JBZ46" s="672"/>
      <c r="JCA46" s="672"/>
      <c r="JCB46" s="672"/>
      <c r="JCC46" s="672"/>
      <c r="JCD46" s="672"/>
      <c r="JCE46" s="672"/>
      <c r="JCF46" s="672"/>
      <c r="JCG46" s="672"/>
      <c r="JCH46" s="672"/>
      <c r="JCI46" s="672"/>
      <c r="JCJ46" s="672"/>
      <c r="JCK46" s="672"/>
      <c r="JCL46" s="672"/>
      <c r="JCM46" s="672"/>
      <c r="JCN46" s="672"/>
      <c r="JCO46" s="672"/>
      <c r="JCP46" s="672"/>
      <c r="JCQ46" s="672"/>
      <c r="JCR46" s="672"/>
      <c r="JCS46" s="672"/>
      <c r="JCT46" s="672"/>
      <c r="JCU46" s="672"/>
      <c r="JCV46" s="672"/>
      <c r="JCW46" s="672"/>
      <c r="JCX46" s="672"/>
      <c r="JCY46" s="672"/>
      <c r="JCZ46" s="672"/>
      <c r="JDA46" s="672"/>
      <c r="JDB46" s="672"/>
      <c r="JDC46" s="672"/>
      <c r="JDD46" s="672"/>
      <c r="JDE46" s="672"/>
      <c r="JDF46" s="672"/>
      <c r="JDG46" s="672"/>
      <c r="JDH46" s="672"/>
      <c r="JDI46" s="672"/>
      <c r="JDJ46" s="672"/>
      <c r="JDK46" s="672"/>
      <c r="JDL46" s="672"/>
      <c r="JDM46" s="672"/>
      <c r="JDN46" s="672"/>
      <c r="JDO46" s="672"/>
      <c r="JDP46" s="672"/>
      <c r="JDQ46" s="672"/>
      <c r="JDR46" s="672"/>
      <c r="JDS46" s="672"/>
      <c r="JDT46" s="672"/>
      <c r="JDU46" s="672"/>
      <c r="JDV46" s="672"/>
      <c r="JDW46" s="672"/>
      <c r="JDX46" s="672"/>
      <c r="JDY46" s="672"/>
      <c r="JDZ46" s="672"/>
      <c r="JEA46" s="672"/>
      <c r="JEB46" s="672"/>
      <c r="JEC46" s="672"/>
      <c r="JED46" s="672"/>
      <c r="JEE46" s="672"/>
      <c r="JEF46" s="672"/>
      <c r="JEG46" s="672"/>
      <c r="JEH46" s="672"/>
      <c r="JEI46" s="672"/>
      <c r="JEJ46" s="672"/>
      <c r="JEK46" s="672"/>
      <c r="JEL46" s="672"/>
      <c r="JEM46" s="672"/>
      <c r="JEN46" s="672"/>
      <c r="JEO46" s="672"/>
      <c r="JEP46" s="672"/>
      <c r="JEQ46" s="672"/>
      <c r="JER46" s="672"/>
      <c r="JES46" s="672"/>
      <c r="JET46" s="672"/>
      <c r="JEU46" s="672"/>
      <c r="JEV46" s="672"/>
      <c r="JEW46" s="672"/>
      <c r="JEX46" s="672"/>
      <c r="JEY46" s="672"/>
      <c r="JEZ46" s="672"/>
      <c r="JFA46" s="672"/>
      <c r="JFB46" s="672"/>
      <c r="JFC46" s="672"/>
      <c r="JFD46" s="672"/>
      <c r="JFE46" s="672"/>
      <c r="JFF46" s="672"/>
      <c r="JFG46" s="672"/>
      <c r="JFH46" s="672"/>
      <c r="JFI46" s="672"/>
      <c r="JFJ46" s="672"/>
      <c r="JFK46" s="672"/>
      <c r="JFL46" s="672"/>
      <c r="JFM46" s="672"/>
      <c r="JFN46" s="672"/>
      <c r="JFO46" s="672"/>
      <c r="JFP46" s="672"/>
      <c r="JFQ46" s="672"/>
      <c r="JFR46" s="672"/>
      <c r="JFS46" s="672"/>
      <c r="JFT46" s="672"/>
      <c r="JFU46" s="672"/>
      <c r="JFV46" s="672"/>
      <c r="JFW46" s="672"/>
      <c r="JFX46" s="672"/>
      <c r="JFY46" s="672"/>
      <c r="JFZ46" s="672"/>
      <c r="JGA46" s="672"/>
      <c r="JGB46" s="672"/>
      <c r="JGC46" s="672"/>
      <c r="JGD46" s="672"/>
      <c r="JGE46" s="672"/>
      <c r="JGF46" s="672"/>
      <c r="JGG46" s="672"/>
      <c r="JGH46" s="672"/>
      <c r="JGI46" s="672"/>
      <c r="JGJ46" s="672"/>
      <c r="JGK46" s="672"/>
      <c r="JGL46" s="672"/>
      <c r="JGM46" s="672"/>
      <c r="JGN46" s="672"/>
      <c r="JGO46" s="672"/>
      <c r="JGP46" s="672"/>
      <c r="JGQ46" s="672"/>
      <c r="JGR46" s="672"/>
      <c r="JGS46" s="672"/>
      <c r="JGT46" s="672"/>
      <c r="JGU46" s="672"/>
      <c r="JGV46" s="672"/>
      <c r="JGW46" s="672"/>
      <c r="JGX46" s="672"/>
      <c r="JGY46" s="672"/>
      <c r="JGZ46" s="672"/>
      <c r="JHA46" s="672"/>
      <c r="JHB46" s="672"/>
      <c r="JHC46" s="672"/>
      <c r="JHD46" s="672"/>
      <c r="JHE46" s="672"/>
      <c r="JHF46" s="672"/>
      <c r="JHG46" s="672"/>
      <c r="JHH46" s="672"/>
      <c r="JHI46" s="672"/>
      <c r="JHJ46" s="672"/>
      <c r="JHK46" s="672"/>
      <c r="JHL46" s="672"/>
      <c r="JHM46" s="672"/>
      <c r="JHN46" s="672"/>
      <c r="JHO46" s="672"/>
      <c r="JHP46" s="672"/>
      <c r="JHQ46" s="672"/>
      <c r="JHR46" s="672"/>
      <c r="JHS46" s="672"/>
      <c r="JHT46" s="672"/>
      <c r="JHU46" s="672"/>
      <c r="JHV46" s="672"/>
      <c r="JHW46" s="672"/>
      <c r="JHX46" s="672"/>
      <c r="JHY46" s="672"/>
      <c r="JHZ46" s="672"/>
      <c r="JIA46" s="672"/>
      <c r="JIB46" s="672"/>
      <c r="JIC46" s="672"/>
      <c r="JID46" s="672"/>
      <c r="JIE46" s="672"/>
      <c r="JIF46" s="672"/>
      <c r="JIG46" s="672"/>
      <c r="JIH46" s="672"/>
      <c r="JII46" s="672"/>
      <c r="JIJ46" s="672"/>
      <c r="JIK46" s="672"/>
      <c r="JIL46" s="672"/>
      <c r="JIM46" s="672"/>
      <c r="JIN46" s="672"/>
      <c r="JIO46" s="672"/>
      <c r="JIP46" s="672"/>
      <c r="JIQ46" s="672"/>
      <c r="JIR46" s="672"/>
      <c r="JIS46" s="672"/>
      <c r="JIT46" s="672"/>
      <c r="JIU46" s="672"/>
      <c r="JIV46" s="672"/>
      <c r="JIW46" s="672"/>
      <c r="JIX46" s="672"/>
      <c r="JIY46" s="672"/>
      <c r="JIZ46" s="672"/>
      <c r="JJA46" s="672"/>
      <c r="JJB46" s="672"/>
      <c r="JJC46" s="672"/>
      <c r="JJD46" s="672"/>
      <c r="JJE46" s="672"/>
      <c r="JJF46" s="672"/>
      <c r="JJG46" s="672"/>
      <c r="JJH46" s="672"/>
      <c r="JJI46" s="672"/>
      <c r="JJJ46" s="672"/>
      <c r="JJK46" s="672"/>
      <c r="JJL46" s="672"/>
      <c r="JJM46" s="672"/>
      <c r="JJN46" s="672"/>
      <c r="JJO46" s="672"/>
      <c r="JJP46" s="672"/>
      <c r="JJQ46" s="672"/>
      <c r="JJR46" s="672"/>
      <c r="JJS46" s="672"/>
      <c r="JJT46" s="672"/>
      <c r="JJU46" s="672"/>
      <c r="JJV46" s="672"/>
      <c r="JJW46" s="672"/>
      <c r="JJX46" s="672"/>
      <c r="JJY46" s="672"/>
      <c r="JJZ46" s="672"/>
      <c r="JKA46" s="672"/>
      <c r="JKB46" s="672"/>
      <c r="JKC46" s="672"/>
      <c r="JKD46" s="672"/>
      <c r="JKE46" s="672"/>
      <c r="JKF46" s="672"/>
      <c r="JKG46" s="672"/>
      <c r="JKH46" s="672"/>
      <c r="JKI46" s="672"/>
      <c r="JKJ46" s="672"/>
      <c r="JKK46" s="672"/>
      <c r="JKL46" s="672"/>
      <c r="JKM46" s="672"/>
      <c r="JKN46" s="672"/>
      <c r="JKO46" s="672"/>
      <c r="JKP46" s="672"/>
      <c r="JKQ46" s="672"/>
      <c r="JKR46" s="672"/>
      <c r="JKS46" s="672"/>
      <c r="JKT46" s="672"/>
      <c r="JKU46" s="672"/>
      <c r="JKV46" s="672"/>
      <c r="JKW46" s="672"/>
      <c r="JKX46" s="672"/>
      <c r="JKY46" s="672"/>
      <c r="JKZ46" s="672"/>
      <c r="JLA46" s="672"/>
      <c r="JLB46" s="672"/>
      <c r="JLC46" s="672"/>
      <c r="JLD46" s="672"/>
      <c r="JLE46" s="672"/>
      <c r="JLF46" s="672"/>
      <c r="JLG46" s="672"/>
      <c r="JLH46" s="672"/>
      <c r="JLI46" s="672"/>
      <c r="JLJ46" s="672"/>
      <c r="JLK46" s="672"/>
      <c r="JLL46" s="672"/>
      <c r="JLM46" s="672"/>
      <c r="JLN46" s="672"/>
      <c r="JLO46" s="672"/>
      <c r="JLP46" s="672"/>
      <c r="JLQ46" s="672"/>
      <c r="JLR46" s="672"/>
      <c r="JLS46" s="672"/>
      <c r="JLT46" s="672"/>
      <c r="JLU46" s="672"/>
      <c r="JLV46" s="672"/>
      <c r="JLW46" s="672"/>
      <c r="JLX46" s="672"/>
      <c r="JLY46" s="672"/>
      <c r="JLZ46" s="672"/>
      <c r="JMA46" s="672"/>
      <c r="JMB46" s="672"/>
      <c r="JMC46" s="672"/>
      <c r="JMD46" s="672"/>
      <c r="JME46" s="672"/>
      <c r="JMF46" s="672"/>
      <c r="JMG46" s="672"/>
      <c r="JMH46" s="672"/>
      <c r="JMI46" s="672"/>
      <c r="JMJ46" s="672"/>
      <c r="JMK46" s="672"/>
      <c r="JML46" s="672"/>
      <c r="JMM46" s="672"/>
      <c r="JMN46" s="672"/>
      <c r="JMO46" s="672"/>
      <c r="JMP46" s="672"/>
      <c r="JMQ46" s="672"/>
      <c r="JMR46" s="672"/>
      <c r="JMS46" s="672"/>
      <c r="JMT46" s="672"/>
      <c r="JMU46" s="672"/>
      <c r="JMV46" s="672"/>
      <c r="JMW46" s="672"/>
      <c r="JMX46" s="672"/>
      <c r="JMY46" s="672"/>
      <c r="JMZ46" s="672"/>
      <c r="JNA46" s="672"/>
      <c r="JNB46" s="672"/>
      <c r="JNC46" s="672"/>
      <c r="JND46" s="672"/>
      <c r="JNE46" s="672"/>
      <c r="JNF46" s="672"/>
      <c r="JNG46" s="672"/>
      <c r="JNH46" s="672"/>
      <c r="JNI46" s="672"/>
      <c r="JNJ46" s="672"/>
      <c r="JNK46" s="672"/>
      <c r="JNL46" s="672"/>
      <c r="JNM46" s="672"/>
      <c r="JNN46" s="672"/>
      <c r="JNO46" s="672"/>
      <c r="JNP46" s="672"/>
      <c r="JNQ46" s="672"/>
      <c r="JNR46" s="672"/>
      <c r="JNS46" s="672"/>
      <c r="JNT46" s="672"/>
      <c r="JNU46" s="672"/>
      <c r="JNV46" s="672"/>
      <c r="JNW46" s="672"/>
      <c r="JNX46" s="672"/>
      <c r="JNY46" s="672"/>
      <c r="JNZ46" s="672"/>
      <c r="JOA46" s="672"/>
      <c r="JOB46" s="672"/>
      <c r="JOC46" s="672"/>
      <c r="JOD46" s="672"/>
      <c r="JOE46" s="672"/>
      <c r="JOF46" s="672"/>
      <c r="JOG46" s="672"/>
      <c r="JOH46" s="672"/>
      <c r="JOI46" s="672"/>
      <c r="JOJ46" s="672"/>
      <c r="JOK46" s="672"/>
      <c r="JOL46" s="672"/>
      <c r="JOM46" s="672"/>
      <c r="JON46" s="672"/>
      <c r="JOO46" s="672"/>
      <c r="JOP46" s="672"/>
      <c r="JOQ46" s="672"/>
      <c r="JOR46" s="672"/>
      <c r="JOS46" s="672"/>
      <c r="JOT46" s="672"/>
      <c r="JOU46" s="672"/>
      <c r="JOV46" s="672"/>
      <c r="JOW46" s="672"/>
      <c r="JOX46" s="672"/>
      <c r="JOY46" s="672"/>
      <c r="JOZ46" s="672"/>
      <c r="JPA46" s="672"/>
      <c r="JPB46" s="672"/>
      <c r="JPC46" s="672"/>
      <c r="JPD46" s="672"/>
      <c r="JPE46" s="672"/>
      <c r="JPF46" s="672"/>
      <c r="JPG46" s="672"/>
      <c r="JPH46" s="672"/>
      <c r="JPI46" s="672"/>
      <c r="JPJ46" s="672"/>
      <c r="JPK46" s="672"/>
      <c r="JPL46" s="672"/>
      <c r="JPM46" s="672"/>
      <c r="JPN46" s="672"/>
      <c r="JPO46" s="672"/>
      <c r="JPP46" s="672"/>
      <c r="JPQ46" s="672"/>
      <c r="JPR46" s="672"/>
      <c r="JPS46" s="672"/>
      <c r="JPT46" s="672"/>
      <c r="JPU46" s="672"/>
      <c r="JPV46" s="672"/>
      <c r="JPW46" s="672"/>
      <c r="JPX46" s="672"/>
      <c r="JPY46" s="672"/>
      <c r="JPZ46" s="672"/>
      <c r="JQA46" s="672"/>
      <c r="JQB46" s="672"/>
      <c r="JQC46" s="672"/>
      <c r="JQD46" s="672"/>
      <c r="JQE46" s="672"/>
      <c r="JQF46" s="672"/>
      <c r="JQG46" s="672"/>
      <c r="JQH46" s="672"/>
      <c r="JQI46" s="672"/>
      <c r="JQJ46" s="672"/>
      <c r="JQK46" s="672"/>
      <c r="JQL46" s="672"/>
      <c r="JQM46" s="672"/>
      <c r="JQN46" s="672"/>
      <c r="JQO46" s="672"/>
      <c r="JQP46" s="672"/>
      <c r="JQQ46" s="672"/>
      <c r="JQR46" s="672"/>
      <c r="JQS46" s="672"/>
      <c r="JQT46" s="672"/>
      <c r="JQU46" s="672"/>
      <c r="JQV46" s="672"/>
      <c r="JQW46" s="672"/>
      <c r="JQX46" s="672"/>
      <c r="JQY46" s="672"/>
      <c r="JQZ46" s="672"/>
      <c r="JRA46" s="672"/>
      <c r="JRB46" s="672"/>
      <c r="JRC46" s="672"/>
      <c r="JRD46" s="672"/>
      <c r="JRE46" s="672"/>
      <c r="JRF46" s="672"/>
      <c r="JRG46" s="672"/>
      <c r="JRH46" s="672"/>
      <c r="JRI46" s="672"/>
      <c r="JRJ46" s="672"/>
      <c r="JRK46" s="672"/>
      <c r="JRL46" s="672"/>
      <c r="JRM46" s="672"/>
      <c r="JRN46" s="672"/>
      <c r="JRO46" s="672"/>
      <c r="JRP46" s="672"/>
      <c r="JRQ46" s="672"/>
      <c r="JRR46" s="672"/>
      <c r="JRS46" s="672"/>
      <c r="JRT46" s="672"/>
      <c r="JRU46" s="672"/>
      <c r="JRV46" s="672"/>
      <c r="JRW46" s="672"/>
      <c r="JRX46" s="672"/>
      <c r="JRY46" s="672"/>
      <c r="JRZ46" s="672"/>
      <c r="JSA46" s="672"/>
      <c r="JSB46" s="672"/>
      <c r="JSC46" s="672"/>
      <c r="JSD46" s="672"/>
      <c r="JSE46" s="672"/>
      <c r="JSF46" s="672"/>
      <c r="JSG46" s="672"/>
      <c r="JSH46" s="672"/>
      <c r="JSI46" s="672"/>
      <c r="JSJ46" s="672"/>
      <c r="JSK46" s="672"/>
      <c r="JSL46" s="672"/>
      <c r="JSM46" s="672"/>
      <c r="JSN46" s="672"/>
      <c r="JSO46" s="672"/>
      <c r="JSP46" s="672"/>
      <c r="JSQ46" s="672"/>
      <c r="JSR46" s="672"/>
      <c r="JSS46" s="672"/>
      <c r="JST46" s="672"/>
      <c r="JSU46" s="672"/>
      <c r="JSV46" s="672"/>
      <c r="JSW46" s="672"/>
      <c r="JSX46" s="672"/>
      <c r="JSY46" s="672"/>
      <c r="JSZ46" s="672"/>
      <c r="JTA46" s="672"/>
      <c r="JTB46" s="672"/>
      <c r="JTC46" s="672"/>
      <c r="JTD46" s="672"/>
      <c r="JTE46" s="672"/>
      <c r="JTF46" s="672"/>
      <c r="JTG46" s="672"/>
      <c r="JTH46" s="672"/>
      <c r="JTI46" s="672"/>
      <c r="JTJ46" s="672"/>
      <c r="JTK46" s="672"/>
      <c r="JTL46" s="672"/>
      <c r="JTM46" s="672"/>
      <c r="JTN46" s="672"/>
      <c r="JTO46" s="672"/>
      <c r="JTP46" s="672"/>
      <c r="JTQ46" s="672"/>
      <c r="JTR46" s="672"/>
      <c r="JTS46" s="672"/>
      <c r="JTT46" s="672"/>
      <c r="JTU46" s="672"/>
      <c r="JTV46" s="672"/>
      <c r="JTW46" s="672"/>
      <c r="JTX46" s="672"/>
      <c r="JTY46" s="672"/>
      <c r="JTZ46" s="672"/>
      <c r="JUA46" s="672"/>
      <c r="JUB46" s="672"/>
      <c r="JUC46" s="672"/>
      <c r="JUD46" s="672"/>
      <c r="JUE46" s="672"/>
      <c r="JUF46" s="672"/>
      <c r="JUG46" s="672"/>
      <c r="JUH46" s="672"/>
      <c r="JUI46" s="672"/>
      <c r="JUJ46" s="672"/>
      <c r="JUK46" s="672"/>
      <c r="JUL46" s="672"/>
      <c r="JUM46" s="672"/>
      <c r="JUN46" s="672"/>
      <c r="JUO46" s="672"/>
      <c r="JUP46" s="672"/>
      <c r="JUQ46" s="672"/>
      <c r="JUR46" s="672"/>
      <c r="JUS46" s="672"/>
      <c r="JUT46" s="672"/>
      <c r="JUU46" s="672"/>
      <c r="JUV46" s="672"/>
      <c r="JUW46" s="672"/>
      <c r="JUX46" s="672"/>
      <c r="JUY46" s="672"/>
      <c r="JUZ46" s="672"/>
      <c r="JVA46" s="672"/>
      <c r="JVB46" s="672"/>
      <c r="JVC46" s="672"/>
      <c r="JVD46" s="672"/>
      <c r="JVE46" s="672"/>
      <c r="JVF46" s="672"/>
      <c r="JVG46" s="672"/>
      <c r="JVH46" s="672"/>
      <c r="JVI46" s="672"/>
      <c r="JVJ46" s="672"/>
      <c r="JVK46" s="672"/>
      <c r="JVL46" s="672"/>
      <c r="JVM46" s="672"/>
      <c r="JVN46" s="672"/>
      <c r="JVO46" s="672"/>
      <c r="JVP46" s="672"/>
      <c r="JVQ46" s="672"/>
      <c r="JVR46" s="672"/>
      <c r="JVS46" s="672"/>
      <c r="JVT46" s="672"/>
      <c r="JVU46" s="672"/>
      <c r="JVV46" s="672"/>
      <c r="JVW46" s="672"/>
      <c r="JVX46" s="672"/>
      <c r="JVY46" s="672"/>
      <c r="JVZ46" s="672"/>
      <c r="JWA46" s="672"/>
      <c r="JWB46" s="672"/>
      <c r="JWC46" s="672"/>
      <c r="JWD46" s="672"/>
      <c r="JWE46" s="672"/>
      <c r="JWF46" s="672"/>
      <c r="JWG46" s="672"/>
      <c r="JWH46" s="672"/>
      <c r="JWI46" s="672"/>
      <c r="JWJ46" s="672"/>
      <c r="JWK46" s="672"/>
      <c r="JWL46" s="672"/>
      <c r="JWM46" s="672"/>
      <c r="JWN46" s="672"/>
      <c r="JWO46" s="672"/>
      <c r="JWP46" s="672"/>
      <c r="JWQ46" s="672"/>
      <c r="JWR46" s="672"/>
      <c r="JWS46" s="672"/>
      <c r="JWT46" s="672"/>
      <c r="JWU46" s="672"/>
      <c r="JWV46" s="672"/>
      <c r="JWW46" s="672"/>
      <c r="JWX46" s="672"/>
      <c r="JWY46" s="672"/>
      <c r="JWZ46" s="672"/>
      <c r="JXA46" s="672"/>
      <c r="JXB46" s="672"/>
      <c r="JXC46" s="672"/>
      <c r="JXD46" s="672"/>
      <c r="JXE46" s="672"/>
      <c r="JXF46" s="672"/>
      <c r="JXG46" s="672"/>
      <c r="JXH46" s="672"/>
      <c r="JXI46" s="672"/>
      <c r="JXJ46" s="672"/>
      <c r="JXK46" s="672"/>
      <c r="JXL46" s="672"/>
      <c r="JXM46" s="672"/>
      <c r="JXN46" s="672"/>
      <c r="JXO46" s="672"/>
      <c r="JXP46" s="672"/>
      <c r="JXQ46" s="672"/>
      <c r="JXR46" s="672"/>
      <c r="JXS46" s="672"/>
      <c r="JXT46" s="672"/>
      <c r="JXU46" s="672"/>
      <c r="JXV46" s="672"/>
      <c r="JXW46" s="672"/>
      <c r="JXX46" s="672"/>
      <c r="JXY46" s="672"/>
      <c r="JXZ46" s="672"/>
      <c r="JYA46" s="672"/>
      <c r="JYB46" s="672"/>
      <c r="JYC46" s="672"/>
      <c r="JYD46" s="672"/>
      <c r="JYE46" s="672"/>
      <c r="JYF46" s="672"/>
      <c r="JYG46" s="672"/>
      <c r="JYH46" s="672"/>
      <c r="JYI46" s="672"/>
      <c r="JYJ46" s="672"/>
      <c r="JYK46" s="672"/>
      <c r="JYL46" s="672"/>
      <c r="JYM46" s="672"/>
      <c r="JYN46" s="672"/>
      <c r="JYO46" s="672"/>
      <c r="JYP46" s="672"/>
      <c r="JYQ46" s="672"/>
      <c r="JYR46" s="672"/>
      <c r="JYS46" s="672"/>
      <c r="JYT46" s="672"/>
      <c r="JYU46" s="672"/>
      <c r="JYV46" s="672"/>
      <c r="JYW46" s="672"/>
      <c r="JYX46" s="672"/>
      <c r="JYY46" s="672"/>
      <c r="JYZ46" s="672"/>
      <c r="JZA46" s="672"/>
      <c r="JZB46" s="672"/>
      <c r="JZC46" s="672"/>
      <c r="JZD46" s="672"/>
      <c r="JZE46" s="672"/>
      <c r="JZF46" s="672"/>
      <c r="JZG46" s="672"/>
      <c r="JZH46" s="672"/>
      <c r="JZI46" s="672"/>
      <c r="JZJ46" s="672"/>
      <c r="JZK46" s="672"/>
      <c r="JZL46" s="672"/>
      <c r="JZM46" s="672"/>
      <c r="JZN46" s="672"/>
      <c r="JZO46" s="672"/>
      <c r="JZP46" s="672"/>
      <c r="JZQ46" s="672"/>
      <c r="JZR46" s="672"/>
      <c r="JZS46" s="672"/>
      <c r="JZT46" s="672"/>
      <c r="JZU46" s="672"/>
      <c r="JZV46" s="672"/>
      <c r="JZW46" s="672"/>
      <c r="JZX46" s="672"/>
      <c r="JZY46" s="672"/>
      <c r="JZZ46" s="672"/>
      <c r="KAA46" s="672"/>
      <c r="KAB46" s="672"/>
      <c r="KAC46" s="672"/>
      <c r="KAD46" s="672"/>
      <c r="KAE46" s="672"/>
      <c r="KAF46" s="672"/>
      <c r="KAG46" s="672"/>
      <c r="KAH46" s="672"/>
      <c r="KAI46" s="672"/>
      <c r="KAJ46" s="672"/>
      <c r="KAK46" s="672"/>
      <c r="KAL46" s="672"/>
      <c r="KAM46" s="672"/>
      <c r="KAN46" s="672"/>
      <c r="KAO46" s="672"/>
      <c r="KAP46" s="672"/>
      <c r="KAQ46" s="672"/>
      <c r="KAR46" s="672"/>
      <c r="KAS46" s="672"/>
      <c r="KAT46" s="672"/>
      <c r="KAU46" s="672"/>
      <c r="KAV46" s="672"/>
      <c r="KAW46" s="672"/>
      <c r="KAX46" s="672"/>
      <c r="KAY46" s="672"/>
      <c r="KAZ46" s="672"/>
      <c r="KBA46" s="672"/>
      <c r="KBB46" s="672"/>
      <c r="KBC46" s="672"/>
      <c r="KBD46" s="672"/>
      <c r="KBE46" s="672"/>
      <c r="KBF46" s="672"/>
      <c r="KBG46" s="672"/>
      <c r="KBH46" s="672"/>
      <c r="KBI46" s="672"/>
      <c r="KBJ46" s="672"/>
      <c r="KBK46" s="672"/>
      <c r="KBL46" s="672"/>
      <c r="KBM46" s="672"/>
      <c r="KBN46" s="672"/>
      <c r="KBO46" s="672"/>
      <c r="KBP46" s="672"/>
      <c r="KBQ46" s="672"/>
      <c r="KBR46" s="672"/>
      <c r="KBS46" s="672"/>
      <c r="KBT46" s="672"/>
      <c r="KBU46" s="672"/>
      <c r="KBV46" s="672"/>
      <c r="KBW46" s="672"/>
      <c r="KBX46" s="672"/>
      <c r="KBY46" s="672"/>
      <c r="KBZ46" s="672"/>
      <c r="KCA46" s="672"/>
      <c r="KCB46" s="672"/>
      <c r="KCC46" s="672"/>
      <c r="KCD46" s="672"/>
      <c r="KCE46" s="672"/>
      <c r="KCF46" s="672"/>
      <c r="KCG46" s="672"/>
      <c r="KCH46" s="672"/>
      <c r="KCI46" s="672"/>
      <c r="KCJ46" s="672"/>
      <c r="KCK46" s="672"/>
      <c r="KCL46" s="672"/>
      <c r="KCM46" s="672"/>
      <c r="KCN46" s="672"/>
      <c r="KCO46" s="672"/>
      <c r="KCP46" s="672"/>
      <c r="KCQ46" s="672"/>
      <c r="KCR46" s="672"/>
      <c r="KCS46" s="672"/>
      <c r="KCT46" s="672"/>
      <c r="KCU46" s="672"/>
      <c r="KCV46" s="672"/>
      <c r="KCW46" s="672"/>
      <c r="KCX46" s="672"/>
      <c r="KCY46" s="672"/>
      <c r="KCZ46" s="672"/>
      <c r="KDA46" s="672"/>
      <c r="KDB46" s="672"/>
      <c r="KDC46" s="672"/>
      <c r="KDD46" s="672"/>
      <c r="KDE46" s="672"/>
      <c r="KDF46" s="672"/>
      <c r="KDG46" s="672"/>
      <c r="KDH46" s="672"/>
      <c r="KDI46" s="672"/>
      <c r="KDJ46" s="672"/>
      <c r="KDK46" s="672"/>
      <c r="KDL46" s="672"/>
      <c r="KDM46" s="672"/>
      <c r="KDN46" s="672"/>
      <c r="KDO46" s="672"/>
      <c r="KDP46" s="672"/>
      <c r="KDQ46" s="672"/>
      <c r="KDR46" s="672"/>
      <c r="KDS46" s="672"/>
      <c r="KDT46" s="672"/>
      <c r="KDU46" s="672"/>
      <c r="KDV46" s="672"/>
      <c r="KDW46" s="672"/>
      <c r="KDX46" s="672"/>
      <c r="KDY46" s="672"/>
      <c r="KDZ46" s="672"/>
      <c r="KEA46" s="672"/>
      <c r="KEB46" s="672"/>
      <c r="KEC46" s="672"/>
      <c r="KED46" s="672"/>
      <c r="KEE46" s="672"/>
      <c r="KEF46" s="672"/>
      <c r="KEG46" s="672"/>
      <c r="KEH46" s="672"/>
      <c r="KEI46" s="672"/>
      <c r="KEJ46" s="672"/>
      <c r="KEK46" s="672"/>
      <c r="KEL46" s="672"/>
      <c r="KEM46" s="672"/>
      <c r="KEN46" s="672"/>
      <c r="KEO46" s="672"/>
      <c r="KEP46" s="672"/>
      <c r="KEQ46" s="672"/>
      <c r="KER46" s="672"/>
      <c r="KES46" s="672"/>
      <c r="KET46" s="672"/>
      <c r="KEU46" s="672"/>
      <c r="KEV46" s="672"/>
      <c r="KEW46" s="672"/>
      <c r="KEX46" s="672"/>
      <c r="KEY46" s="672"/>
      <c r="KEZ46" s="672"/>
      <c r="KFA46" s="672"/>
      <c r="KFB46" s="672"/>
      <c r="KFC46" s="672"/>
      <c r="KFD46" s="672"/>
      <c r="KFE46" s="672"/>
      <c r="KFF46" s="672"/>
      <c r="KFG46" s="672"/>
      <c r="KFH46" s="672"/>
      <c r="KFI46" s="672"/>
      <c r="KFJ46" s="672"/>
      <c r="KFK46" s="672"/>
      <c r="KFL46" s="672"/>
      <c r="KFM46" s="672"/>
      <c r="KFN46" s="672"/>
      <c r="KFO46" s="672"/>
      <c r="KFP46" s="672"/>
      <c r="KFQ46" s="672"/>
      <c r="KFR46" s="672"/>
      <c r="KFS46" s="672"/>
      <c r="KFT46" s="672"/>
      <c r="KFU46" s="672"/>
      <c r="KFV46" s="672"/>
      <c r="KFW46" s="672"/>
      <c r="KFX46" s="672"/>
      <c r="KFY46" s="672"/>
      <c r="KFZ46" s="672"/>
      <c r="KGA46" s="672"/>
      <c r="KGB46" s="672"/>
      <c r="KGC46" s="672"/>
      <c r="KGD46" s="672"/>
      <c r="KGE46" s="672"/>
      <c r="KGF46" s="672"/>
      <c r="KGG46" s="672"/>
      <c r="KGH46" s="672"/>
      <c r="KGI46" s="672"/>
      <c r="KGJ46" s="672"/>
      <c r="KGK46" s="672"/>
      <c r="KGL46" s="672"/>
      <c r="KGM46" s="672"/>
      <c r="KGN46" s="672"/>
      <c r="KGO46" s="672"/>
      <c r="KGP46" s="672"/>
      <c r="KGQ46" s="672"/>
      <c r="KGR46" s="672"/>
      <c r="KGS46" s="672"/>
      <c r="KGT46" s="672"/>
      <c r="KGU46" s="672"/>
      <c r="KGV46" s="672"/>
      <c r="KGW46" s="672"/>
      <c r="KGX46" s="672"/>
      <c r="KGY46" s="672"/>
      <c r="KGZ46" s="672"/>
      <c r="KHA46" s="672"/>
      <c r="KHB46" s="672"/>
      <c r="KHC46" s="672"/>
      <c r="KHD46" s="672"/>
      <c r="KHE46" s="672"/>
      <c r="KHF46" s="672"/>
      <c r="KHG46" s="672"/>
      <c r="KHH46" s="672"/>
      <c r="KHI46" s="672"/>
      <c r="KHJ46" s="672"/>
      <c r="KHK46" s="672"/>
      <c r="KHL46" s="672"/>
      <c r="KHM46" s="672"/>
      <c r="KHN46" s="672"/>
      <c r="KHO46" s="672"/>
      <c r="KHP46" s="672"/>
      <c r="KHQ46" s="672"/>
      <c r="KHR46" s="672"/>
      <c r="KHS46" s="672"/>
      <c r="KHT46" s="672"/>
      <c r="KHU46" s="672"/>
      <c r="KHV46" s="672"/>
      <c r="KHW46" s="672"/>
      <c r="KHX46" s="672"/>
      <c r="KHY46" s="672"/>
      <c r="KHZ46" s="672"/>
      <c r="KIA46" s="672"/>
      <c r="KIB46" s="672"/>
      <c r="KIC46" s="672"/>
      <c r="KID46" s="672"/>
      <c r="KIE46" s="672"/>
      <c r="KIF46" s="672"/>
      <c r="KIG46" s="672"/>
      <c r="KIH46" s="672"/>
      <c r="KII46" s="672"/>
      <c r="KIJ46" s="672"/>
      <c r="KIK46" s="672"/>
      <c r="KIL46" s="672"/>
      <c r="KIM46" s="672"/>
      <c r="KIN46" s="672"/>
      <c r="KIO46" s="672"/>
      <c r="KIP46" s="672"/>
      <c r="KIQ46" s="672"/>
      <c r="KIR46" s="672"/>
      <c r="KIS46" s="672"/>
      <c r="KIT46" s="672"/>
      <c r="KIU46" s="672"/>
      <c r="KIV46" s="672"/>
      <c r="KIW46" s="672"/>
      <c r="KIX46" s="672"/>
      <c r="KIY46" s="672"/>
      <c r="KIZ46" s="672"/>
      <c r="KJA46" s="672"/>
      <c r="KJB46" s="672"/>
      <c r="KJC46" s="672"/>
      <c r="KJD46" s="672"/>
      <c r="KJE46" s="672"/>
      <c r="KJF46" s="672"/>
      <c r="KJG46" s="672"/>
      <c r="KJH46" s="672"/>
      <c r="KJI46" s="672"/>
      <c r="KJJ46" s="672"/>
      <c r="KJK46" s="672"/>
      <c r="KJL46" s="672"/>
      <c r="KJM46" s="672"/>
      <c r="KJN46" s="672"/>
      <c r="KJO46" s="672"/>
      <c r="KJP46" s="672"/>
      <c r="KJQ46" s="672"/>
      <c r="KJR46" s="672"/>
      <c r="KJS46" s="672"/>
      <c r="KJT46" s="672"/>
      <c r="KJU46" s="672"/>
      <c r="KJV46" s="672"/>
      <c r="KJW46" s="672"/>
      <c r="KJX46" s="672"/>
      <c r="KJY46" s="672"/>
      <c r="KJZ46" s="672"/>
      <c r="KKA46" s="672"/>
      <c r="KKB46" s="672"/>
      <c r="KKC46" s="672"/>
      <c r="KKD46" s="672"/>
      <c r="KKE46" s="672"/>
      <c r="KKF46" s="672"/>
      <c r="KKG46" s="672"/>
      <c r="KKH46" s="672"/>
      <c r="KKI46" s="672"/>
      <c r="KKJ46" s="672"/>
      <c r="KKK46" s="672"/>
      <c r="KKL46" s="672"/>
      <c r="KKM46" s="672"/>
      <c r="KKN46" s="672"/>
      <c r="KKO46" s="672"/>
      <c r="KKP46" s="672"/>
      <c r="KKQ46" s="672"/>
      <c r="KKR46" s="672"/>
      <c r="KKS46" s="672"/>
      <c r="KKT46" s="672"/>
      <c r="KKU46" s="672"/>
      <c r="KKV46" s="672"/>
      <c r="KKW46" s="672"/>
      <c r="KKX46" s="672"/>
      <c r="KKY46" s="672"/>
      <c r="KKZ46" s="672"/>
      <c r="KLA46" s="672"/>
      <c r="KLB46" s="672"/>
      <c r="KLC46" s="672"/>
      <c r="KLD46" s="672"/>
      <c r="KLE46" s="672"/>
      <c r="KLF46" s="672"/>
      <c r="KLG46" s="672"/>
      <c r="KLH46" s="672"/>
      <c r="KLI46" s="672"/>
      <c r="KLJ46" s="672"/>
      <c r="KLK46" s="672"/>
      <c r="KLL46" s="672"/>
      <c r="KLM46" s="672"/>
      <c r="KLN46" s="672"/>
      <c r="KLO46" s="672"/>
      <c r="KLP46" s="672"/>
      <c r="KLQ46" s="672"/>
      <c r="KLR46" s="672"/>
      <c r="KLS46" s="672"/>
      <c r="KLT46" s="672"/>
      <c r="KLU46" s="672"/>
      <c r="KLV46" s="672"/>
      <c r="KLW46" s="672"/>
      <c r="KLX46" s="672"/>
      <c r="KLY46" s="672"/>
      <c r="KLZ46" s="672"/>
      <c r="KMA46" s="672"/>
      <c r="KMB46" s="672"/>
      <c r="KMC46" s="672"/>
      <c r="KMD46" s="672"/>
      <c r="KME46" s="672"/>
      <c r="KMF46" s="672"/>
      <c r="KMG46" s="672"/>
      <c r="KMH46" s="672"/>
      <c r="KMI46" s="672"/>
      <c r="KMJ46" s="672"/>
      <c r="KMK46" s="672"/>
      <c r="KML46" s="672"/>
      <c r="KMM46" s="672"/>
      <c r="KMN46" s="672"/>
      <c r="KMO46" s="672"/>
      <c r="KMP46" s="672"/>
      <c r="KMQ46" s="672"/>
      <c r="KMR46" s="672"/>
      <c r="KMS46" s="672"/>
      <c r="KMT46" s="672"/>
      <c r="KMU46" s="672"/>
      <c r="KMV46" s="672"/>
      <c r="KMW46" s="672"/>
      <c r="KMX46" s="672"/>
      <c r="KMY46" s="672"/>
      <c r="KMZ46" s="672"/>
      <c r="KNA46" s="672"/>
      <c r="KNB46" s="672"/>
      <c r="KNC46" s="672"/>
      <c r="KND46" s="672"/>
      <c r="KNE46" s="672"/>
      <c r="KNF46" s="672"/>
      <c r="KNG46" s="672"/>
      <c r="KNH46" s="672"/>
      <c r="KNI46" s="672"/>
      <c r="KNJ46" s="672"/>
      <c r="KNK46" s="672"/>
      <c r="KNL46" s="672"/>
      <c r="KNM46" s="672"/>
      <c r="KNN46" s="672"/>
      <c r="KNO46" s="672"/>
      <c r="KNP46" s="672"/>
      <c r="KNQ46" s="672"/>
      <c r="KNR46" s="672"/>
      <c r="KNS46" s="672"/>
      <c r="KNT46" s="672"/>
      <c r="KNU46" s="672"/>
      <c r="KNV46" s="672"/>
      <c r="KNW46" s="672"/>
      <c r="KNX46" s="672"/>
      <c r="KNY46" s="672"/>
      <c r="KNZ46" s="672"/>
      <c r="KOA46" s="672"/>
      <c r="KOB46" s="672"/>
      <c r="KOC46" s="672"/>
      <c r="KOD46" s="672"/>
      <c r="KOE46" s="672"/>
      <c r="KOF46" s="672"/>
      <c r="KOG46" s="672"/>
      <c r="KOH46" s="672"/>
      <c r="KOI46" s="672"/>
      <c r="KOJ46" s="672"/>
      <c r="KOK46" s="672"/>
      <c r="KOL46" s="672"/>
      <c r="KOM46" s="672"/>
      <c r="KON46" s="672"/>
      <c r="KOO46" s="672"/>
      <c r="KOP46" s="672"/>
      <c r="KOQ46" s="672"/>
      <c r="KOR46" s="672"/>
      <c r="KOS46" s="672"/>
      <c r="KOT46" s="672"/>
      <c r="KOU46" s="672"/>
      <c r="KOV46" s="672"/>
      <c r="KOW46" s="672"/>
      <c r="KOX46" s="672"/>
      <c r="KOY46" s="672"/>
      <c r="KOZ46" s="672"/>
      <c r="KPA46" s="672"/>
      <c r="KPB46" s="672"/>
      <c r="KPC46" s="672"/>
      <c r="KPD46" s="672"/>
      <c r="KPE46" s="672"/>
      <c r="KPF46" s="672"/>
      <c r="KPG46" s="672"/>
      <c r="KPH46" s="672"/>
      <c r="KPI46" s="672"/>
      <c r="KPJ46" s="672"/>
      <c r="KPK46" s="672"/>
      <c r="KPL46" s="672"/>
      <c r="KPM46" s="672"/>
      <c r="KPN46" s="672"/>
      <c r="KPO46" s="672"/>
      <c r="KPP46" s="672"/>
      <c r="KPQ46" s="672"/>
      <c r="KPR46" s="672"/>
      <c r="KPS46" s="672"/>
      <c r="KPT46" s="672"/>
      <c r="KPU46" s="672"/>
      <c r="KPV46" s="672"/>
      <c r="KPW46" s="672"/>
      <c r="KPX46" s="672"/>
      <c r="KPY46" s="672"/>
      <c r="KPZ46" s="672"/>
      <c r="KQA46" s="672"/>
      <c r="KQB46" s="672"/>
      <c r="KQC46" s="672"/>
      <c r="KQD46" s="672"/>
      <c r="KQE46" s="672"/>
      <c r="KQF46" s="672"/>
      <c r="KQG46" s="672"/>
      <c r="KQH46" s="672"/>
      <c r="KQI46" s="672"/>
      <c r="KQJ46" s="672"/>
      <c r="KQK46" s="672"/>
      <c r="KQL46" s="672"/>
      <c r="KQM46" s="672"/>
      <c r="KQN46" s="672"/>
      <c r="KQO46" s="672"/>
      <c r="KQP46" s="672"/>
      <c r="KQQ46" s="672"/>
      <c r="KQR46" s="672"/>
      <c r="KQS46" s="672"/>
      <c r="KQT46" s="672"/>
      <c r="KQU46" s="672"/>
      <c r="KQV46" s="672"/>
      <c r="KQW46" s="672"/>
      <c r="KQX46" s="672"/>
      <c r="KQY46" s="672"/>
      <c r="KQZ46" s="672"/>
      <c r="KRA46" s="672"/>
      <c r="KRB46" s="672"/>
      <c r="KRC46" s="672"/>
      <c r="KRD46" s="672"/>
      <c r="KRE46" s="672"/>
      <c r="KRF46" s="672"/>
      <c r="KRG46" s="672"/>
      <c r="KRH46" s="672"/>
      <c r="KRI46" s="672"/>
      <c r="KRJ46" s="672"/>
      <c r="KRK46" s="672"/>
      <c r="KRL46" s="672"/>
      <c r="KRM46" s="672"/>
      <c r="KRN46" s="672"/>
      <c r="KRO46" s="672"/>
      <c r="KRP46" s="672"/>
      <c r="KRQ46" s="672"/>
      <c r="KRR46" s="672"/>
      <c r="KRS46" s="672"/>
      <c r="KRT46" s="672"/>
      <c r="KRU46" s="672"/>
      <c r="KRV46" s="672"/>
      <c r="KRW46" s="672"/>
      <c r="KRX46" s="672"/>
      <c r="KRY46" s="672"/>
      <c r="KRZ46" s="672"/>
      <c r="KSA46" s="672"/>
      <c r="KSB46" s="672"/>
      <c r="KSC46" s="672"/>
      <c r="KSD46" s="672"/>
      <c r="KSE46" s="672"/>
      <c r="KSF46" s="672"/>
      <c r="KSG46" s="672"/>
      <c r="KSH46" s="672"/>
      <c r="KSI46" s="672"/>
      <c r="KSJ46" s="672"/>
      <c r="KSK46" s="672"/>
      <c r="KSL46" s="672"/>
      <c r="KSM46" s="672"/>
      <c r="KSN46" s="672"/>
      <c r="KSO46" s="672"/>
      <c r="KSP46" s="672"/>
      <c r="KSQ46" s="672"/>
      <c r="KSR46" s="672"/>
      <c r="KSS46" s="672"/>
      <c r="KST46" s="672"/>
      <c r="KSU46" s="672"/>
      <c r="KSV46" s="672"/>
      <c r="KSW46" s="672"/>
      <c r="KSX46" s="672"/>
      <c r="KSY46" s="672"/>
      <c r="KSZ46" s="672"/>
      <c r="KTA46" s="672"/>
      <c r="KTB46" s="672"/>
      <c r="KTC46" s="672"/>
      <c r="KTD46" s="672"/>
      <c r="KTE46" s="672"/>
      <c r="KTF46" s="672"/>
      <c r="KTG46" s="672"/>
      <c r="KTH46" s="672"/>
      <c r="KTI46" s="672"/>
      <c r="KTJ46" s="672"/>
      <c r="KTK46" s="672"/>
      <c r="KTL46" s="672"/>
      <c r="KTM46" s="672"/>
      <c r="KTN46" s="672"/>
      <c r="KTO46" s="672"/>
      <c r="KTP46" s="672"/>
      <c r="KTQ46" s="672"/>
      <c r="KTR46" s="672"/>
      <c r="KTS46" s="672"/>
      <c r="KTT46" s="672"/>
      <c r="KTU46" s="672"/>
      <c r="KTV46" s="672"/>
      <c r="KTW46" s="672"/>
      <c r="KTX46" s="672"/>
      <c r="KTY46" s="672"/>
      <c r="KTZ46" s="672"/>
      <c r="KUA46" s="672"/>
      <c r="KUB46" s="672"/>
      <c r="KUC46" s="672"/>
      <c r="KUD46" s="672"/>
      <c r="KUE46" s="672"/>
      <c r="KUF46" s="672"/>
      <c r="KUG46" s="672"/>
      <c r="KUH46" s="672"/>
      <c r="KUI46" s="672"/>
      <c r="KUJ46" s="672"/>
      <c r="KUK46" s="672"/>
      <c r="KUL46" s="672"/>
      <c r="KUM46" s="672"/>
      <c r="KUN46" s="672"/>
      <c r="KUO46" s="672"/>
      <c r="KUP46" s="672"/>
      <c r="KUQ46" s="672"/>
      <c r="KUR46" s="672"/>
      <c r="KUS46" s="672"/>
      <c r="KUT46" s="672"/>
      <c r="KUU46" s="672"/>
      <c r="KUV46" s="672"/>
      <c r="KUW46" s="672"/>
      <c r="KUX46" s="672"/>
      <c r="KUY46" s="672"/>
      <c r="KUZ46" s="672"/>
      <c r="KVA46" s="672"/>
      <c r="KVB46" s="672"/>
      <c r="KVC46" s="672"/>
      <c r="KVD46" s="672"/>
      <c r="KVE46" s="672"/>
      <c r="KVF46" s="672"/>
      <c r="KVG46" s="672"/>
      <c r="KVH46" s="672"/>
      <c r="KVI46" s="672"/>
      <c r="KVJ46" s="672"/>
      <c r="KVK46" s="672"/>
      <c r="KVL46" s="672"/>
      <c r="KVM46" s="672"/>
      <c r="KVN46" s="672"/>
      <c r="KVO46" s="672"/>
      <c r="KVP46" s="672"/>
      <c r="KVQ46" s="672"/>
      <c r="KVR46" s="672"/>
      <c r="KVS46" s="672"/>
      <c r="KVT46" s="672"/>
      <c r="KVU46" s="672"/>
      <c r="KVV46" s="672"/>
      <c r="KVW46" s="672"/>
      <c r="KVX46" s="672"/>
      <c r="KVY46" s="672"/>
      <c r="KVZ46" s="672"/>
      <c r="KWA46" s="672"/>
      <c r="KWB46" s="672"/>
      <c r="KWC46" s="672"/>
      <c r="KWD46" s="672"/>
      <c r="KWE46" s="672"/>
      <c r="KWF46" s="672"/>
      <c r="KWG46" s="672"/>
      <c r="KWH46" s="672"/>
      <c r="KWI46" s="672"/>
      <c r="KWJ46" s="672"/>
      <c r="KWK46" s="672"/>
      <c r="KWL46" s="672"/>
      <c r="KWM46" s="672"/>
      <c r="KWN46" s="672"/>
      <c r="KWO46" s="672"/>
      <c r="KWP46" s="672"/>
      <c r="KWQ46" s="672"/>
      <c r="KWR46" s="672"/>
      <c r="KWS46" s="672"/>
      <c r="KWT46" s="672"/>
      <c r="KWU46" s="672"/>
      <c r="KWV46" s="672"/>
      <c r="KWW46" s="672"/>
      <c r="KWX46" s="672"/>
      <c r="KWY46" s="672"/>
      <c r="KWZ46" s="672"/>
      <c r="KXA46" s="672"/>
      <c r="KXB46" s="672"/>
      <c r="KXC46" s="672"/>
      <c r="KXD46" s="672"/>
      <c r="KXE46" s="672"/>
      <c r="KXF46" s="672"/>
      <c r="KXG46" s="672"/>
      <c r="KXH46" s="672"/>
      <c r="KXI46" s="672"/>
      <c r="KXJ46" s="672"/>
      <c r="KXK46" s="672"/>
      <c r="KXL46" s="672"/>
      <c r="KXM46" s="672"/>
      <c r="KXN46" s="672"/>
      <c r="KXO46" s="672"/>
      <c r="KXP46" s="672"/>
      <c r="KXQ46" s="672"/>
      <c r="KXR46" s="672"/>
      <c r="KXS46" s="672"/>
      <c r="KXT46" s="672"/>
      <c r="KXU46" s="672"/>
      <c r="KXV46" s="672"/>
      <c r="KXW46" s="672"/>
      <c r="KXX46" s="672"/>
      <c r="KXY46" s="672"/>
      <c r="KXZ46" s="672"/>
      <c r="KYA46" s="672"/>
      <c r="KYB46" s="672"/>
      <c r="KYC46" s="672"/>
      <c r="KYD46" s="672"/>
      <c r="KYE46" s="672"/>
      <c r="KYF46" s="672"/>
      <c r="KYG46" s="672"/>
      <c r="KYH46" s="672"/>
      <c r="KYI46" s="672"/>
      <c r="KYJ46" s="672"/>
      <c r="KYK46" s="672"/>
      <c r="KYL46" s="672"/>
      <c r="KYM46" s="672"/>
      <c r="KYN46" s="672"/>
      <c r="KYO46" s="672"/>
      <c r="KYP46" s="672"/>
      <c r="KYQ46" s="672"/>
      <c r="KYR46" s="672"/>
      <c r="KYS46" s="672"/>
      <c r="KYT46" s="672"/>
      <c r="KYU46" s="672"/>
      <c r="KYV46" s="672"/>
      <c r="KYW46" s="672"/>
      <c r="KYX46" s="672"/>
      <c r="KYY46" s="672"/>
      <c r="KYZ46" s="672"/>
      <c r="KZA46" s="672"/>
      <c r="KZB46" s="672"/>
      <c r="KZC46" s="672"/>
      <c r="KZD46" s="672"/>
      <c r="KZE46" s="672"/>
      <c r="KZF46" s="672"/>
      <c r="KZG46" s="672"/>
      <c r="KZH46" s="672"/>
      <c r="KZI46" s="672"/>
      <c r="KZJ46" s="672"/>
      <c r="KZK46" s="672"/>
      <c r="KZL46" s="672"/>
      <c r="KZM46" s="672"/>
      <c r="KZN46" s="672"/>
      <c r="KZO46" s="672"/>
      <c r="KZP46" s="672"/>
      <c r="KZQ46" s="672"/>
      <c r="KZR46" s="672"/>
      <c r="KZS46" s="672"/>
      <c r="KZT46" s="672"/>
      <c r="KZU46" s="672"/>
      <c r="KZV46" s="672"/>
      <c r="KZW46" s="672"/>
      <c r="KZX46" s="672"/>
      <c r="KZY46" s="672"/>
      <c r="KZZ46" s="672"/>
      <c r="LAA46" s="672"/>
      <c r="LAB46" s="672"/>
      <c r="LAC46" s="672"/>
      <c r="LAD46" s="672"/>
      <c r="LAE46" s="672"/>
      <c r="LAF46" s="672"/>
      <c r="LAG46" s="672"/>
      <c r="LAH46" s="672"/>
      <c r="LAI46" s="672"/>
      <c r="LAJ46" s="672"/>
      <c r="LAK46" s="672"/>
      <c r="LAL46" s="672"/>
      <c r="LAM46" s="672"/>
      <c r="LAN46" s="672"/>
      <c r="LAO46" s="672"/>
      <c r="LAP46" s="672"/>
      <c r="LAQ46" s="672"/>
      <c r="LAR46" s="672"/>
      <c r="LAS46" s="672"/>
      <c r="LAT46" s="672"/>
      <c r="LAU46" s="672"/>
      <c r="LAV46" s="672"/>
      <c r="LAW46" s="672"/>
      <c r="LAX46" s="672"/>
      <c r="LAY46" s="672"/>
      <c r="LAZ46" s="672"/>
      <c r="LBA46" s="672"/>
      <c r="LBB46" s="672"/>
      <c r="LBC46" s="672"/>
      <c r="LBD46" s="672"/>
      <c r="LBE46" s="672"/>
      <c r="LBF46" s="672"/>
      <c r="LBG46" s="672"/>
      <c r="LBH46" s="672"/>
      <c r="LBI46" s="672"/>
      <c r="LBJ46" s="672"/>
      <c r="LBK46" s="672"/>
      <c r="LBL46" s="672"/>
      <c r="LBM46" s="672"/>
      <c r="LBN46" s="672"/>
      <c r="LBO46" s="672"/>
      <c r="LBP46" s="672"/>
      <c r="LBQ46" s="672"/>
      <c r="LBR46" s="672"/>
      <c r="LBS46" s="672"/>
      <c r="LBT46" s="672"/>
      <c r="LBU46" s="672"/>
      <c r="LBV46" s="672"/>
      <c r="LBW46" s="672"/>
      <c r="LBX46" s="672"/>
      <c r="LBY46" s="672"/>
      <c r="LBZ46" s="672"/>
      <c r="LCA46" s="672"/>
      <c r="LCB46" s="672"/>
      <c r="LCC46" s="672"/>
      <c r="LCD46" s="672"/>
      <c r="LCE46" s="672"/>
      <c r="LCF46" s="672"/>
      <c r="LCG46" s="672"/>
      <c r="LCH46" s="672"/>
      <c r="LCI46" s="672"/>
      <c r="LCJ46" s="672"/>
      <c r="LCK46" s="672"/>
      <c r="LCL46" s="672"/>
      <c r="LCM46" s="672"/>
      <c r="LCN46" s="672"/>
      <c r="LCO46" s="672"/>
      <c r="LCP46" s="672"/>
      <c r="LCQ46" s="672"/>
      <c r="LCR46" s="672"/>
      <c r="LCS46" s="672"/>
      <c r="LCT46" s="672"/>
      <c r="LCU46" s="672"/>
      <c r="LCV46" s="672"/>
      <c r="LCW46" s="672"/>
      <c r="LCX46" s="672"/>
      <c r="LCY46" s="672"/>
      <c r="LCZ46" s="672"/>
      <c r="LDA46" s="672"/>
      <c r="LDB46" s="672"/>
      <c r="LDC46" s="672"/>
      <c r="LDD46" s="672"/>
      <c r="LDE46" s="672"/>
      <c r="LDF46" s="672"/>
      <c r="LDG46" s="672"/>
      <c r="LDH46" s="672"/>
      <c r="LDI46" s="672"/>
      <c r="LDJ46" s="672"/>
      <c r="LDK46" s="672"/>
      <c r="LDL46" s="672"/>
      <c r="LDM46" s="672"/>
      <c r="LDN46" s="672"/>
      <c r="LDO46" s="672"/>
      <c r="LDP46" s="672"/>
      <c r="LDQ46" s="672"/>
      <c r="LDR46" s="672"/>
      <c r="LDS46" s="672"/>
      <c r="LDT46" s="672"/>
      <c r="LDU46" s="672"/>
      <c r="LDV46" s="672"/>
      <c r="LDW46" s="672"/>
      <c r="LDX46" s="672"/>
      <c r="LDY46" s="672"/>
      <c r="LDZ46" s="672"/>
      <c r="LEA46" s="672"/>
      <c r="LEB46" s="672"/>
      <c r="LEC46" s="672"/>
      <c r="LED46" s="672"/>
      <c r="LEE46" s="672"/>
      <c r="LEF46" s="672"/>
      <c r="LEG46" s="672"/>
      <c r="LEH46" s="672"/>
      <c r="LEI46" s="672"/>
      <c r="LEJ46" s="672"/>
      <c r="LEK46" s="672"/>
      <c r="LEL46" s="672"/>
      <c r="LEM46" s="672"/>
      <c r="LEN46" s="672"/>
      <c r="LEO46" s="672"/>
      <c r="LEP46" s="672"/>
      <c r="LEQ46" s="672"/>
      <c r="LER46" s="672"/>
      <c r="LES46" s="672"/>
      <c r="LET46" s="672"/>
      <c r="LEU46" s="672"/>
      <c r="LEV46" s="672"/>
      <c r="LEW46" s="672"/>
      <c r="LEX46" s="672"/>
      <c r="LEY46" s="672"/>
      <c r="LEZ46" s="672"/>
      <c r="LFA46" s="672"/>
      <c r="LFB46" s="672"/>
      <c r="LFC46" s="672"/>
      <c r="LFD46" s="672"/>
      <c r="LFE46" s="672"/>
      <c r="LFF46" s="672"/>
      <c r="LFG46" s="672"/>
      <c r="LFH46" s="672"/>
      <c r="LFI46" s="672"/>
      <c r="LFJ46" s="672"/>
      <c r="LFK46" s="672"/>
      <c r="LFL46" s="672"/>
      <c r="LFM46" s="672"/>
      <c r="LFN46" s="672"/>
      <c r="LFO46" s="672"/>
      <c r="LFP46" s="672"/>
      <c r="LFQ46" s="672"/>
      <c r="LFR46" s="672"/>
      <c r="LFS46" s="672"/>
      <c r="LFT46" s="672"/>
      <c r="LFU46" s="672"/>
      <c r="LFV46" s="672"/>
      <c r="LFW46" s="672"/>
      <c r="LFX46" s="672"/>
      <c r="LFY46" s="672"/>
      <c r="LFZ46" s="672"/>
      <c r="LGA46" s="672"/>
      <c r="LGB46" s="672"/>
      <c r="LGC46" s="672"/>
      <c r="LGD46" s="672"/>
      <c r="LGE46" s="672"/>
      <c r="LGF46" s="672"/>
      <c r="LGG46" s="672"/>
      <c r="LGH46" s="672"/>
      <c r="LGI46" s="672"/>
      <c r="LGJ46" s="672"/>
      <c r="LGK46" s="672"/>
      <c r="LGL46" s="672"/>
      <c r="LGM46" s="672"/>
      <c r="LGN46" s="672"/>
      <c r="LGO46" s="672"/>
      <c r="LGP46" s="672"/>
      <c r="LGQ46" s="672"/>
      <c r="LGR46" s="672"/>
      <c r="LGS46" s="672"/>
      <c r="LGT46" s="672"/>
      <c r="LGU46" s="672"/>
      <c r="LGV46" s="672"/>
      <c r="LGW46" s="672"/>
      <c r="LGX46" s="672"/>
      <c r="LGY46" s="672"/>
      <c r="LGZ46" s="672"/>
      <c r="LHA46" s="672"/>
      <c r="LHB46" s="672"/>
      <c r="LHC46" s="672"/>
      <c r="LHD46" s="672"/>
      <c r="LHE46" s="672"/>
      <c r="LHF46" s="672"/>
      <c r="LHG46" s="672"/>
      <c r="LHH46" s="672"/>
      <c r="LHI46" s="672"/>
      <c r="LHJ46" s="672"/>
      <c r="LHK46" s="672"/>
      <c r="LHL46" s="672"/>
      <c r="LHM46" s="672"/>
      <c r="LHN46" s="672"/>
      <c r="LHO46" s="672"/>
      <c r="LHP46" s="672"/>
      <c r="LHQ46" s="672"/>
      <c r="LHR46" s="672"/>
      <c r="LHS46" s="672"/>
      <c r="LHT46" s="672"/>
      <c r="LHU46" s="672"/>
      <c r="LHV46" s="672"/>
      <c r="LHW46" s="672"/>
      <c r="LHX46" s="672"/>
      <c r="LHY46" s="672"/>
      <c r="LHZ46" s="672"/>
      <c r="LIA46" s="672"/>
      <c r="LIB46" s="672"/>
      <c r="LIC46" s="672"/>
      <c r="LID46" s="672"/>
      <c r="LIE46" s="672"/>
      <c r="LIF46" s="672"/>
      <c r="LIG46" s="672"/>
      <c r="LIH46" s="672"/>
      <c r="LII46" s="672"/>
      <c r="LIJ46" s="672"/>
      <c r="LIK46" s="672"/>
      <c r="LIL46" s="672"/>
      <c r="LIM46" s="672"/>
      <c r="LIN46" s="672"/>
      <c r="LIO46" s="672"/>
      <c r="LIP46" s="672"/>
      <c r="LIQ46" s="672"/>
      <c r="LIR46" s="672"/>
      <c r="LIS46" s="672"/>
      <c r="LIT46" s="672"/>
      <c r="LIU46" s="672"/>
      <c r="LIV46" s="672"/>
      <c r="LIW46" s="672"/>
      <c r="LIX46" s="672"/>
      <c r="LIY46" s="672"/>
      <c r="LIZ46" s="672"/>
      <c r="LJA46" s="672"/>
      <c r="LJB46" s="672"/>
      <c r="LJC46" s="672"/>
      <c r="LJD46" s="672"/>
      <c r="LJE46" s="672"/>
      <c r="LJF46" s="672"/>
      <c r="LJG46" s="672"/>
      <c r="LJH46" s="672"/>
      <c r="LJI46" s="672"/>
      <c r="LJJ46" s="672"/>
      <c r="LJK46" s="672"/>
      <c r="LJL46" s="672"/>
      <c r="LJM46" s="672"/>
      <c r="LJN46" s="672"/>
      <c r="LJO46" s="672"/>
      <c r="LJP46" s="672"/>
      <c r="LJQ46" s="672"/>
      <c r="LJR46" s="672"/>
      <c r="LJS46" s="672"/>
      <c r="LJT46" s="672"/>
      <c r="LJU46" s="672"/>
      <c r="LJV46" s="672"/>
      <c r="LJW46" s="672"/>
      <c r="LJX46" s="672"/>
      <c r="LJY46" s="672"/>
      <c r="LJZ46" s="672"/>
      <c r="LKA46" s="672"/>
      <c r="LKB46" s="672"/>
      <c r="LKC46" s="672"/>
      <c r="LKD46" s="672"/>
      <c r="LKE46" s="672"/>
      <c r="LKF46" s="672"/>
      <c r="LKG46" s="672"/>
      <c r="LKH46" s="672"/>
      <c r="LKI46" s="672"/>
      <c r="LKJ46" s="672"/>
      <c r="LKK46" s="672"/>
      <c r="LKL46" s="672"/>
      <c r="LKM46" s="672"/>
      <c r="LKN46" s="672"/>
      <c r="LKO46" s="672"/>
      <c r="LKP46" s="672"/>
      <c r="LKQ46" s="672"/>
      <c r="LKR46" s="672"/>
      <c r="LKS46" s="672"/>
      <c r="LKT46" s="672"/>
      <c r="LKU46" s="672"/>
      <c r="LKV46" s="672"/>
      <c r="LKW46" s="672"/>
      <c r="LKX46" s="672"/>
      <c r="LKY46" s="672"/>
      <c r="LKZ46" s="672"/>
      <c r="LLA46" s="672"/>
      <c r="LLB46" s="672"/>
      <c r="LLC46" s="672"/>
      <c r="LLD46" s="672"/>
      <c r="LLE46" s="672"/>
      <c r="LLF46" s="672"/>
      <c r="LLG46" s="672"/>
      <c r="LLH46" s="672"/>
      <c r="LLI46" s="672"/>
      <c r="LLJ46" s="672"/>
      <c r="LLK46" s="672"/>
      <c r="LLL46" s="672"/>
      <c r="LLM46" s="672"/>
      <c r="LLN46" s="672"/>
      <c r="LLO46" s="672"/>
      <c r="LLP46" s="672"/>
      <c r="LLQ46" s="672"/>
      <c r="LLR46" s="672"/>
      <c r="LLS46" s="672"/>
      <c r="LLT46" s="672"/>
      <c r="LLU46" s="672"/>
      <c r="LLV46" s="672"/>
      <c r="LLW46" s="672"/>
      <c r="LLX46" s="672"/>
      <c r="LLY46" s="672"/>
      <c r="LLZ46" s="672"/>
      <c r="LMA46" s="672"/>
      <c r="LMB46" s="672"/>
      <c r="LMC46" s="672"/>
      <c r="LMD46" s="672"/>
      <c r="LME46" s="672"/>
      <c r="LMF46" s="672"/>
      <c r="LMG46" s="672"/>
      <c r="LMH46" s="672"/>
      <c r="LMI46" s="672"/>
      <c r="LMJ46" s="672"/>
      <c r="LMK46" s="672"/>
      <c r="LML46" s="672"/>
      <c r="LMM46" s="672"/>
      <c r="LMN46" s="672"/>
      <c r="LMO46" s="672"/>
      <c r="LMP46" s="672"/>
      <c r="LMQ46" s="672"/>
      <c r="LMR46" s="672"/>
      <c r="LMS46" s="672"/>
      <c r="LMT46" s="672"/>
      <c r="LMU46" s="672"/>
      <c r="LMV46" s="672"/>
      <c r="LMW46" s="672"/>
      <c r="LMX46" s="672"/>
      <c r="LMY46" s="672"/>
      <c r="LMZ46" s="672"/>
      <c r="LNA46" s="672"/>
      <c r="LNB46" s="672"/>
      <c r="LNC46" s="672"/>
      <c r="LND46" s="672"/>
      <c r="LNE46" s="672"/>
      <c r="LNF46" s="672"/>
      <c r="LNG46" s="672"/>
      <c r="LNH46" s="672"/>
      <c r="LNI46" s="672"/>
      <c r="LNJ46" s="672"/>
      <c r="LNK46" s="672"/>
      <c r="LNL46" s="672"/>
      <c r="LNM46" s="672"/>
      <c r="LNN46" s="672"/>
      <c r="LNO46" s="672"/>
      <c r="LNP46" s="672"/>
      <c r="LNQ46" s="672"/>
      <c r="LNR46" s="672"/>
      <c r="LNS46" s="672"/>
      <c r="LNT46" s="672"/>
      <c r="LNU46" s="672"/>
      <c r="LNV46" s="672"/>
      <c r="LNW46" s="672"/>
      <c r="LNX46" s="672"/>
      <c r="LNY46" s="672"/>
      <c r="LNZ46" s="672"/>
      <c r="LOA46" s="672"/>
      <c r="LOB46" s="672"/>
      <c r="LOC46" s="672"/>
      <c r="LOD46" s="672"/>
      <c r="LOE46" s="672"/>
      <c r="LOF46" s="672"/>
      <c r="LOG46" s="672"/>
      <c r="LOH46" s="672"/>
      <c r="LOI46" s="672"/>
      <c r="LOJ46" s="672"/>
      <c r="LOK46" s="672"/>
      <c r="LOL46" s="672"/>
      <c r="LOM46" s="672"/>
      <c r="LON46" s="672"/>
      <c r="LOO46" s="672"/>
      <c r="LOP46" s="672"/>
      <c r="LOQ46" s="672"/>
      <c r="LOR46" s="672"/>
      <c r="LOS46" s="672"/>
      <c r="LOT46" s="672"/>
      <c r="LOU46" s="672"/>
      <c r="LOV46" s="672"/>
      <c r="LOW46" s="672"/>
      <c r="LOX46" s="672"/>
      <c r="LOY46" s="672"/>
      <c r="LOZ46" s="672"/>
      <c r="LPA46" s="672"/>
      <c r="LPB46" s="672"/>
      <c r="LPC46" s="672"/>
      <c r="LPD46" s="672"/>
      <c r="LPE46" s="672"/>
      <c r="LPF46" s="672"/>
      <c r="LPG46" s="672"/>
      <c r="LPH46" s="672"/>
      <c r="LPI46" s="672"/>
      <c r="LPJ46" s="672"/>
      <c r="LPK46" s="672"/>
      <c r="LPL46" s="672"/>
      <c r="LPM46" s="672"/>
      <c r="LPN46" s="672"/>
      <c r="LPO46" s="672"/>
      <c r="LPP46" s="672"/>
      <c r="LPQ46" s="672"/>
      <c r="LPR46" s="672"/>
      <c r="LPS46" s="672"/>
      <c r="LPT46" s="672"/>
      <c r="LPU46" s="672"/>
      <c r="LPV46" s="672"/>
      <c r="LPW46" s="672"/>
      <c r="LPX46" s="672"/>
      <c r="LPY46" s="672"/>
      <c r="LPZ46" s="672"/>
      <c r="LQA46" s="672"/>
      <c r="LQB46" s="672"/>
      <c r="LQC46" s="672"/>
      <c r="LQD46" s="672"/>
      <c r="LQE46" s="672"/>
      <c r="LQF46" s="672"/>
      <c r="LQG46" s="672"/>
      <c r="LQH46" s="672"/>
      <c r="LQI46" s="672"/>
      <c r="LQJ46" s="672"/>
      <c r="LQK46" s="672"/>
      <c r="LQL46" s="672"/>
      <c r="LQM46" s="672"/>
      <c r="LQN46" s="672"/>
      <c r="LQO46" s="672"/>
      <c r="LQP46" s="672"/>
      <c r="LQQ46" s="672"/>
      <c r="LQR46" s="672"/>
      <c r="LQS46" s="672"/>
      <c r="LQT46" s="672"/>
      <c r="LQU46" s="672"/>
      <c r="LQV46" s="672"/>
      <c r="LQW46" s="672"/>
      <c r="LQX46" s="672"/>
      <c r="LQY46" s="672"/>
      <c r="LQZ46" s="672"/>
      <c r="LRA46" s="672"/>
      <c r="LRB46" s="672"/>
      <c r="LRC46" s="672"/>
      <c r="LRD46" s="672"/>
      <c r="LRE46" s="672"/>
      <c r="LRF46" s="672"/>
      <c r="LRG46" s="672"/>
      <c r="LRH46" s="672"/>
      <c r="LRI46" s="672"/>
      <c r="LRJ46" s="672"/>
      <c r="LRK46" s="672"/>
      <c r="LRL46" s="672"/>
      <c r="LRM46" s="672"/>
      <c r="LRN46" s="672"/>
      <c r="LRO46" s="672"/>
      <c r="LRP46" s="672"/>
      <c r="LRQ46" s="672"/>
      <c r="LRR46" s="672"/>
      <c r="LRS46" s="672"/>
      <c r="LRT46" s="672"/>
      <c r="LRU46" s="672"/>
      <c r="LRV46" s="672"/>
      <c r="LRW46" s="672"/>
      <c r="LRX46" s="672"/>
      <c r="LRY46" s="672"/>
      <c r="LRZ46" s="672"/>
      <c r="LSA46" s="672"/>
      <c r="LSB46" s="672"/>
      <c r="LSC46" s="672"/>
      <c r="LSD46" s="672"/>
      <c r="LSE46" s="672"/>
      <c r="LSF46" s="672"/>
      <c r="LSG46" s="672"/>
      <c r="LSH46" s="672"/>
      <c r="LSI46" s="672"/>
      <c r="LSJ46" s="672"/>
      <c r="LSK46" s="672"/>
      <c r="LSL46" s="672"/>
      <c r="LSM46" s="672"/>
      <c r="LSN46" s="672"/>
      <c r="LSO46" s="672"/>
      <c r="LSP46" s="672"/>
      <c r="LSQ46" s="672"/>
      <c r="LSR46" s="672"/>
      <c r="LSS46" s="672"/>
      <c r="LST46" s="672"/>
      <c r="LSU46" s="672"/>
      <c r="LSV46" s="672"/>
      <c r="LSW46" s="672"/>
      <c r="LSX46" s="672"/>
      <c r="LSY46" s="672"/>
      <c r="LSZ46" s="672"/>
      <c r="LTA46" s="672"/>
      <c r="LTB46" s="672"/>
      <c r="LTC46" s="672"/>
      <c r="LTD46" s="672"/>
      <c r="LTE46" s="672"/>
      <c r="LTF46" s="672"/>
      <c r="LTG46" s="672"/>
      <c r="LTH46" s="672"/>
      <c r="LTI46" s="672"/>
      <c r="LTJ46" s="672"/>
      <c r="LTK46" s="672"/>
      <c r="LTL46" s="672"/>
      <c r="LTM46" s="672"/>
      <c r="LTN46" s="672"/>
      <c r="LTO46" s="672"/>
      <c r="LTP46" s="672"/>
      <c r="LTQ46" s="672"/>
      <c r="LTR46" s="672"/>
      <c r="LTS46" s="672"/>
      <c r="LTT46" s="672"/>
      <c r="LTU46" s="672"/>
      <c r="LTV46" s="672"/>
      <c r="LTW46" s="672"/>
      <c r="LTX46" s="672"/>
      <c r="LTY46" s="672"/>
      <c r="LTZ46" s="672"/>
      <c r="LUA46" s="672"/>
      <c r="LUB46" s="672"/>
      <c r="LUC46" s="672"/>
      <c r="LUD46" s="672"/>
      <c r="LUE46" s="672"/>
      <c r="LUF46" s="672"/>
      <c r="LUG46" s="672"/>
      <c r="LUH46" s="672"/>
      <c r="LUI46" s="672"/>
      <c r="LUJ46" s="672"/>
      <c r="LUK46" s="672"/>
      <c r="LUL46" s="672"/>
      <c r="LUM46" s="672"/>
      <c r="LUN46" s="672"/>
      <c r="LUO46" s="672"/>
      <c r="LUP46" s="672"/>
      <c r="LUQ46" s="672"/>
      <c r="LUR46" s="672"/>
      <c r="LUS46" s="672"/>
      <c r="LUT46" s="672"/>
      <c r="LUU46" s="672"/>
      <c r="LUV46" s="672"/>
      <c r="LUW46" s="672"/>
      <c r="LUX46" s="672"/>
      <c r="LUY46" s="672"/>
      <c r="LUZ46" s="672"/>
      <c r="LVA46" s="672"/>
      <c r="LVB46" s="672"/>
      <c r="LVC46" s="672"/>
      <c r="LVD46" s="672"/>
      <c r="LVE46" s="672"/>
      <c r="LVF46" s="672"/>
      <c r="LVG46" s="672"/>
      <c r="LVH46" s="672"/>
      <c r="LVI46" s="672"/>
      <c r="LVJ46" s="672"/>
      <c r="LVK46" s="672"/>
      <c r="LVL46" s="672"/>
      <c r="LVM46" s="672"/>
      <c r="LVN46" s="672"/>
      <c r="LVO46" s="672"/>
      <c r="LVP46" s="672"/>
      <c r="LVQ46" s="672"/>
      <c r="LVR46" s="672"/>
      <c r="LVS46" s="672"/>
      <c r="LVT46" s="672"/>
      <c r="LVU46" s="672"/>
      <c r="LVV46" s="672"/>
      <c r="LVW46" s="672"/>
      <c r="LVX46" s="672"/>
      <c r="LVY46" s="672"/>
      <c r="LVZ46" s="672"/>
      <c r="LWA46" s="672"/>
      <c r="LWB46" s="672"/>
      <c r="LWC46" s="672"/>
      <c r="LWD46" s="672"/>
      <c r="LWE46" s="672"/>
      <c r="LWF46" s="672"/>
      <c r="LWG46" s="672"/>
      <c r="LWH46" s="672"/>
      <c r="LWI46" s="672"/>
      <c r="LWJ46" s="672"/>
      <c r="LWK46" s="672"/>
      <c r="LWL46" s="672"/>
      <c r="LWM46" s="672"/>
      <c r="LWN46" s="672"/>
      <c r="LWO46" s="672"/>
      <c r="LWP46" s="672"/>
      <c r="LWQ46" s="672"/>
      <c r="LWR46" s="672"/>
      <c r="LWS46" s="672"/>
      <c r="LWT46" s="672"/>
      <c r="LWU46" s="672"/>
      <c r="LWV46" s="672"/>
      <c r="LWW46" s="672"/>
      <c r="LWX46" s="672"/>
      <c r="LWY46" s="672"/>
      <c r="LWZ46" s="672"/>
      <c r="LXA46" s="672"/>
      <c r="LXB46" s="672"/>
      <c r="LXC46" s="672"/>
      <c r="LXD46" s="672"/>
      <c r="LXE46" s="672"/>
      <c r="LXF46" s="672"/>
      <c r="LXG46" s="672"/>
      <c r="LXH46" s="672"/>
      <c r="LXI46" s="672"/>
      <c r="LXJ46" s="672"/>
      <c r="LXK46" s="672"/>
      <c r="LXL46" s="672"/>
      <c r="LXM46" s="672"/>
      <c r="LXN46" s="672"/>
      <c r="LXO46" s="672"/>
      <c r="LXP46" s="672"/>
      <c r="LXQ46" s="672"/>
      <c r="LXR46" s="672"/>
      <c r="LXS46" s="672"/>
      <c r="LXT46" s="672"/>
      <c r="LXU46" s="672"/>
      <c r="LXV46" s="672"/>
      <c r="LXW46" s="672"/>
      <c r="LXX46" s="672"/>
      <c r="LXY46" s="672"/>
      <c r="LXZ46" s="672"/>
      <c r="LYA46" s="672"/>
      <c r="LYB46" s="672"/>
      <c r="LYC46" s="672"/>
      <c r="LYD46" s="672"/>
      <c r="LYE46" s="672"/>
      <c r="LYF46" s="672"/>
      <c r="LYG46" s="672"/>
      <c r="LYH46" s="672"/>
      <c r="LYI46" s="672"/>
      <c r="LYJ46" s="672"/>
      <c r="LYK46" s="672"/>
      <c r="LYL46" s="672"/>
      <c r="LYM46" s="672"/>
      <c r="LYN46" s="672"/>
      <c r="LYO46" s="672"/>
      <c r="LYP46" s="672"/>
      <c r="LYQ46" s="672"/>
      <c r="LYR46" s="672"/>
      <c r="LYS46" s="672"/>
      <c r="LYT46" s="672"/>
      <c r="LYU46" s="672"/>
      <c r="LYV46" s="672"/>
      <c r="LYW46" s="672"/>
      <c r="LYX46" s="672"/>
      <c r="LYY46" s="672"/>
      <c r="LYZ46" s="672"/>
      <c r="LZA46" s="672"/>
      <c r="LZB46" s="672"/>
      <c r="LZC46" s="672"/>
      <c r="LZD46" s="672"/>
      <c r="LZE46" s="672"/>
      <c r="LZF46" s="672"/>
      <c r="LZG46" s="672"/>
      <c r="LZH46" s="672"/>
      <c r="LZI46" s="672"/>
      <c r="LZJ46" s="672"/>
      <c r="LZK46" s="672"/>
      <c r="LZL46" s="672"/>
      <c r="LZM46" s="672"/>
      <c r="LZN46" s="672"/>
      <c r="LZO46" s="672"/>
      <c r="LZP46" s="672"/>
      <c r="LZQ46" s="672"/>
      <c r="LZR46" s="672"/>
      <c r="LZS46" s="672"/>
      <c r="LZT46" s="672"/>
      <c r="LZU46" s="672"/>
      <c r="LZV46" s="672"/>
      <c r="LZW46" s="672"/>
      <c r="LZX46" s="672"/>
      <c r="LZY46" s="672"/>
      <c r="LZZ46" s="672"/>
      <c r="MAA46" s="672"/>
      <c r="MAB46" s="672"/>
      <c r="MAC46" s="672"/>
      <c r="MAD46" s="672"/>
      <c r="MAE46" s="672"/>
      <c r="MAF46" s="672"/>
      <c r="MAG46" s="672"/>
      <c r="MAH46" s="672"/>
      <c r="MAI46" s="672"/>
      <c r="MAJ46" s="672"/>
      <c r="MAK46" s="672"/>
      <c r="MAL46" s="672"/>
      <c r="MAM46" s="672"/>
      <c r="MAN46" s="672"/>
      <c r="MAO46" s="672"/>
      <c r="MAP46" s="672"/>
      <c r="MAQ46" s="672"/>
      <c r="MAR46" s="672"/>
      <c r="MAS46" s="672"/>
      <c r="MAT46" s="672"/>
      <c r="MAU46" s="672"/>
      <c r="MAV46" s="672"/>
      <c r="MAW46" s="672"/>
      <c r="MAX46" s="672"/>
      <c r="MAY46" s="672"/>
      <c r="MAZ46" s="672"/>
      <c r="MBA46" s="672"/>
      <c r="MBB46" s="672"/>
      <c r="MBC46" s="672"/>
      <c r="MBD46" s="672"/>
      <c r="MBE46" s="672"/>
      <c r="MBF46" s="672"/>
      <c r="MBG46" s="672"/>
      <c r="MBH46" s="672"/>
      <c r="MBI46" s="672"/>
      <c r="MBJ46" s="672"/>
      <c r="MBK46" s="672"/>
      <c r="MBL46" s="672"/>
      <c r="MBM46" s="672"/>
      <c r="MBN46" s="672"/>
      <c r="MBO46" s="672"/>
      <c r="MBP46" s="672"/>
      <c r="MBQ46" s="672"/>
      <c r="MBR46" s="672"/>
      <c r="MBS46" s="672"/>
      <c r="MBT46" s="672"/>
      <c r="MBU46" s="672"/>
      <c r="MBV46" s="672"/>
      <c r="MBW46" s="672"/>
      <c r="MBX46" s="672"/>
      <c r="MBY46" s="672"/>
      <c r="MBZ46" s="672"/>
      <c r="MCA46" s="672"/>
      <c r="MCB46" s="672"/>
      <c r="MCC46" s="672"/>
      <c r="MCD46" s="672"/>
      <c r="MCE46" s="672"/>
      <c r="MCF46" s="672"/>
      <c r="MCG46" s="672"/>
      <c r="MCH46" s="672"/>
      <c r="MCI46" s="672"/>
      <c r="MCJ46" s="672"/>
      <c r="MCK46" s="672"/>
      <c r="MCL46" s="672"/>
      <c r="MCM46" s="672"/>
      <c r="MCN46" s="672"/>
      <c r="MCO46" s="672"/>
      <c r="MCP46" s="672"/>
      <c r="MCQ46" s="672"/>
      <c r="MCR46" s="672"/>
      <c r="MCS46" s="672"/>
      <c r="MCT46" s="672"/>
      <c r="MCU46" s="672"/>
      <c r="MCV46" s="672"/>
      <c r="MCW46" s="672"/>
      <c r="MCX46" s="672"/>
      <c r="MCY46" s="672"/>
      <c r="MCZ46" s="672"/>
      <c r="MDA46" s="672"/>
      <c r="MDB46" s="672"/>
      <c r="MDC46" s="672"/>
      <c r="MDD46" s="672"/>
      <c r="MDE46" s="672"/>
      <c r="MDF46" s="672"/>
      <c r="MDG46" s="672"/>
      <c r="MDH46" s="672"/>
      <c r="MDI46" s="672"/>
      <c r="MDJ46" s="672"/>
      <c r="MDK46" s="672"/>
      <c r="MDL46" s="672"/>
      <c r="MDM46" s="672"/>
      <c r="MDN46" s="672"/>
      <c r="MDO46" s="672"/>
      <c r="MDP46" s="672"/>
      <c r="MDQ46" s="672"/>
      <c r="MDR46" s="672"/>
      <c r="MDS46" s="672"/>
      <c r="MDT46" s="672"/>
      <c r="MDU46" s="672"/>
      <c r="MDV46" s="672"/>
      <c r="MDW46" s="672"/>
      <c r="MDX46" s="672"/>
      <c r="MDY46" s="672"/>
      <c r="MDZ46" s="672"/>
      <c r="MEA46" s="672"/>
      <c r="MEB46" s="672"/>
      <c r="MEC46" s="672"/>
      <c r="MED46" s="672"/>
      <c r="MEE46" s="672"/>
      <c r="MEF46" s="672"/>
      <c r="MEG46" s="672"/>
      <c r="MEH46" s="672"/>
      <c r="MEI46" s="672"/>
      <c r="MEJ46" s="672"/>
      <c r="MEK46" s="672"/>
      <c r="MEL46" s="672"/>
      <c r="MEM46" s="672"/>
      <c r="MEN46" s="672"/>
      <c r="MEO46" s="672"/>
      <c r="MEP46" s="672"/>
      <c r="MEQ46" s="672"/>
      <c r="MER46" s="672"/>
      <c r="MES46" s="672"/>
      <c r="MET46" s="672"/>
      <c r="MEU46" s="672"/>
      <c r="MEV46" s="672"/>
      <c r="MEW46" s="672"/>
      <c r="MEX46" s="672"/>
      <c r="MEY46" s="672"/>
      <c r="MEZ46" s="672"/>
      <c r="MFA46" s="672"/>
      <c r="MFB46" s="672"/>
      <c r="MFC46" s="672"/>
      <c r="MFD46" s="672"/>
      <c r="MFE46" s="672"/>
      <c r="MFF46" s="672"/>
      <c r="MFG46" s="672"/>
      <c r="MFH46" s="672"/>
      <c r="MFI46" s="672"/>
      <c r="MFJ46" s="672"/>
      <c r="MFK46" s="672"/>
      <c r="MFL46" s="672"/>
      <c r="MFM46" s="672"/>
      <c r="MFN46" s="672"/>
      <c r="MFO46" s="672"/>
      <c r="MFP46" s="672"/>
      <c r="MFQ46" s="672"/>
      <c r="MFR46" s="672"/>
      <c r="MFS46" s="672"/>
      <c r="MFT46" s="672"/>
      <c r="MFU46" s="672"/>
      <c r="MFV46" s="672"/>
      <c r="MFW46" s="672"/>
      <c r="MFX46" s="672"/>
      <c r="MFY46" s="672"/>
      <c r="MFZ46" s="672"/>
      <c r="MGA46" s="672"/>
      <c r="MGB46" s="672"/>
      <c r="MGC46" s="672"/>
      <c r="MGD46" s="672"/>
      <c r="MGE46" s="672"/>
      <c r="MGF46" s="672"/>
      <c r="MGG46" s="672"/>
      <c r="MGH46" s="672"/>
      <c r="MGI46" s="672"/>
      <c r="MGJ46" s="672"/>
      <c r="MGK46" s="672"/>
      <c r="MGL46" s="672"/>
      <c r="MGM46" s="672"/>
      <c r="MGN46" s="672"/>
      <c r="MGO46" s="672"/>
      <c r="MGP46" s="672"/>
      <c r="MGQ46" s="672"/>
      <c r="MGR46" s="672"/>
      <c r="MGS46" s="672"/>
      <c r="MGT46" s="672"/>
      <c r="MGU46" s="672"/>
      <c r="MGV46" s="672"/>
      <c r="MGW46" s="672"/>
      <c r="MGX46" s="672"/>
      <c r="MGY46" s="672"/>
      <c r="MGZ46" s="672"/>
      <c r="MHA46" s="672"/>
      <c r="MHB46" s="672"/>
      <c r="MHC46" s="672"/>
      <c r="MHD46" s="672"/>
      <c r="MHE46" s="672"/>
      <c r="MHF46" s="672"/>
      <c r="MHG46" s="672"/>
      <c r="MHH46" s="672"/>
      <c r="MHI46" s="672"/>
      <c r="MHJ46" s="672"/>
      <c r="MHK46" s="672"/>
      <c r="MHL46" s="672"/>
      <c r="MHM46" s="672"/>
      <c r="MHN46" s="672"/>
      <c r="MHO46" s="672"/>
      <c r="MHP46" s="672"/>
      <c r="MHQ46" s="672"/>
      <c r="MHR46" s="672"/>
      <c r="MHS46" s="672"/>
      <c r="MHT46" s="672"/>
      <c r="MHU46" s="672"/>
      <c r="MHV46" s="672"/>
      <c r="MHW46" s="672"/>
      <c r="MHX46" s="672"/>
      <c r="MHY46" s="672"/>
      <c r="MHZ46" s="672"/>
      <c r="MIA46" s="672"/>
      <c r="MIB46" s="672"/>
      <c r="MIC46" s="672"/>
      <c r="MID46" s="672"/>
      <c r="MIE46" s="672"/>
      <c r="MIF46" s="672"/>
      <c r="MIG46" s="672"/>
      <c r="MIH46" s="672"/>
      <c r="MII46" s="672"/>
      <c r="MIJ46" s="672"/>
      <c r="MIK46" s="672"/>
      <c r="MIL46" s="672"/>
      <c r="MIM46" s="672"/>
      <c r="MIN46" s="672"/>
      <c r="MIO46" s="672"/>
      <c r="MIP46" s="672"/>
      <c r="MIQ46" s="672"/>
      <c r="MIR46" s="672"/>
      <c r="MIS46" s="672"/>
      <c r="MIT46" s="672"/>
      <c r="MIU46" s="672"/>
      <c r="MIV46" s="672"/>
      <c r="MIW46" s="672"/>
      <c r="MIX46" s="672"/>
      <c r="MIY46" s="672"/>
      <c r="MIZ46" s="672"/>
      <c r="MJA46" s="672"/>
      <c r="MJB46" s="672"/>
      <c r="MJC46" s="672"/>
      <c r="MJD46" s="672"/>
      <c r="MJE46" s="672"/>
      <c r="MJF46" s="672"/>
      <c r="MJG46" s="672"/>
      <c r="MJH46" s="672"/>
      <c r="MJI46" s="672"/>
      <c r="MJJ46" s="672"/>
      <c r="MJK46" s="672"/>
      <c r="MJL46" s="672"/>
      <c r="MJM46" s="672"/>
      <c r="MJN46" s="672"/>
      <c r="MJO46" s="672"/>
      <c r="MJP46" s="672"/>
      <c r="MJQ46" s="672"/>
      <c r="MJR46" s="672"/>
      <c r="MJS46" s="672"/>
      <c r="MJT46" s="672"/>
      <c r="MJU46" s="672"/>
      <c r="MJV46" s="672"/>
      <c r="MJW46" s="672"/>
      <c r="MJX46" s="672"/>
      <c r="MJY46" s="672"/>
      <c r="MJZ46" s="672"/>
      <c r="MKA46" s="672"/>
      <c r="MKB46" s="672"/>
      <c r="MKC46" s="672"/>
      <c r="MKD46" s="672"/>
      <c r="MKE46" s="672"/>
      <c r="MKF46" s="672"/>
      <c r="MKG46" s="672"/>
      <c r="MKH46" s="672"/>
      <c r="MKI46" s="672"/>
      <c r="MKJ46" s="672"/>
      <c r="MKK46" s="672"/>
      <c r="MKL46" s="672"/>
      <c r="MKM46" s="672"/>
      <c r="MKN46" s="672"/>
      <c r="MKO46" s="672"/>
      <c r="MKP46" s="672"/>
      <c r="MKQ46" s="672"/>
      <c r="MKR46" s="672"/>
      <c r="MKS46" s="672"/>
      <c r="MKT46" s="672"/>
      <c r="MKU46" s="672"/>
      <c r="MKV46" s="672"/>
      <c r="MKW46" s="672"/>
      <c r="MKX46" s="672"/>
      <c r="MKY46" s="672"/>
      <c r="MKZ46" s="672"/>
      <c r="MLA46" s="672"/>
      <c r="MLB46" s="672"/>
      <c r="MLC46" s="672"/>
      <c r="MLD46" s="672"/>
      <c r="MLE46" s="672"/>
      <c r="MLF46" s="672"/>
      <c r="MLG46" s="672"/>
      <c r="MLH46" s="672"/>
      <c r="MLI46" s="672"/>
      <c r="MLJ46" s="672"/>
      <c r="MLK46" s="672"/>
      <c r="MLL46" s="672"/>
      <c r="MLM46" s="672"/>
      <c r="MLN46" s="672"/>
      <c r="MLO46" s="672"/>
      <c r="MLP46" s="672"/>
      <c r="MLQ46" s="672"/>
      <c r="MLR46" s="672"/>
      <c r="MLS46" s="672"/>
      <c r="MLT46" s="672"/>
      <c r="MLU46" s="672"/>
      <c r="MLV46" s="672"/>
      <c r="MLW46" s="672"/>
      <c r="MLX46" s="672"/>
      <c r="MLY46" s="672"/>
      <c r="MLZ46" s="672"/>
      <c r="MMA46" s="672"/>
      <c r="MMB46" s="672"/>
      <c r="MMC46" s="672"/>
      <c r="MMD46" s="672"/>
      <c r="MME46" s="672"/>
      <c r="MMF46" s="672"/>
      <c r="MMG46" s="672"/>
      <c r="MMH46" s="672"/>
      <c r="MMI46" s="672"/>
      <c r="MMJ46" s="672"/>
      <c r="MMK46" s="672"/>
      <c r="MML46" s="672"/>
      <c r="MMM46" s="672"/>
      <c r="MMN46" s="672"/>
      <c r="MMO46" s="672"/>
      <c r="MMP46" s="672"/>
      <c r="MMQ46" s="672"/>
      <c r="MMR46" s="672"/>
      <c r="MMS46" s="672"/>
      <c r="MMT46" s="672"/>
      <c r="MMU46" s="672"/>
      <c r="MMV46" s="672"/>
      <c r="MMW46" s="672"/>
      <c r="MMX46" s="672"/>
      <c r="MMY46" s="672"/>
      <c r="MMZ46" s="672"/>
      <c r="MNA46" s="672"/>
      <c r="MNB46" s="672"/>
      <c r="MNC46" s="672"/>
      <c r="MND46" s="672"/>
      <c r="MNE46" s="672"/>
      <c r="MNF46" s="672"/>
      <c r="MNG46" s="672"/>
      <c r="MNH46" s="672"/>
      <c r="MNI46" s="672"/>
      <c r="MNJ46" s="672"/>
      <c r="MNK46" s="672"/>
      <c r="MNL46" s="672"/>
      <c r="MNM46" s="672"/>
      <c r="MNN46" s="672"/>
      <c r="MNO46" s="672"/>
      <c r="MNP46" s="672"/>
      <c r="MNQ46" s="672"/>
      <c r="MNR46" s="672"/>
      <c r="MNS46" s="672"/>
      <c r="MNT46" s="672"/>
      <c r="MNU46" s="672"/>
      <c r="MNV46" s="672"/>
      <c r="MNW46" s="672"/>
      <c r="MNX46" s="672"/>
      <c r="MNY46" s="672"/>
      <c r="MNZ46" s="672"/>
      <c r="MOA46" s="672"/>
      <c r="MOB46" s="672"/>
      <c r="MOC46" s="672"/>
      <c r="MOD46" s="672"/>
      <c r="MOE46" s="672"/>
      <c r="MOF46" s="672"/>
      <c r="MOG46" s="672"/>
      <c r="MOH46" s="672"/>
      <c r="MOI46" s="672"/>
      <c r="MOJ46" s="672"/>
      <c r="MOK46" s="672"/>
      <c r="MOL46" s="672"/>
      <c r="MOM46" s="672"/>
      <c r="MON46" s="672"/>
      <c r="MOO46" s="672"/>
      <c r="MOP46" s="672"/>
      <c r="MOQ46" s="672"/>
      <c r="MOR46" s="672"/>
      <c r="MOS46" s="672"/>
      <c r="MOT46" s="672"/>
      <c r="MOU46" s="672"/>
      <c r="MOV46" s="672"/>
      <c r="MOW46" s="672"/>
      <c r="MOX46" s="672"/>
      <c r="MOY46" s="672"/>
      <c r="MOZ46" s="672"/>
      <c r="MPA46" s="672"/>
      <c r="MPB46" s="672"/>
      <c r="MPC46" s="672"/>
      <c r="MPD46" s="672"/>
      <c r="MPE46" s="672"/>
      <c r="MPF46" s="672"/>
      <c r="MPG46" s="672"/>
      <c r="MPH46" s="672"/>
      <c r="MPI46" s="672"/>
      <c r="MPJ46" s="672"/>
      <c r="MPK46" s="672"/>
      <c r="MPL46" s="672"/>
      <c r="MPM46" s="672"/>
      <c r="MPN46" s="672"/>
      <c r="MPO46" s="672"/>
      <c r="MPP46" s="672"/>
      <c r="MPQ46" s="672"/>
      <c r="MPR46" s="672"/>
      <c r="MPS46" s="672"/>
      <c r="MPT46" s="672"/>
      <c r="MPU46" s="672"/>
      <c r="MPV46" s="672"/>
      <c r="MPW46" s="672"/>
      <c r="MPX46" s="672"/>
      <c r="MPY46" s="672"/>
      <c r="MPZ46" s="672"/>
      <c r="MQA46" s="672"/>
      <c r="MQB46" s="672"/>
      <c r="MQC46" s="672"/>
      <c r="MQD46" s="672"/>
      <c r="MQE46" s="672"/>
      <c r="MQF46" s="672"/>
      <c r="MQG46" s="672"/>
      <c r="MQH46" s="672"/>
      <c r="MQI46" s="672"/>
      <c r="MQJ46" s="672"/>
      <c r="MQK46" s="672"/>
      <c r="MQL46" s="672"/>
      <c r="MQM46" s="672"/>
      <c r="MQN46" s="672"/>
      <c r="MQO46" s="672"/>
      <c r="MQP46" s="672"/>
      <c r="MQQ46" s="672"/>
      <c r="MQR46" s="672"/>
      <c r="MQS46" s="672"/>
      <c r="MQT46" s="672"/>
      <c r="MQU46" s="672"/>
      <c r="MQV46" s="672"/>
      <c r="MQW46" s="672"/>
      <c r="MQX46" s="672"/>
      <c r="MQY46" s="672"/>
      <c r="MQZ46" s="672"/>
      <c r="MRA46" s="672"/>
      <c r="MRB46" s="672"/>
      <c r="MRC46" s="672"/>
      <c r="MRD46" s="672"/>
      <c r="MRE46" s="672"/>
      <c r="MRF46" s="672"/>
      <c r="MRG46" s="672"/>
      <c r="MRH46" s="672"/>
      <c r="MRI46" s="672"/>
      <c r="MRJ46" s="672"/>
      <c r="MRK46" s="672"/>
      <c r="MRL46" s="672"/>
      <c r="MRM46" s="672"/>
      <c r="MRN46" s="672"/>
      <c r="MRO46" s="672"/>
      <c r="MRP46" s="672"/>
      <c r="MRQ46" s="672"/>
      <c r="MRR46" s="672"/>
      <c r="MRS46" s="672"/>
      <c r="MRT46" s="672"/>
      <c r="MRU46" s="672"/>
      <c r="MRV46" s="672"/>
      <c r="MRW46" s="672"/>
      <c r="MRX46" s="672"/>
      <c r="MRY46" s="672"/>
      <c r="MRZ46" s="672"/>
      <c r="MSA46" s="672"/>
      <c r="MSB46" s="672"/>
      <c r="MSC46" s="672"/>
      <c r="MSD46" s="672"/>
      <c r="MSE46" s="672"/>
      <c r="MSF46" s="672"/>
      <c r="MSG46" s="672"/>
      <c r="MSH46" s="672"/>
      <c r="MSI46" s="672"/>
      <c r="MSJ46" s="672"/>
      <c r="MSK46" s="672"/>
      <c r="MSL46" s="672"/>
      <c r="MSM46" s="672"/>
      <c r="MSN46" s="672"/>
      <c r="MSO46" s="672"/>
      <c r="MSP46" s="672"/>
      <c r="MSQ46" s="672"/>
      <c r="MSR46" s="672"/>
      <c r="MSS46" s="672"/>
      <c r="MST46" s="672"/>
      <c r="MSU46" s="672"/>
      <c r="MSV46" s="672"/>
      <c r="MSW46" s="672"/>
      <c r="MSX46" s="672"/>
      <c r="MSY46" s="672"/>
      <c r="MSZ46" s="672"/>
      <c r="MTA46" s="672"/>
      <c r="MTB46" s="672"/>
      <c r="MTC46" s="672"/>
      <c r="MTD46" s="672"/>
      <c r="MTE46" s="672"/>
      <c r="MTF46" s="672"/>
      <c r="MTG46" s="672"/>
      <c r="MTH46" s="672"/>
      <c r="MTI46" s="672"/>
      <c r="MTJ46" s="672"/>
      <c r="MTK46" s="672"/>
      <c r="MTL46" s="672"/>
      <c r="MTM46" s="672"/>
      <c r="MTN46" s="672"/>
      <c r="MTO46" s="672"/>
      <c r="MTP46" s="672"/>
      <c r="MTQ46" s="672"/>
      <c r="MTR46" s="672"/>
      <c r="MTS46" s="672"/>
      <c r="MTT46" s="672"/>
      <c r="MTU46" s="672"/>
      <c r="MTV46" s="672"/>
      <c r="MTW46" s="672"/>
      <c r="MTX46" s="672"/>
      <c r="MTY46" s="672"/>
      <c r="MTZ46" s="672"/>
      <c r="MUA46" s="672"/>
      <c r="MUB46" s="672"/>
      <c r="MUC46" s="672"/>
      <c r="MUD46" s="672"/>
      <c r="MUE46" s="672"/>
      <c r="MUF46" s="672"/>
      <c r="MUG46" s="672"/>
      <c r="MUH46" s="672"/>
      <c r="MUI46" s="672"/>
      <c r="MUJ46" s="672"/>
      <c r="MUK46" s="672"/>
      <c r="MUL46" s="672"/>
      <c r="MUM46" s="672"/>
      <c r="MUN46" s="672"/>
      <c r="MUO46" s="672"/>
      <c r="MUP46" s="672"/>
      <c r="MUQ46" s="672"/>
      <c r="MUR46" s="672"/>
      <c r="MUS46" s="672"/>
      <c r="MUT46" s="672"/>
      <c r="MUU46" s="672"/>
      <c r="MUV46" s="672"/>
      <c r="MUW46" s="672"/>
      <c r="MUX46" s="672"/>
      <c r="MUY46" s="672"/>
      <c r="MUZ46" s="672"/>
      <c r="MVA46" s="672"/>
      <c r="MVB46" s="672"/>
      <c r="MVC46" s="672"/>
      <c r="MVD46" s="672"/>
      <c r="MVE46" s="672"/>
      <c r="MVF46" s="672"/>
      <c r="MVG46" s="672"/>
      <c r="MVH46" s="672"/>
      <c r="MVI46" s="672"/>
      <c r="MVJ46" s="672"/>
      <c r="MVK46" s="672"/>
      <c r="MVL46" s="672"/>
      <c r="MVM46" s="672"/>
      <c r="MVN46" s="672"/>
      <c r="MVO46" s="672"/>
      <c r="MVP46" s="672"/>
      <c r="MVQ46" s="672"/>
      <c r="MVR46" s="672"/>
      <c r="MVS46" s="672"/>
      <c r="MVT46" s="672"/>
      <c r="MVU46" s="672"/>
      <c r="MVV46" s="672"/>
      <c r="MVW46" s="672"/>
      <c r="MVX46" s="672"/>
      <c r="MVY46" s="672"/>
      <c r="MVZ46" s="672"/>
      <c r="MWA46" s="672"/>
      <c r="MWB46" s="672"/>
      <c r="MWC46" s="672"/>
      <c r="MWD46" s="672"/>
      <c r="MWE46" s="672"/>
      <c r="MWF46" s="672"/>
      <c r="MWG46" s="672"/>
      <c r="MWH46" s="672"/>
      <c r="MWI46" s="672"/>
      <c r="MWJ46" s="672"/>
      <c r="MWK46" s="672"/>
      <c r="MWL46" s="672"/>
      <c r="MWM46" s="672"/>
      <c r="MWN46" s="672"/>
      <c r="MWO46" s="672"/>
      <c r="MWP46" s="672"/>
      <c r="MWQ46" s="672"/>
      <c r="MWR46" s="672"/>
      <c r="MWS46" s="672"/>
      <c r="MWT46" s="672"/>
      <c r="MWU46" s="672"/>
      <c r="MWV46" s="672"/>
      <c r="MWW46" s="672"/>
      <c r="MWX46" s="672"/>
      <c r="MWY46" s="672"/>
      <c r="MWZ46" s="672"/>
      <c r="MXA46" s="672"/>
      <c r="MXB46" s="672"/>
      <c r="MXC46" s="672"/>
      <c r="MXD46" s="672"/>
      <c r="MXE46" s="672"/>
      <c r="MXF46" s="672"/>
      <c r="MXG46" s="672"/>
      <c r="MXH46" s="672"/>
      <c r="MXI46" s="672"/>
      <c r="MXJ46" s="672"/>
      <c r="MXK46" s="672"/>
      <c r="MXL46" s="672"/>
      <c r="MXM46" s="672"/>
      <c r="MXN46" s="672"/>
      <c r="MXO46" s="672"/>
      <c r="MXP46" s="672"/>
      <c r="MXQ46" s="672"/>
      <c r="MXR46" s="672"/>
      <c r="MXS46" s="672"/>
      <c r="MXT46" s="672"/>
      <c r="MXU46" s="672"/>
      <c r="MXV46" s="672"/>
      <c r="MXW46" s="672"/>
      <c r="MXX46" s="672"/>
      <c r="MXY46" s="672"/>
      <c r="MXZ46" s="672"/>
      <c r="MYA46" s="672"/>
      <c r="MYB46" s="672"/>
      <c r="MYC46" s="672"/>
      <c r="MYD46" s="672"/>
      <c r="MYE46" s="672"/>
      <c r="MYF46" s="672"/>
      <c r="MYG46" s="672"/>
      <c r="MYH46" s="672"/>
      <c r="MYI46" s="672"/>
      <c r="MYJ46" s="672"/>
      <c r="MYK46" s="672"/>
      <c r="MYL46" s="672"/>
      <c r="MYM46" s="672"/>
      <c r="MYN46" s="672"/>
      <c r="MYO46" s="672"/>
      <c r="MYP46" s="672"/>
      <c r="MYQ46" s="672"/>
      <c r="MYR46" s="672"/>
      <c r="MYS46" s="672"/>
      <c r="MYT46" s="672"/>
      <c r="MYU46" s="672"/>
      <c r="MYV46" s="672"/>
      <c r="MYW46" s="672"/>
      <c r="MYX46" s="672"/>
      <c r="MYY46" s="672"/>
      <c r="MYZ46" s="672"/>
      <c r="MZA46" s="672"/>
      <c r="MZB46" s="672"/>
      <c r="MZC46" s="672"/>
      <c r="MZD46" s="672"/>
      <c r="MZE46" s="672"/>
      <c r="MZF46" s="672"/>
      <c r="MZG46" s="672"/>
      <c r="MZH46" s="672"/>
      <c r="MZI46" s="672"/>
      <c r="MZJ46" s="672"/>
      <c r="MZK46" s="672"/>
      <c r="MZL46" s="672"/>
      <c r="MZM46" s="672"/>
      <c r="MZN46" s="672"/>
      <c r="MZO46" s="672"/>
      <c r="MZP46" s="672"/>
      <c r="MZQ46" s="672"/>
      <c r="MZR46" s="672"/>
      <c r="MZS46" s="672"/>
      <c r="MZT46" s="672"/>
      <c r="MZU46" s="672"/>
      <c r="MZV46" s="672"/>
      <c r="MZW46" s="672"/>
      <c r="MZX46" s="672"/>
      <c r="MZY46" s="672"/>
      <c r="MZZ46" s="672"/>
      <c r="NAA46" s="672"/>
      <c r="NAB46" s="672"/>
      <c r="NAC46" s="672"/>
      <c r="NAD46" s="672"/>
      <c r="NAE46" s="672"/>
      <c r="NAF46" s="672"/>
      <c r="NAG46" s="672"/>
      <c r="NAH46" s="672"/>
      <c r="NAI46" s="672"/>
      <c r="NAJ46" s="672"/>
      <c r="NAK46" s="672"/>
      <c r="NAL46" s="672"/>
      <c r="NAM46" s="672"/>
      <c r="NAN46" s="672"/>
      <c r="NAO46" s="672"/>
      <c r="NAP46" s="672"/>
      <c r="NAQ46" s="672"/>
      <c r="NAR46" s="672"/>
      <c r="NAS46" s="672"/>
      <c r="NAT46" s="672"/>
      <c r="NAU46" s="672"/>
      <c r="NAV46" s="672"/>
      <c r="NAW46" s="672"/>
      <c r="NAX46" s="672"/>
      <c r="NAY46" s="672"/>
      <c r="NAZ46" s="672"/>
      <c r="NBA46" s="672"/>
      <c r="NBB46" s="672"/>
      <c r="NBC46" s="672"/>
      <c r="NBD46" s="672"/>
      <c r="NBE46" s="672"/>
      <c r="NBF46" s="672"/>
      <c r="NBG46" s="672"/>
      <c r="NBH46" s="672"/>
      <c r="NBI46" s="672"/>
      <c r="NBJ46" s="672"/>
      <c r="NBK46" s="672"/>
      <c r="NBL46" s="672"/>
      <c r="NBM46" s="672"/>
      <c r="NBN46" s="672"/>
      <c r="NBO46" s="672"/>
      <c r="NBP46" s="672"/>
      <c r="NBQ46" s="672"/>
      <c r="NBR46" s="672"/>
      <c r="NBS46" s="672"/>
      <c r="NBT46" s="672"/>
      <c r="NBU46" s="672"/>
      <c r="NBV46" s="672"/>
      <c r="NBW46" s="672"/>
      <c r="NBX46" s="672"/>
      <c r="NBY46" s="672"/>
      <c r="NBZ46" s="672"/>
      <c r="NCA46" s="672"/>
      <c r="NCB46" s="672"/>
      <c r="NCC46" s="672"/>
      <c r="NCD46" s="672"/>
      <c r="NCE46" s="672"/>
      <c r="NCF46" s="672"/>
      <c r="NCG46" s="672"/>
      <c r="NCH46" s="672"/>
      <c r="NCI46" s="672"/>
      <c r="NCJ46" s="672"/>
      <c r="NCK46" s="672"/>
      <c r="NCL46" s="672"/>
      <c r="NCM46" s="672"/>
      <c r="NCN46" s="672"/>
      <c r="NCO46" s="672"/>
      <c r="NCP46" s="672"/>
      <c r="NCQ46" s="672"/>
      <c r="NCR46" s="672"/>
      <c r="NCS46" s="672"/>
      <c r="NCT46" s="672"/>
      <c r="NCU46" s="672"/>
      <c r="NCV46" s="672"/>
      <c r="NCW46" s="672"/>
      <c r="NCX46" s="672"/>
      <c r="NCY46" s="672"/>
      <c r="NCZ46" s="672"/>
      <c r="NDA46" s="672"/>
      <c r="NDB46" s="672"/>
      <c r="NDC46" s="672"/>
      <c r="NDD46" s="672"/>
      <c r="NDE46" s="672"/>
      <c r="NDF46" s="672"/>
      <c r="NDG46" s="672"/>
      <c r="NDH46" s="672"/>
      <c r="NDI46" s="672"/>
      <c r="NDJ46" s="672"/>
      <c r="NDK46" s="672"/>
      <c r="NDL46" s="672"/>
      <c r="NDM46" s="672"/>
      <c r="NDN46" s="672"/>
      <c r="NDO46" s="672"/>
      <c r="NDP46" s="672"/>
      <c r="NDQ46" s="672"/>
      <c r="NDR46" s="672"/>
      <c r="NDS46" s="672"/>
      <c r="NDT46" s="672"/>
      <c r="NDU46" s="672"/>
      <c r="NDV46" s="672"/>
      <c r="NDW46" s="672"/>
      <c r="NDX46" s="672"/>
      <c r="NDY46" s="672"/>
      <c r="NDZ46" s="672"/>
      <c r="NEA46" s="672"/>
      <c r="NEB46" s="672"/>
      <c r="NEC46" s="672"/>
      <c r="NED46" s="672"/>
      <c r="NEE46" s="672"/>
      <c r="NEF46" s="672"/>
      <c r="NEG46" s="672"/>
      <c r="NEH46" s="672"/>
      <c r="NEI46" s="672"/>
      <c r="NEJ46" s="672"/>
      <c r="NEK46" s="672"/>
      <c r="NEL46" s="672"/>
      <c r="NEM46" s="672"/>
      <c r="NEN46" s="672"/>
      <c r="NEO46" s="672"/>
      <c r="NEP46" s="672"/>
      <c r="NEQ46" s="672"/>
      <c r="NER46" s="672"/>
      <c r="NES46" s="672"/>
      <c r="NET46" s="672"/>
      <c r="NEU46" s="672"/>
      <c r="NEV46" s="672"/>
      <c r="NEW46" s="672"/>
      <c r="NEX46" s="672"/>
      <c r="NEY46" s="672"/>
      <c r="NEZ46" s="672"/>
      <c r="NFA46" s="672"/>
      <c r="NFB46" s="672"/>
      <c r="NFC46" s="672"/>
      <c r="NFD46" s="672"/>
      <c r="NFE46" s="672"/>
      <c r="NFF46" s="672"/>
      <c r="NFG46" s="672"/>
      <c r="NFH46" s="672"/>
      <c r="NFI46" s="672"/>
      <c r="NFJ46" s="672"/>
      <c r="NFK46" s="672"/>
      <c r="NFL46" s="672"/>
      <c r="NFM46" s="672"/>
      <c r="NFN46" s="672"/>
      <c r="NFO46" s="672"/>
      <c r="NFP46" s="672"/>
      <c r="NFQ46" s="672"/>
      <c r="NFR46" s="672"/>
      <c r="NFS46" s="672"/>
      <c r="NFT46" s="672"/>
      <c r="NFU46" s="672"/>
      <c r="NFV46" s="672"/>
      <c r="NFW46" s="672"/>
      <c r="NFX46" s="672"/>
      <c r="NFY46" s="672"/>
      <c r="NFZ46" s="672"/>
      <c r="NGA46" s="672"/>
      <c r="NGB46" s="672"/>
      <c r="NGC46" s="672"/>
      <c r="NGD46" s="672"/>
      <c r="NGE46" s="672"/>
      <c r="NGF46" s="672"/>
      <c r="NGG46" s="672"/>
      <c r="NGH46" s="672"/>
      <c r="NGI46" s="672"/>
      <c r="NGJ46" s="672"/>
      <c r="NGK46" s="672"/>
      <c r="NGL46" s="672"/>
      <c r="NGM46" s="672"/>
      <c r="NGN46" s="672"/>
      <c r="NGO46" s="672"/>
      <c r="NGP46" s="672"/>
      <c r="NGQ46" s="672"/>
      <c r="NGR46" s="672"/>
      <c r="NGS46" s="672"/>
      <c r="NGT46" s="672"/>
      <c r="NGU46" s="672"/>
      <c r="NGV46" s="672"/>
      <c r="NGW46" s="672"/>
      <c r="NGX46" s="672"/>
      <c r="NGY46" s="672"/>
      <c r="NGZ46" s="672"/>
      <c r="NHA46" s="672"/>
      <c r="NHB46" s="672"/>
      <c r="NHC46" s="672"/>
      <c r="NHD46" s="672"/>
      <c r="NHE46" s="672"/>
      <c r="NHF46" s="672"/>
      <c r="NHG46" s="672"/>
      <c r="NHH46" s="672"/>
      <c r="NHI46" s="672"/>
      <c r="NHJ46" s="672"/>
      <c r="NHK46" s="672"/>
      <c r="NHL46" s="672"/>
      <c r="NHM46" s="672"/>
      <c r="NHN46" s="672"/>
      <c r="NHO46" s="672"/>
      <c r="NHP46" s="672"/>
      <c r="NHQ46" s="672"/>
      <c r="NHR46" s="672"/>
      <c r="NHS46" s="672"/>
      <c r="NHT46" s="672"/>
      <c r="NHU46" s="672"/>
      <c r="NHV46" s="672"/>
      <c r="NHW46" s="672"/>
      <c r="NHX46" s="672"/>
      <c r="NHY46" s="672"/>
      <c r="NHZ46" s="672"/>
      <c r="NIA46" s="672"/>
      <c r="NIB46" s="672"/>
      <c r="NIC46" s="672"/>
      <c r="NID46" s="672"/>
      <c r="NIE46" s="672"/>
      <c r="NIF46" s="672"/>
      <c r="NIG46" s="672"/>
      <c r="NIH46" s="672"/>
      <c r="NII46" s="672"/>
      <c r="NIJ46" s="672"/>
      <c r="NIK46" s="672"/>
      <c r="NIL46" s="672"/>
      <c r="NIM46" s="672"/>
      <c r="NIN46" s="672"/>
      <c r="NIO46" s="672"/>
      <c r="NIP46" s="672"/>
      <c r="NIQ46" s="672"/>
      <c r="NIR46" s="672"/>
      <c r="NIS46" s="672"/>
      <c r="NIT46" s="672"/>
      <c r="NIU46" s="672"/>
      <c r="NIV46" s="672"/>
      <c r="NIW46" s="672"/>
      <c r="NIX46" s="672"/>
      <c r="NIY46" s="672"/>
      <c r="NIZ46" s="672"/>
      <c r="NJA46" s="672"/>
      <c r="NJB46" s="672"/>
      <c r="NJC46" s="672"/>
      <c r="NJD46" s="672"/>
      <c r="NJE46" s="672"/>
      <c r="NJF46" s="672"/>
      <c r="NJG46" s="672"/>
      <c r="NJH46" s="672"/>
      <c r="NJI46" s="672"/>
      <c r="NJJ46" s="672"/>
      <c r="NJK46" s="672"/>
      <c r="NJL46" s="672"/>
      <c r="NJM46" s="672"/>
      <c r="NJN46" s="672"/>
      <c r="NJO46" s="672"/>
      <c r="NJP46" s="672"/>
      <c r="NJQ46" s="672"/>
      <c r="NJR46" s="672"/>
      <c r="NJS46" s="672"/>
      <c r="NJT46" s="672"/>
      <c r="NJU46" s="672"/>
      <c r="NJV46" s="672"/>
      <c r="NJW46" s="672"/>
      <c r="NJX46" s="672"/>
      <c r="NJY46" s="672"/>
      <c r="NJZ46" s="672"/>
      <c r="NKA46" s="672"/>
      <c r="NKB46" s="672"/>
      <c r="NKC46" s="672"/>
      <c r="NKD46" s="672"/>
      <c r="NKE46" s="672"/>
      <c r="NKF46" s="672"/>
      <c r="NKG46" s="672"/>
      <c r="NKH46" s="672"/>
      <c r="NKI46" s="672"/>
      <c r="NKJ46" s="672"/>
      <c r="NKK46" s="672"/>
      <c r="NKL46" s="672"/>
      <c r="NKM46" s="672"/>
      <c r="NKN46" s="672"/>
      <c r="NKO46" s="672"/>
      <c r="NKP46" s="672"/>
      <c r="NKQ46" s="672"/>
      <c r="NKR46" s="672"/>
      <c r="NKS46" s="672"/>
      <c r="NKT46" s="672"/>
      <c r="NKU46" s="672"/>
      <c r="NKV46" s="672"/>
      <c r="NKW46" s="672"/>
      <c r="NKX46" s="672"/>
      <c r="NKY46" s="672"/>
      <c r="NKZ46" s="672"/>
      <c r="NLA46" s="672"/>
      <c r="NLB46" s="672"/>
      <c r="NLC46" s="672"/>
      <c r="NLD46" s="672"/>
      <c r="NLE46" s="672"/>
      <c r="NLF46" s="672"/>
      <c r="NLG46" s="672"/>
      <c r="NLH46" s="672"/>
      <c r="NLI46" s="672"/>
      <c r="NLJ46" s="672"/>
      <c r="NLK46" s="672"/>
      <c r="NLL46" s="672"/>
      <c r="NLM46" s="672"/>
      <c r="NLN46" s="672"/>
      <c r="NLO46" s="672"/>
      <c r="NLP46" s="672"/>
      <c r="NLQ46" s="672"/>
      <c r="NLR46" s="672"/>
      <c r="NLS46" s="672"/>
      <c r="NLT46" s="672"/>
      <c r="NLU46" s="672"/>
      <c r="NLV46" s="672"/>
      <c r="NLW46" s="672"/>
      <c r="NLX46" s="672"/>
      <c r="NLY46" s="672"/>
      <c r="NLZ46" s="672"/>
      <c r="NMA46" s="672"/>
      <c r="NMB46" s="672"/>
      <c r="NMC46" s="672"/>
      <c r="NMD46" s="672"/>
      <c r="NME46" s="672"/>
      <c r="NMF46" s="672"/>
      <c r="NMG46" s="672"/>
      <c r="NMH46" s="672"/>
      <c r="NMI46" s="672"/>
      <c r="NMJ46" s="672"/>
      <c r="NMK46" s="672"/>
      <c r="NML46" s="672"/>
      <c r="NMM46" s="672"/>
      <c r="NMN46" s="672"/>
      <c r="NMO46" s="672"/>
      <c r="NMP46" s="672"/>
      <c r="NMQ46" s="672"/>
      <c r="NMR46" s="672"/>
      <c r="NMS46" s="672"/>
      <c r="NMT46" s="672"/>
      <c r="NMU46" s="672"/>
      <c r="NMV46" s="672"/>
      <c r="NMW46" s="672"/>
      <c r="NMX46" s="672"/>
      <c r="NMY46" s="672"/>
      <c r="NMZ46" s="672"/>
      <c r="NNA46" s="672"/>
      <c r="NNB46" s="672"/>
      <c r="NNC46" s="672"/>
      <c r="NND46" s="672"/>
      <c r="NNE46" s="672"/>
      <c r="NNF46" s="672"/>
      <c r="NNG46" s="672"/>
      <c r="NNH46" s="672"/>
      <c r="NNI46" s="672"/>
      <c r="NNJ46" s="672"/>
      <c r="NNK46" s="672"/>
      <c r="NNL46" s="672"/>
      <c r="NNM46" s="672"/>
      <c r="NNN46" s="672"/>
      <c r="NNO46" s="672"/>
      <c r="NNP46" s="672"/>
      <c r="NNQ46" s="672"/>
      <c r="NNR46" s="672"/>
      <c r="NNS46" s="672"/>
      <c r="NNT46" s="672"/>
      <c r="NNU46" s="672"/>
      <c r="NNV46" s="672"/>
      <c r="NNW46" s="672"/>
      <c r="NNX46" s="672"/>
      <c r="NNY46" s="672"/>
      <c r="NNZ46" s="672"/>
      <c r="NOA46" s="672"/>
      <c r="NOB46" s="672"/>
      <c r="NOC46" s="672"/>
      <c r="NOD46" s="672"/>
      <c r="NOE46" s="672"/>
      <c r="NOF46" s="672"/>
      <c r="NOG46" s="672"/>
      <c r="NOH46" s="672"/>
      <c r="NOI46" s="672"/>
      <c r="NOJ46" s="672"/>
      <c r="NOK46" s="672"/>
      <c r="NOL46" s="672"/>
      <c r="NOM46" s="672"/>
      <c r="NON46" s="672"/>
      <c r="NOO46" s="672"/>
      <c r="NOP46" s="672"/>
      <c r="NOQ46" s="672"/>
      <c r="NOR46" s="672"/>
      <c r="NOS46" s="672"/>
      <c r="NOT46" s="672"/>
      <c r="NOU46" s="672"/>
      <c r="NOV46" s="672"/>
      <c r="NOW46" s="672"/>
      <c r="NOX46" s="672"/>
      <c r="NOY46" s="672"/>
      <c r="NOZ46" s="672"/>
      <c r="NPA46" s="672"/>
      <c r="NPB46" s="672"/>
      <c r="NPC46" s="672"/>
      <c r="NPD46" s="672"/>
      <c r="NPE46" s="672"/>
      <c r="NPF46" s="672"/>
      <c r="NPG46" s="672"/>
      <c r="NPH46" s="672"/>
      <c r="NPI46" s="672"/>
      <c r="NPJ46" s="672"/>
      <c r="NPK46" s="672"/>
      <c r="NPL46" s="672"/>
      <c r="NPM46" s="672"/>
      <c r="NPN46" s="672"/>
      <c r="NPO46" s="672"/>
      <c r="NPP46" s="672"/>
      <c r="NPQ46" s="672"/>
      <c r="NPR46" s="672"/>
      <c r="NPS46" s="672"/>
      <c r="NPT46" s="672"/>
      <c r="NPU46" s="672"/>
      <c r="NPV46" s="672"/>
      <c r="NPW46" s="672"/>
      <c r="NPX46" s="672"/>
      <c r="NPY46" s="672"/>
      <c r="NPZ46" s="672"/>
      <c r="NQA46" s="672"/>
      <c r="NQB46" s="672"/>
      <c r="NQC46" s="672"/>
      <c r="NQD46" s="672"/>
      <c r="NQE46" s="672"/>
      <c r="NQF46" s="672"/>
      <c r="NQG46" s="672"/>
      <c r="NQH46" s="672"/>
      <c r="NQI46" s="672"/>
      <c r="NQJ46" s="672"/>
      <c r="NQK46" s="672"/>
      <c r="NQL46" s="672"/>
      <c r="NQM46" s="672"/>
      <c r="NQN46" s="672"/>
      <c r="NQO46" s="672"/>
      <c r="NQP46" s="672"/>
      <c r="NQQ46" s="672"/>
      <c r="NQR46" s="672"/>
      <c r="NQS46" s="672"/>
      <c r="NQT46" s="672"/>
      <c r="NQU46" s="672"/>
      <c r="NQV46" s="672"/>
      <c r="NQW46" s="672"/>
      <c r="NQX46" s="672"/>
      <c r="NQY46" s="672"/>
      <c r="NQZ46" s="672"/>
      <c r="NRA46" s="672"/>
      <c r="NRB46" s="672"/>
      <c r="NRC46" s="672"/>
      <c r="NRD46" s="672"/>
      <c r="NRE46" s="672"/>
      <c r="NRF46" s="672"/>
      <c r="NRG46" s="672"/>
      <c r="NRH46" s="672"/>
      <c r="NRI46" s="672"/>
      <c r="NRJ46" s="672"/>
      <c r="NRK46" s="672"/>
      <c r="NRL46" s="672"/>
      <c r="NRM46" s="672"/>
      <c r="NRN46" s="672"/>
      <c r="NRO46" s="672"/>
      <c r="NRP46" s="672"/>
      <c r="NRQ46" s="672"/>
      <c r="NRR46" s="672"/>
      <c r="NRS46" s="672"/>
      <c r="NRT46" s="672"/>
      <c r="NRU46" s="672"/>
      <c r="NRV46" s="672"/>
      <c r="NRW46" s="672"/>
      <c r="NRX46" s="672"/>
      <c r="NRY46" s="672"/>
      <c r="NRZ46" s="672"/>
      <c r="NSA46" s="672"/>
      <c r="NSB46" s="672"/>
      <c r="NSC46" s="672"/>
      <c r="NSD46" s="672"/>
      <c r="NSE46" s="672"/>
      <c r="NSF46" s="672"/>
      <c r="NSG46" s="672"/>
      <c r="NSH46" s="672"/>
      <c r="NSI46" s="672"/>
      <c r="NSJ46" s="672"/>
      <c r="NSK46" s="672"/>
      <c r="NSL46" s="672"/>
      <c r="NSM46" s="672"/>
      <c r="NSN46" s="672"/>
      <c r="NSO46" s="672"/>
      <c r="NSP46" s="672"/>
      <c r="NSQ46" s="672"/>
      <c r="NSR46" s="672"/>
      <c r="NSS46" s="672"/>
      <c r="NST46" s="672"/>
      <c r="NSU46" s="672"/>
      <c r="NSV46" s="672"/>
      <c r="NSW46" s="672"/>
      <c r="NSX46" s="672"/>
      <c r="NSY46" s="672"/>
      <c r="NSZ46" s="672"/>
      <c r="NTA46" s="672"/>
      <c r="NTB46" s="672"/>
      <c r="NTC46" s="672"/>
      <c r="NTD46" s="672"/>
      <c r="NTE46" s="672"/>
      <c r="NTF46" s="672"/>
      <c r="NTG46" s="672"/>
      <c r="NTH46" s="672"/>
      <c r="NTI46" s="672"/>
      <c r="NTJ46" s="672"/>
      <c r="NTK46" s="672"/>
      <c r="NTL46" s="672"/>
      <c r="NTM46" s="672"/>
      <c r="NTN46" s="672"/>
      <c r="NTO46" s="672"/>
      <c r="NTP46" s="672"/>
      <c r="NTQ46" s="672"/>
      <c r="NTR46" s="672"/>
      <c r="NTS46" s="672"/>
      <c r="NTT46" s="672"/>
      <c r="NTU46" s="672"/>
      <c r="NTV46" s="672"/>
      <c r="NTW46" s="672"/>
      <c r="NTX46" s="672"/>
      <c r="NTY46" s="672"/>
      <c r="NTZ46" s="672"/>
      <c r="NUA46" s="672"/>
      <c r="NUB46" s="672"/>
      <c r="NUC46" s="672"/>
      <c r="NUD46" s="672"/>
      <c r="NUE46" s="672"/>
      <c r="NUF46" s="672"/>
      <c r="NUG46" s="672"/>
      <c r="NUH46" s="672"/>
      <c r="NUI46" s="672"/>
      <c r="NUJ46" s="672"/>
      <c r="NUK46" s="672"/>
      <c r="NUL46" s="672"/>
      <c r="NUM46" s="672"/>
      <c r="NUN46" s="672"/>
      <c r="NUO46" s="672"/>
      <c r="NUP46" s="672"/>
      <c r="NUQ46" s="672"/>
      <c r="NUR46" s="672"/>
      <c r="NUS46" s="672"/>
      <c r="NUT46" s="672"/>
      <c r="NUU46" s="672"/>
      <c r="NUV46" s="672"/>
      <c r="NUW46" s="672"/>
      <c r="NUX46" s="672"/>
      <c r="NUY46" s="672"/>
      <c r="NUZ46" s="672"/>
      <c r="NVA46" s="672"/>
      <c r="NVB46" s="672"/>
      <c r="NVC46" s="672"/>
      <c r="NVD46" s="672"/>
      <c r="NVE46" s="672"/>
      <c r="NVF46" s="672"/>
      <c r="NVG46" s="672"/>
      <c r="NVH46" s="672"/>
      <c r="NVI46" s="672"/>
      <c r="NVJ46" s="672"/>
      <c r="NVK46" s="672"/>
      <c r="NVL46" s="672"/>
      <c r="NVM46" s="672"/>
      <c r="NVN46" s="672"/>
      <c r="NVO46" s="672"/>
      <c r="NVP46" s="672"/>
      <c r="NVQ46" s="672"/>
      <c r="NVR46" s="672"/>
      <c r="NVS46" s="672"/>
      <c r="NVT46" s="672"/>
      <c r="NVU46" s="672"/>
      <c r="NVV46" s="672"/>
      <c r="NVW46" s="672"/>
      <c r="NVX46" s="672"/>
      <c r="NVY46" s="672"/>
      <c r="NVZ46" s="672"/>
      <c r="NWA46" s="672"/>
      <c r="NWB46" s="672"/>
      <c r="NWC46" s="672"/>
      <c r="NWD46" s="672"/>
      <c r="NWE46" s="672"/>
      <c r="NWF46" s="672"/>
      <c r="NWG46" s="672"/>
      <c r="NWH46" s="672"/>
      <c r="NWI46" s="672"/>
      <c r="NWJ46" s="672"/>
      <c r="NWK46" s="672"/>
      <c r="NWL46" s="672"/>
      <c r="NWM46" s="672"/>
      <c r="NWN46" s="672"/>
      <c r="NWO46" s="672"/>
      <c r="NWP46" s="672"/>
      <c r="NWQ46" s="672"/>
      <c r="NWR46" s="672"/>
      <c r="NWS46" s="672"/>
      <c r="NWT46" s="672"/>
      <c r="NWU46" s="672"/>
      <c r="NWV46" s="672"/>
      <c r="NWW46" s="672"/>
      <c r="NWX46" s="672"/>
      <c r="NWY46" s="672"/>
      <c r="NWZ46" s="672"/>
      <c r="NXA46" s="672"/>
      <c r="NXB46" s="672"/>
      <c r="NXC46" s="672"/>
      <c r="NXD46" s="672"/>
      <c r="NXE46" s="672"/>
      <c r="NXF46" s="672"/>
      <c r="NXG46" s="672"/>
      <c r="NXH46" s="672"/>
      <c r="NXI46" s="672"/>
      <c r="NXJ46" s="672"/>
      <c r="NXK46" s="672"/>
      <c r="NXL46" s="672"/>
      <c r="NXM46" s="672"/>
      <c r="NXN46" s="672"/>
      <c r="NXO46" s="672"/>
      <c r="NXP46" s="672"/>
      <c r="NXQ46" s="672"/>
      <c r="NXR46" s="672"/>
      <c r="NXS46" s="672"/>
      <c r="NXT46" s="672"/>
      <c r="NXU46" s="672"/>
      <c r="NXV46" s="672"/>
      <c r="NXW46" s="672"/>
      <c r="NXX46" s="672"/>
      <c r="NXY46" s="672"/>
      <c r="NXZ46" s="672"/>
      <c r="NYA46" s="672"/>
      <c r="NYB46" s="672"/>
      <c r="NYC46" s="672"/>
      <c r="NYD46" s="672"/>
      <c r="NYE46" s="672"/>
      <c r="NYF46" s="672"/>
      <c r="NYG46" s="672"/>
      <c r="NYH46" s="672"/>
      <c r="NYI46" s="672"/>
      <c r="NYJ46" s="672"/>
      <c r="NYK46" s="672"/>
      <c r="NYL46" s="672"/>
      <c r="NYM46" s="672"/>
      <c r="NYN46" s="672"/>
      <c r="NYO46" s="672"/>
      <c r="NYP46" s="672"/>
      <c r="NYQ46" s="672"/>
      <c r="NYR46" s="672"/>
      <c r="NYS46" s="672"/>
      <c r="NYT46" s="672"/>
      <c r="NYU46" s="672"/>
      <c r="NYV46" s="672"/>
      <c r="NYW46" s="672"/>
      <c r="NYX46" s="672"/>
      <c r="NYY46" s="672"/>
      <c r="NYZ46" s="672"/>
      <c r="NZA46" s="672"/>
      <c r="NZB46" s="672"/>
      <c r="NZC46" s="672"/>
      <c r="NZD46" s="672"/>
      <c r="NZE46" s="672"/>
      <c r="NZF46" s="672"/>
      <c r="NZG46" s="672"/>
      <c r="NZH46" s="672"/>
      <c r="NZI46" s="672"/>
      <c r="NZJ46" s="672"/>
      <c r="NZK46" s="672"/>
      <c r="NZL46" s="672"/>
      <c r="NZM46" s="672"/>
      <c r="NZN46" s="672"/>
      <c r="NZO46" s="672"/>
      <c r="NZP46" s="672"/>
      <c r="NZQ46" s="672"/>
      <c r="NZR46" s="672"/>
      <c r="NZS46" s="672"/>
      <c r="NZT46" s="672"/>
      <c r="NZU46" s="672"/>
      <c r="NZV46" s="672"/>
      <c r="NZW46" s="672"/>
      <c r="NZX46" s="672"/>
      <c r="NZY46" s="672"/>
      <c r="NZZ46" s="672"/>
      <c r="OAA46" s="672"/>
      <c r="OAB46" s="672"/>
      <c r="OAC46" s="672"/>
      <c r="OAD46" s="672"/>
      <c r="OAE46" s="672"/>
      <c r="OAF46" s="672"/>
      <c r="OAG46" s="672"/>
      <c r="OAH46" s="672"/>
      <c r="OAI46" s="672"/>
      <c r="OAJ46" s="672"/>
      <c r="OAK46" s="672"/>
      <c r="OAL46" s="672"/>
      <c r="OAM46" s="672"/>
      <c r="OAN46" s="672"/>
      <c r="OAO46" s="672"/>
      <c r="OAP46" s="672"/>
      <c r="OAQ46" s="672"/>
      <c r="OAR46" s="672"/>
      <c r="OAS46" s="672"/>
      <c r="OAT46" s="672"/>
      <c r="OAU46" s="672"/>
      <c r="OAV46" s="672"/>
      <c r="OAW46" s="672"/>
      <c r="OAX46" s="672"/>
      <c r="OAY46" s="672"/>
      <c r="OAZ46" s="672"/>
      <c r="OBA46" s="672"/>
      <c r="OBB46" s="672"/>
      <c r="OBC46" s="672"/>
      <c r="OBD46" s="672"/>
      <c r="OBE46" s="672"/>
      <c r="OBF46" s="672"/>
      <c r="OBG46" s="672"/>
      <c r="OBH46" s="672"/>
      <c r="OBI46" s="672"/>
      <c r="OBJ46" s="672"/>
      <c r="OBK46" s="672"/>
      <c r="OBL46" s="672"/>
      <c r="OBM46" s="672"/>
      <c r="OBN46" s="672"/>
      <c r="OBO46" s="672"/>
      <c r="OBP46" s="672"/>
      <c r="OBQ46" s="672"/>
      <c r="OBR46" s="672"/>
      <c r="OBS46" s="672"/>
      <c r="OBT46" s="672"/>
      <c r="OBU46" s="672"/>
      <c r="OBV46" s="672"/>
      <c r="OBW46" s="672"/>
      <c r="OBX46" s="672"/>
      <c r="OBY46" s="672"/>
      <c r="OBZ46" s="672"/>
      <c r="OCA46" s="672"/>
      <c r="OCB46" s="672"/>
      <c r="OCC46" s="672"/>
      <c r="OCD46" s="672"/>
      <c r="OCE46" s="672"/>
      <c r="OCF46" s="672"/>
      <c r="OCG46" s="672"/>
      <c r="OCH46" s="672"/>
      <c r="OCI46" s="672"/>
      <c r="OCJ46" s="672"/>
      <c r="OCK46" s="672"/>
      <c r="OCL46" s="672"/>
      <c r="OCM46" s="672"/>
      <c r="OCN46" s="672"/>
      <c r="OCO46" s="672"/>
      <c r="OCP46" s="672"/>
      <c r="OCQ46" s="672"/>
      <c r="OCR46" s="672"/>
      <c r="OCS46" s="672"/>
      <c r="OCT46" s="672"/>
      <c r="OCU46" s="672"/>
      <c r="OCV46" s="672"/>
      <c r="OCW46" s="672"/>
      <c r="OCX46" s="672"/>
      <c r="OCY46" s="672"/>
      <c r="OCZ46" s="672"/>
      <c r="ODA46" s="672"/>
      <c r="ODB46" s="672"/>
      <c r="ODC46" s="672"/>
      <c r="ODD46" s="672"/>
      <c r="ODE46" s="672"/>
      <c r="ODF46" s="672"/>
      <c r="ODG46" s="672"/>
      <c r="ODH46" s="672"/>
      <c r="ODI46" s="672"/>
      <c r="ODJ46" s="672"/>
      <c r="ODK46" s="672"/>
      <c r="ODL46" s="672"/>
      <c r="ODM46" s="672"/>
      <c r="ODN46" s="672"/>
      <c r="ODO46" s="672"/>
      <c r="ODP46" s="672"/>
      <c r="ODQ46" s="672"/>
      <c r="ODR46" s="672"/>
      <c r="ODS46" s="672"/>
      <c r="ODT46" s="672"/>
      <c r="ODU46" s="672"/>
      <c r="ODV46" s="672"/>
      <c r="ODW46" s="672"/>
      <c r="ODX46" s="672"/>
      <c r="ODY46" s="672"/>
      <c r="ODZ46" s="672"/>
      <c r="OEA46" s="672"/>
      <c r="OEB46" s="672"/>
      <c r="OEC46" s="672"/>
      <c r="OED46" s="672"/>
      <c r="OEE46" s="672"/>
      <c r="OEF46" s="672"/>
      <c r="OEG46" s="672"/>
      <c r="OEH46" s="672"/>
      <c r="OEI46" s="672"/>
      <c r="OEJ46" s="672"/>
      <c r="OEK46" s="672"/>
      <c r="OEL46" s="672"/>
      <c r="OEM46" s="672"/>
      <c r="OEN46" s="672"/>
      <c r="OEO46" s="672"/>
      <c r="OEP46" s="672"/>
      <c r="OEQ46" s="672"/>
      <c r="OER46" s="672"/>
      <c r="OES46" s="672"/>
      <c r="OET46" s="672"/>
      <c r="OEU46" s="672"/>
      <c r="OEV46" s="672"/>
      <c r="OEW46" s="672"/>
      <c r="OEX46" s="672"/>
      <c r="OEY46" s="672"/>
      <c r="OEZ46" s="672"/>
      <c r="OFA46" s="672"/>
      <c r="OFB46" s="672"/>
      <c r="OFC46" s="672"/>
      <c r="OFD46" s="672"/>
      <c r="OFE46" s="672"/>
      <c r="OFF46" s="672"/>
      <c r="OFG46" s="672"/>
      <c r="OFH46" s="672"/>
      <c r="OFI46" s="672"/>
      <c r="OFJ46" s="672"/>
      <c r="OFK46" s="672"/>
      <c r="OFL46" s="672"/>
      <c r="OFM46" s="672"/>
      <c r="OFN46" s="672"/>
      <c r="OFO46" s="672"/>
      <c r="OFP46" s="672"/>
      <c r="OFQ46" s="672"/>
      <c r="OFR46" s="672"/>
      <c r="OFS46" s="672"/>
      <c r="OFT46" s="672"/>
      <c r="OFU46" s="672"/>
      <c r="OFV46" s="672"/>
      <c r="OFW46" s="672"/>
      <c r="OFX46" s="672"/>
      <c r="OFY46" s="672"/>
      <c r="OFZ46" s="672"/>
      <c r="OGA46" s="672"/>
      <c r="OGB46" s="672"/>
      <c r="OGC46" s="672"/>
      <c r="OGD46" s="672"/>
      <c r="OGE46" s="672"/>
      <c r="OGF46" s="672"/>
      <c r="OGG46" s="672"/>
      <c r="OGH46" s="672"/>
      <c r="OGI46" s="672"/>
      <c r="OGJ46" s="672"/>
      <c r="OGK46" s="672"/>
      <c r="OGL46" s="672"/>
      <c r="OGM46" s="672"/>
      <c r="OGN46" s="672"/>
      <c r="OGO46" s="672"/>
      <c r="OGP46" s="672"/>
      <c r="OGQ46" s="672"/>
      <c r="OGR46" s="672"/>
      <c r="OGS46" s="672"/>
      <c r="OGT46" s="672"/>
      <c r="OGU46" s="672"/>
      <c r="OGV46" s="672"/>
      <c r="OGW46" s="672"/>
      <c r="OGX46" s="672"/>
      <c r="OGY46" s="672"/>
      <c r="OGZ46" s="672"/>
      <c r="OHA46" s="672"/>
      <c r="OHB46" s="672"/>
      <c r="OHC46" s="672"/>
      <c r="OHD46" s="672"/>
      <c r="OHE46" s="672"/>
      <c r="OHF46" s="672"/>
      <c r="OHG46" s="672"/>
      <c r="OHH46" s="672"/>
      <c r="OHI46" s="672"/>
      <c r="OHJ46" s="672"/>
      <c r="OHK46" s="672"/>
      <c r="OHL46" s="672"/>
      <c r="OHM46" s="672"/>
      <c r="OHN46" s="672"/>
      <c r="OHO46" s="672"/>
      <c r="OHP46" s="672"/>
      <c r="OHQ46" s="672"/>
      <c r="OHR46" s="672"/>
      <c r="OHS46" s="672"/>
      <c r="OHT46" s="672"/>
      <c r="OHU46" s="672"/>
      <c r="OHV46" s="672"/>
      <c r="OHW46" s="672"/>
      <c r="OHX46" s="672"/>
      <c r="OHY46" s="672"/>
      <c r="OHZ46" s="672"/>
      <c r="OIA46" s="672"/>
      <c r="OIB46" s="672"/>
      <c r="OIC46" s="672"/>
      <c r="OID46" s="672"/>
      <c r="OIE46" s="672"/>
      <c r="OIF46" s="672"/>
      <c r="OIG46" s="672"/>
      <c r="OIH46" s="672"/>
      <c r="OII46" s="672"/>
      <c r="OIJ46" s="672"/>
      <c r="OIK46" s="672"/>
      <c r="OIL46" s="672"/>
      <c r="OIM46" s="672"/>
      <c r="OIN46" s="672"/>
      <c r="OIO46" s="672"/>
      <c r="OIP46" s="672"/>
      <c r="OIQ46" s="672"/>
      <c r="OIR46" s="672"/>
      <c r="OIS46" s="672"/>
      <c r="OIT46" s="672"/>
      <c r="OIU46" s="672"/>
      <c r="OIV46" s="672"/>
      <c r="OIW46" s="672"/>
      <c r="OIX46" s="672"/>
      <c r="OIY46" s="672"/>
      <c r="OIZ46" s="672"/>
      <c r="OJA46" s="672"/>
      <c r="OJB46" s="672"/>
      <c r="OJC46" s="672"/>
      <c r="OJD46" s="672"/>
      <c r="OJE46" s="672"/>
      <c r="OJF46" s="672"/>
      <c r="OJG46" s="672"/>
      <c r="OJH46" s="672"/>
      <c r="OJI46" s="672"/>
      <c r="OJJ46" s="672"/>
      <c r="OJK46" s="672"/>
      <c r="OJL46" s="672"/>
      <c r="OJM46" s="672"/>
      <c r="OJN46" s="672"/>
      <c r="OJO46" s="672"/>
      <c r="OJP46" s="672"/>
      <c r="OJQ46" s="672"/>
      <c r="OJR46" s="672"/>
      <c r="OJS46" s="672"/>
      <c r="OJT46" s="672"/>
      <c r="OJU46" s="672"/>
      <c r="OJV46" s="672"/>
      <c r="OJW46" s="672"/>
      <c r="OJX46" s="672"/>
      <c r="OJY46" s="672"/>
      <c r="OJZ46" s="672"/>
      <c r="OKA46" s="672"/>
      <c r="OKB46" s="672"/>
      <c r="OKC46" s="672"/>
      <c r="OKD46" s="672"/>
      <c r="OKE46" s="672"/>
      <c r="OKF46" s="672"/>
      <c r="OKG46" s="672"/>
      <c r="OKH46" s="672"/>
      <c r="OKI46" s="672"/>
      <c r="OKJ46" s="672"/>
      <c r="OKK46" s="672"/>
      <c r="OKL46" s="672"/>
      <c r="OKM46" s="672"/>
      <c r="OKN46" s="672"/>
      <c r="OKO46" s="672"/>
      <c r="OKP46" s="672"/>
      <c r="OKQ46" s="672"/>
      <c r="OKR46" s="672"/>
      <c r="OKS46" s="672"/>
      <c r="OKT46" s="672"/>
      <c r="OKU46" s="672"/>
      <c r="OKV46" s="672"/>
      <c r="OKW46" s="672"/>
      <c r="OKX46" s="672"/>
      <c r="OKY46" s="672"/>
      <c r="OKZ46" s="672"/>
      <c r="OLA46" s="672"/>
      <c r="OLB46" s="672"/>
      <c r="OLC46" s="672"/>
      <c r="OLD46" s="672"/>
      <c r="OLE46" s="672"/>
      <c r="OLF46" s="672"/>
      <c r="OLG46" s="672"/>
      <c r="OLH46" s="672"/>
      <c r="OLI46" s="672"/>
      <c r="OLJ46" s="672"/>
      <c r="OLK46" s="672"/>
      <c r="OLL46" s="672"/>
      <c r="OLM46" s="672"/>
      <c r="OLN46" s="672"/>
      <c r="OLO46" s="672"/>
      <c r="OLP46" s="672"/>
      <c r="OLQ46" s="672"/>
      <c r="OLR46" s="672"/>
      <c r="OLS46" s="672"/>
      <c r="OLT46" s="672"/>
      <c r="OLU46" s="672"/>
      <c r="OLV46" s="672"/>
      <c r="OLW46" s="672"/>
      <c r="OLX46" s="672"/>
      <c r="OLY46" s="672"/>
      <c r="OLZ46" s="672"/>
      <c r="OMA46" s="672"/>
      <c r="OMB46" s="672"/>
      <c r="OMC46" s="672"/>
      <c r="OMD46" s="672"/>
      <c r="OME46" s="672"/>
      <c r="OMF46" s="672"/>
      <c r="OMG46" s="672"/>
      <c r="OMH46" s="672"/>
      <c r="OMI46" s="672"/>
      <c r="OMJ46" s="672"/>
      <c r="OMK46" s="672"/>
      <c r="OML46" s="672"/>
      <c r="OMM46" s="672"/>
      <c r="OMN46" s="672"/>
      <c r="OMO46" s="672"/>
      <c r="OMP46" s="672"/>
      <c r="OMQ46" s="672"/>
      <c r="OMR46" s="672"/>
      <c r="OMS46" s="672"/>
      <c r="OMT46" s="672"/>
      <c r="OMU46" s="672"/>
      <c r="OMV46" s="672"/>
      <c r="OMW46" s="672"/>
      <c r="OMX46" s="672"/>
      <c r="OMY46" s="672"/>
      <c r="OMZ46" s="672"/>
      <c r="ONA46" s="672"/>
      <c r="ONB46" s="672"/>
      <c r="ONC46" s="672"/>
      <c r="OND46" s="672"/>
      <c r="ONE46" s="672"/>
      <c r="ONF46" s="672"/>
      <c r="ONG46" s="672"/>
      <c r="ONH46" s="672"/>
      <c r="ONI46" s="672"/>
      <c r="ONJ46" s="672"/>
      <c r="ONK46" s="672"/>
      <c r="ONL46" s="672"/>
      <c r="ONM46" s="672"/>
      <c r="ONN46" s="672"/>
      <c r="ONO46" s="672"/>
      <c r="ONP46" s="672"/>
      <c r="ONQ46" s="672"/>
      <c r="ONR46" s="672"/>
      <c r="ONS46" s="672"/>
      <c r="ONT46" s="672"/>
      <c r="ONU46" s="672"/>
      <c r="ONV46" s="672"/>
      <c r="ONW46" s="672"/>
      <c r="ONX46" s="672"/>
      <c r="ONY46" s="672"/>
      <c r="ONZ46" s="672"/>
      <c r="OOA46" s="672"/>
      <c r="OOB46" s="672"/>
      <c r="OOC46" s="672"/>
      <c r="OOD46" s="672"/>
      <c r="OOE46" s="672"/>
      <c r="OOF46" s="672"/>
      <c r="OOG46" s="672"/>
      <c r="OOH46" s="672"/>
      <c r="OOI46" s="672"/>
      <c r="OOJ46" s="672"/>
      <c r="OOK46" s="672"/>
      <c r="OOL46" s="672"/>
      <c r="OOM46" s="672"/>
      <c r="OON46" s="672"/>
      <c r="OOO46" s="672"/>
      <c r="OOP46" s="672"/>
      <c r="OOQ46" s="672"/>
      <c r="OOR46" s="672"/>
      <c r="OOS46" s="672"/>
      <c r="OOT46" s="672"/>
      <c r="OOU46" s="672"/>
      <c r="OOV46" s="672"/>
      <c r="OOW46" s="672"/>
      <c r="OOX46" s="672"/>
      <c r="OOY46" s="672"/>
      <c r="OOZ46" s="672"/>
      <c r="OPA46" s="672"/>
      <c r="OPB46" s="672"/>
      <c r="OPC46" s="672"/>
      <c r="OPD46" s="672"/>
      <c r="OPE46" s="672"/>
      <c r="OPF46" s="672"/>
      <c r="OPG46" s="672"/>
      <c r="OPH46" s="672"/>
      <c r="OPI46" s="672"/>
      <c r="OPJ46" s="672"/>
      <c r="OPK46" s="672"/>
      <c r="OPL46" s="672"/>
      <c r="OPM46" s="672"/>
      <c r="OPN46" s="672"/>
      <c r="OPO46" s="672"/>
      <c r="OPP46" s="672"/>
      <c r="OPQ46" s="672"/>
      <c r="OPR46" s="672"/>
      <c r="OPS46" s="672"/>
      <c r="OPT46" s="672"/>
      <c r="OPU46" s="672"/>
      <c r="OPV46" s="672"/>
      <c r="OPW46" s="672"/>
      <c r="OPX46" s="672"/>
      <c r="OPY46" s="672"/>
      <c r="OPZ46" s="672"/>
      <c r="OQA46" s="672"/>
      <c r="OQB46" s="672"/>
      <c r="OQC46" s="672"/>
      <c r="OQD46" s="672"/>
      <c r="OQE46" s="672"/>
      <c r="OQF46" s="672"/>
      <c r="OQG46" s="672"/>
      <c r="OQH46" s="672"/>
      <c r="OQI46" s="672"/>
      <c r="OQJ46" s="672"/>
      <c r="OQK46" s="672"/>
      <c r="OQL46" s="672"/>
      <c r="OQM46" s="672"/>
      <c r="OQN46" s="672"/>
      <c r="OQO46" s="672"/>
      <c r="OQP46" s="672"/>
      <c r="OQQ46" s="672"/>
      <c r="OQR46" s="672"/>
      <c r="OQS46" s="672"/>
      <c r="OQT46" s="672"/>
      <c r="OQU46" s="672"/>
      <c r="OQV46" s="672"/>
      <c r="OQW46" s="672"/>
      <c r="OQX46" s="672"/>
      <c r="OQY46" s="672"/>
      <c r="OQZ46" s="672"/>
      <c r="ORA46" s="672"/>
      <c r="ORB46" s="672"/>
      <c r="ORC46" s="672"/>
      <c r="ORD46" s="672"/>
      <c r="ORE46" s="672"/>
      <c r="ORF46" s="672"/>
      <c r="ORG46" s="672"/>
      <c r="ORH46" s="672"/>
      <c r="ORI46" s="672"/>
      <c r="ORJ46" s="672"/>
      <c r="ORK46" s="672"/>
      <c r="ORL46" s="672"/>
      <c r="ORM46" s="672"/>
      <c r="ORN46" s="672"/>
      <c r="ORO46" s="672"/>
      <c r="ORP46" s="672"/>
      <c r="ORQ46" s="672"/>
      <c r="ORR46" s="672"/>
      <c r="ORS46" s="672"/>
      <c r="ORT46" s="672"/>
      <c r="ORU46" s="672"/>
      <c r="ORV46" s="672"/>
      <c r="ORW46" s="672"/>
      <c r="ORX46" s="672"/>
      <c r="ORY46" s="672"/>
      <c r="ORZ46" s="672"/>
      <c r="OSA46" s="672"/>
      <c r="OSB46" s="672"/>
      <c r="OSC46" s="672"/>
      <c r="OSD46" s="672"/>
      <c r="OSE46" s="672"/>
      <c r="OSF46" s="672"/>
      <c r="OSG46" s="672"/>
      <c r="OSH46" s="672"/>
      <c r="OSI46" s="672"/>
      <c r="OSJ46" s="672"/>
      <c r="OSK46" s="672"/>
      <c r="OSL46" s="672"/>
      <c r="OSM46" s="672"/>
      <c r="OSN46" s="672"/>
      <c r="OSO46" s="672"/>
      <c r="OSP46" s="672"/>
      <c r="OSQ46" s="672"/>
      <c r="OSR46" s="672"/>
      <c r="OSS46" s="672"/>
      <c r="OST46" s="672"/>
      <c r="OSU46" s="672"/>
      <c r="OSV46" s="672"/>
      <c r="OSW46" s="672"/>
      <c r="OSX46" s="672"/>
      <c r="OSY46" s="672"/>
      <c r="OSZ46" s="672"/>
      <c r="OTA46" s="672"/>
      <c r="OTB46" s="672"/>
      <c r="OTC46" s="672"/>
      <c r="OTD46" s="672"/>
      <c r="OTE46" s="672"/>
      <c r="OTF46" s="672"/>
      <c r="OTG46" s="672"/>
      <c r="OTH46" s="672"/>
      <c r="OTI46" s="672"/>
      <c r="OTJ46" s="672"/>
      <c r="OTK46" s="672"/>
      <c r="OTL46" s="672"/>
      <c r="OTM46" s="672"/>
      <c r="OTN46" s="672"/>
      <c r="OTO46" s="672"/>
      <c r="OTP46" s="672"/>
      <c r="OTQ46" s="672"/>
      <c r="OTR46" s="672"/>
      <c r="OTS46" s="672"/>
      <c r="OTT46" s="672"/>
      <c r="OTU46" s="672"/>
      <c r="OTV46" s="672"/>
      <c r="OTW46" s="672"/>
      <c r="OTX46" s="672"/>
      <c r="OTY46" s="672"/>
      <c r="OTZ46" s="672"/>
      <c r="OUA46" s="672"/>
      <c r="OUB46" s="672"/>
      <c r="OUC46" s="672"/>
      <c r="OUD46" s="672"/>
      <c r="OUE46" s="672"/>
      <c r="OUF46" s="672"/>
      <c r="OUG46" s="672"/>
      <c r="OUH46" s="672"/>
      <c r="OUI46" s="672"/>
      <c r="OUJ46" s="672"/>
      <c r="OUK46" s="672"/>
      <c r="OUL46" s="672"/>
      <c r="OUM46" s="672"/>
      <c r="OUN46" s="672"/>
      <c r="OUO46" s="672"/>
      <c r="OUP46" s="672"/>
      <c r="OUQ46" s="672"/>
      <c r="OUR46" s="672"/>
      <c r="OUS46" s="672"/>
      <c r="OUT46" s="672"/>
      <c r="OUU46" s="672"/>
      <c r="OUV46" s="672"/>
      <c r="OUW46" s="672"/>
      <c r="OUX46" s="672"/>
      <c r="OUY46" s="672"/>
      <c r="OUZ46" s="672"/>
      <c r="OVA46" s="672"/>
      <c r="OVB46" s="672"/>
      <c r="OVC46" s="672"/>
      <c r="OVD46" s="672"/>
      <c r="OVE46" s="672"/>
      <c r="OVF46" s="672"/>
      <c r="OVG46" s="672"/>
      <c r="OVH46" s="672"/>
      <c r="OVI46" s="672"/>
      <c r="OVJ46" s="672"/>
      <c r="OVK46" s="672"/>
      <c r="OVL46" s="672"/>
      <c r="OVM46" s="672"/>
      <c r="OVN46" s="672"/>
      <c r="OVO46" s="672"/>
      <c r="OVP46" s="672"/>
      <c r="OVQ46" s="672"/>
      <c r="OVR46" s="672"/>
      <c r="OVS46" s="672"/>
      <c r="OVT46" s="672"/>
      <c r="OVU46" s="672"/>
      <c r="OVV46" s="672"/>
      <c r="OVW46" s="672"/>
      <c r="OVX46" s="672"/>
      <c r="OVY46" s="672"/>
      <c r="OVZ46" s="672"/>
      <c r="OWA46" s="672"/>
      <c r="OWB46" s="672"/>
      <c r="OWC46" s="672"/>
      <c r="OWD46" s="672"/>
      <c r="OWE46" s="672"/>
      <c r="OWF46" s="672"/>
      <c r="OWG46" s="672"/>
      <c r="OWH46" s="672"/>
      <c r="OWI46" s="672"/>
      <c r="OWJ46" s="672"/>
      <c r="OWK46" s="672"/>
      <c r="OWL46" s="672"/>
      <c r="OWM46" s="672"/>
      <c r="OWN46" s="672"/>
      <c r="OWO46" s="672"/>
      <c r="OWP46" s="672"/>
      <c r="OWQ46" s="672"/>
      <c r="OWR46" s="672"/>
      <c r="OWS46" s="672"/>
      <c r="OWT46" s="672"/>
      <c r="OWU46" s="672"/>
      <c r="OWV46" s="672"/>
      <c r="OWW46" s="672"/>
      <c r="OWX46" s="672"/>
      <c r="OWY46" s="672"/>
      <c r="OWZ46" s="672"/>
      <c r="OXA46" s="672"/>
      <c r="OXB46" s="672"/>
      <c r="OXC46" s="672"/>
      <c r="OXD46" s="672"/>
      <c r="OXE46" s="672"/>
      <c r="OXF46" s="672"/>
      <c r="OXG46" s="672"/>
      <c r="OXH46" s="672"/>
      <c r="OXI46" s="672"/>
      <c r="OXJ46" s="672"/>
      <c r="OXK46" s="672"/>
      <c r="OXL46" s="672"/>
      <c r="OXM46" s="672"/>
      <c r="OXN46" s="672"/>
      <c r="OXO46" s="672"/>
      <c r="OXP46" s="672"/>
      <c r="OXQ46" s="672"/>
      <c r="OXR46" s="672"/>
      <c r="OXS46" s="672"/>
      <c r="OXT46" s="672"/>
      <c r="OXU46" s="672"/>
      <c r="OXV46" s="672"/>
      <c r="OXW46" s="672"/>
      <c r="OXX46" s="672"/>
      <c r="OXY46" s="672"/>
      <c r="OXZ46" s="672"/>
      <c r="OYA46" s="672"/>
      <c r="OYB46" s="672"/>
      <c r="OYC46" s="672"/>
      <c r="OYD46" s="672"/>
      <c r="OYE46" s="672"/>
      <c r="OYF46" s="672"/>
      <c r="OYG46" s="672"/>
      <c r="OYH46" s="672"/>
      <c r="OYI46" s="672"/>
      <c r="OYJ46" s="672"/>
      <c r="OYK46" s="672"/>
      <c r="OYL46" s="672"/>
      <c r="OYM46" s="672"/>
      <c r="OYN46" s="672"/>
      <c r="OYO46" s="672"/>
      <c r="OYP46" s="672"/>
      <c r="OYQ46" s="672"/>
      <c r="OYR46" s="672"/>
      <c r="OYS46" s="672"/>
      <c r="OYT46" s="672"/>
      <c r="OYU46" s="672"/>
      <c r="OYV46" s="672"/>
      <c r="OYW46" s="672"/>
      <c r="OYX46" s="672"/>
      <c r="OYY46" s="672"/>
      <c r="OYZ46" s="672"/>
      <c r="OZA46" s="672"/>
      <c r="OZB46" s="672"/>
      <c r="OZC46" s="672"/>
      <c r="OZD46" s="672"/>
      <c r="OZE46" s="672"/>
      <c r="OZF46" s="672"/>
      <c r="OZG46" s="672"/>
      <c r="OZH46" s="672"/>
      <c r="OZI46" s="672"/>
      <c r="OZJ46" s="672"/>
      <c r="OZK46" s="672"/>
      <c r="OZL46" s="672"/>
      <c r="OZM46" s="672"/>
      <c r="OZN46" s="672"/>
      <c r="OZO46" s="672"/>
      <c r="OZP46" s="672"/>
      <c r="OZQ46" s="672"/>
      <c r="OZR46" s="672"/>
      <c r="OZS46" s="672"/>
      <c r="OZT46" s="672"/>
      <c r="OZU46" s="672"/>
      <c r="OZV46" s="672"/>
      <c r="OZW46" s="672"/>
      <c r="OZX46" s="672"/>
      <c r="OZY46" s="672"/>
      <c r="OZZ46" s="672"/>
      <c r="PAA46" s="672"/>
      <c r="PAB46" s="672"/>
      <c r="PAC46" s="672"/>
      <c r="PAD46" s="672"/>
      <c r="PAE46" s="672"/>
      <c r="PAF46" s="672"/>
      <c r="PAG46" s="672"/>
      <c r="PAH46" s="672"/>
      <c r="PAI46" s="672"/>
      <c r="PAJ46" s="672"/>
      <c r="PAK46" s="672"/>
      <c r="PAL46" s="672"/>
      <c r="PAM46" s="672"/>
      <c r="PAN46" s="672"/>
      <c r="PAO46" s="672"/>
      <c r="PAP46" s="672"/>
      <c r="PAQ46" s="672"/>
      <c r="PAR46" s="672"/>
      <c r="PAS46" s="672"/>
      <c r="PAT46" s="672"/>
      <c r="PAU46" s="672"/>
      <c r="PAV46" s="672"/>
      <c r="PAW46" s="672"/>
      <c r="PAX46" s="672"/>
      <c r="PAY46" s="672"/>
      <c r="PAZ46" s="672"/>
      <c r="PBA46" s="672"/>
      <c r="PBB46" s="672"/>
      <c r="PBC46" s="672"/>
      <c r="PBD46" s="672"/>
      <c r="PBE46" s="672"/>
      <c r="PBF46" s="672"/>
      <c r="PBG46" s="672"/>
      <c r="PBH46" s="672"/>
      <c r="PBI46" s="672"/>
      <c r="PBJ46" s="672"/>
      <c r="PBK46" s="672"/>
      <c r="PBL46" s="672"/>
      <c r="PBM46" s="672"/>
      <c r="PBN46" s="672"/>
      <c r="PBO46" s="672"/>
      <c r="PBP46" s="672"/>
      <c r="PBQ46" s="672"/>
      <c r="PBR46" s="672"/>
      <c r="PBS46" s="672"/>
      <c r="PBT46" s="672"/>
      <c r="PBU46" s="672"/>
      <c r="PBV46" s="672"/>
      <c r="PBW46" s="672"/>
      <c r="PBX46" s="672"/>
      <c r="PBY46" s="672"/>
      <c r="PBZ46" s="672"/>
      <c r="PCA46" s="672"/>
      <c r="PCB46" s="672"/>
      <c r="PCC46" s="672"/>
      <c r="PCD46" s="672"/>
      <c r="PCE46" s="672"/>
      <c r="PCF46" s="672"/>
      <c r="PCG46" s="672"/>
      <c r="PCH46" s="672"/>
      <c r="PCI46" s="672"/>
      <c r="PCJ46" s="672"/>
      <c r="PCK46" s="672"/>
      <c r="PCL46" s="672"/>
      <c r="PCM46" s="672"/>
      <c r="PCN46" s="672"/>
      <c r="PCO46" s="672"/>
      <c r="PCP46" s="672"/>
      <c r="PCQ46" s="672"/>
      <c r="PCR46" s="672"/>
      <c r="PCS46" s="672"/>
      <c r="PCT46" s="672"/>
      <c r="PCU46" s="672"/>
      <c r="PCV46" s="672"/>
      <c r="PCW46" s="672"/>
      <c r="PCX46" s="672"/>
      <c r="PCY46" s="672"/>
      <c r="PCZ46" s="672"/>
      <c r="PDA46" s="672"/>
      <c r="PDB46" s="672"/>
      <c r="PDC46" s="672"/>
      <c r="PDD46" s="672"/>
      <c r="PDE46" s="672"/>
      <c r="PDF46" s="672"/>
      <c r="PDG46" s="672"/>
      <c r="PDH46" s="672"/>
      <c r="PDI46" s="672"/>
      <c r="PDJ46" s="672"/>
      <c r="PDK46" s="672"/>
      <c r="PDL46" s="672"/>
      <c r="PDM46" s="672"/>
      <c r="PDN46" s="672"/>
      <c r="PDO46" s="672"/>
      <c r="PDP46" s="672"/>
      <c r="PDQ46" s="672"/>
      <c r="PDR46" s="672"/>
      <c r="PDS46" s="672"/>
      <c r="PDT46" s="672"/>
      <c r="PDU46" s="672"/>
      <c r="PDV46" s="672"/>
      <c r="PDW46" s="672"/>
      <c r="PDX46" s="672"/>
      <c r="PDY46" s="672"/>
      <c r="PDZ46" s="672"/>
      <c r="PEA46" s="672"/>
      <c r="PEB46" s="672"/>
      <c r="PEC46" s="672"/>
      <c r="PED46" s="672"/>
      <c r="PEE46" s="672"/>
      <c r="PEF46" s="672"/>
      <c r="PEG46" s="672"/>
      <c r="PEH46" s="672"/>
      <c r="PEI46" s="672"/>
      <c r="PEJ46" s="672"/>
      <c r="PEK46" s="672"/>
      <c r="PEL46" s="672"/>
      <c r="PEM46" s="672"/>
      <c r="PEN46" s="672"/>
      <c r="PEO46" s="672"/>
      <c r="PEP46" s="672"/>
      <c r="PEQ46" s="672"/>
      <c r="PER46" s="672"/>
      <c r="PES46" s="672"/>
      <c r="PET46" s="672"/>
      <c r="PEU46" s="672"/>
      <c r="PEV46" s="672"/>
      <c r="PEW46" s="672"/>
      <c r="PEX46" s="672"/>
      <c r="PEY46" s="672"/>
      <c r="PEZ46" s="672"/>
      <c r="PFA46" s="672"/>
      <c r="PFB46" s="672"/>
      <c r="PFC46" s="672"/>
      <c r="PFD46" s="672"/>
      <c r="PFE46" s="672"/>
      <c r="PFF46" s="672"/>
      <c r="PFG46" s="672"/>
      <c r="PFH46" s="672"/>
      <c r="PFI46" s="672"/>
      <c r="PFJ46" s="672"/>
      <c r="PFK46" s="672"/>
      <c r="PFL46" s="672"/>
      <c r="PFM46" s="672"/>
      <c r="PFN46" s="672"/>
      <c r="PFO46" s="672"/>
      <c r="PFP46" s="672"/>
      <c r="PFQ46" s="672"/>
      <c r="PFR46" s="672"/>
      <c r="PFS46" s="672"/>
      <c r="PFT46" s="672"/>
      <c r="PFU46" s="672"/>
      <c r="PFV46" s="672"/>
      <c r="PFW46" s="672"/>
      <c r="PFX46" s="672"/>
      <c r="PFY46" s="672"/>
      <c r="PFZ46" s="672"/>
      <c r="PGA46" s="672"/>
      <c r="PGB46" s="672"/>
      <c r="PGC46" s="672"/>
      <c r="PGD46" s="672"/>
      <c r="PGE46" s="672"/>
      <c r="PGF46" s="672"/>
      <c r="PGG46" s="672"/>
      <c r="PGH46" s="672"/>
      <c r="PGI46" s="672"/>
      <c r="PGJ46" s="672"/>
      <c r="PGK46" s="672"/>
      <c r="PGL46" s="672"/>
      <c r="PGM46" s="672"/>
      <c r="PGN46" s="672"/>
      <c r="PGO46" s="672"/>
      <c r="PGP46" s="672"/>
      <c r="PGQ46" s="672"/>
      <c r="PGR46" s="672"/>
      <c r="PGS46" s="672"/>
      <c r="PGT46" s="672"/>
      <c r="PGU46" s="672"/>
      <c r="PGV46" s="672"/>
      <c r="PGW46" s="672"/>
      <c r="PGX46" s="672"/>
      <c r="PGY46" s="672"/>
      <c r="PGZ46" s="672"/>
      <c r="PHA46" s="672"/>
      <c r="PHB46" s="672"/>
      <c r="PHC46" s="672"/>
      <c r="PHD46" s="672"/>
      <c r="PHE46" s="672"/>
      <c r="PHF46" s="672"/>
      <c r="PHG46" s="672"/>
      <c r="PHH46" s="672"/>
      <c r="PHI46" s="672"/>
      <c r="PHJ46" s="672"/>
      <c r="PHK46" s="672"/>
      <c r="PHL46" s="672"/>
      <c r="PHM46" s="672"/>
      <c r="PHN46" s="672"/>
      <c r="PHO46" s="672"/>
      <c r="PHP46" s="672"/>
      <c r="PHQ46" s="672"/>
      <c r="PHR46" s="672"/>
      <c r="PHS46" s="672"/>
      <c r="PHT46" s="672"/>
      <c r="PHU46" s="672"/>
      <c r="PHV46" s="672"/>
      <c r="PHW46" s="672"/>
      <c r="PHX46" s="672"/>
      <c r="PHY46" s="672"/>
      <c r="PHZ46" s="672"/>
      <c r="PIA46" s="672"/>
      <c r="PIB46" s="672"/>
      <c r="PIC46" s="672"/>
      <c r="PID46" s="672"/>
      <c r="PIE46" s="672"/>
      <c r="PIF46" s="672"/>
      <c r="PIG46" s="672"/>
      <c r="PIH46" s="672"/>
      <c r="PII46" s="672"/>
      <c r="PIJ46" s="672"/>
      <c r="PIK46" s="672"/>
      <c r="PIL46" s="672"/>
      <c r="PIM46" s="672"/>
      <c r="PIN46" s="672"/>
      <c r="PIO46" s="672"/>
      <c r="PIP46" s="672"/>
      <c r="PIQ46" s="672"/>
      <c r="PIR46" s="672"/>
      <c r="PIS46" s="672"/>
      <c r="PIT46" s="672"/>
      <c r="PIU46" s="672"/>
      <c r="PIV46" s="672"/>
      <c r="PIW46" s="672"/>
      <c r="PIX46" s="672"/>
      <c r="PIY46" s="672"/>
      <c r="PIZ46" s="672"/>
      <c r="PJA46" s="672"/>
      <c r="PJB46" s="672"/>
      <c r="PJC46" s="672"/>
      <c r="PJD46" s="672"/>
      <c r="PJE46" s="672"/>
      <c r="PJF46" s="672"/>
      <c r="PJG46" s="672"/>
      <c r="PJH46" s="672"/>
      <c r="PJI46" s="672"/>
      <c r="PJJ46" s="672"/>
      <c r="PJK46" s="672"/>
      <c r="PJL46" s="672"/>
      <c r="PJM46" s="672"/>
      <c r="PJN46" s="672"/>
      <c r="PJO46" s="672"/>
      <c r="PJP46" s="672"/>
      <c r="PJQ46" s="672"/>
      <c r="PJR46" s="672"/>
      <c r="PJS46" s="672"/>
      <c r="PJT46" s="672"/>
      <c r="PJU46" s="672"/>
      <c r="PJV46" s="672"/>
      <c r="PJW46" s="672"/>
      <c r="PJX46" s="672"/>
      <c r="PJY46" s="672"/>
      <c r="PJZ46" s="672"/>
      <c r="PKA46" s="672"/>
      <c r="PKB46" s="672"/>
      <c r="PKC46" s="672"/>
      <c r="PKD46" s="672"/>
      <c r="PKE46" s="672"/>
      <c r="PKF46" s="672"/>
      <c r="PKG46" s="672"/>
      <c r="PKH46" s="672"/>
      <c r="PKI46" s="672"/>
      <c r="PKJ46" s="672"/>
      <c r="PKK46" s="672"/>
      <c r="PKL46" s="672"/>
      <c r="PKM46" s="672"/>
      <c r="PKN46" s="672"/>
      <c r="PKO46" s="672"/>
      <c r="PKP46" s="672"/>
      <c r="PKQ46" s="672"/>
      <c r="PKR46" s="672"/>
      <c r="PKS46" s="672"/>
      <c r="PKT46" s="672"/>
      <c r="PKU46" s="672"/>
      <c r="PKV46" s="672"/>
      <c r="PKW46" s="672"/>
      <c r="PKX46" s="672"/>
      <c r="PKY46" s="672"/>
      <c r="PKZ46" s="672"/>
      <c r="PLA46" s="672"/>
      <c r="PLB46" s="672"/>
      <c r="PLC46" s="672"/>
      <c r="PLD46" s="672"/>
      <c r="PLE46" s="672"/>
      <c r="PLF46" s="672"/>
      <c r="PLG46" s="672"/>
      <c r="PLH46" s="672"/>
      <c r="PLI46" s="672"/>
      <c r="PLJ46" s="672"/>
      <c r="PLK46" s="672"/>
      <c r="PLL46" s="672"/>
      <c r="PLM46" s="672"/>
      <c r="PLN46" s="672"/>
      <c r="PLO46" s="672"/>
      <c r="PLP46" s="672"/>
      <c r="PLQ46" s="672"/>
      <c r="PLR46" s="672"/>
      <c r="PLS46" s="672"/>
      <c r="PLT46" s="672"/>
      <c r="PLU46" s="672"/>
      <c r="PLV46" s="672"/>
      <c r="PLW46" s="672"/>
      <c r="PLX46" s="672"/>
      <c r="PLY46" s="672"/>
      <c r="PLZ46" s="672"/>
      <c r="PMA46" s="672"/>
      <c r="PMB46" s="672"/>
      <c r="PMC46" s="672"/>
      <c r="PMD46" s="672"/>
      <c r="PME46" s="672"/>
      <c r="PMF46" s="672"/>
      <c r="PMG46" s="672"/>
      <c r="PMH46" s="672"/>
      <c r="PMI46" s="672"/>
      <c r="PMJ46" s="672"/>
      <c r="PMK46" s="672"/>
      <c r="PML46" s="672"/>
      <c r="PMM46" s="672"/>
      <c r="PMN46" s="672"/>
      <c r="PMO46" s="672"/>
      <c r="PMP46" s="672"/>
      <c r="PMQ46" s="672"/>
      <c r="PMR46" s="672"/>
      <c r="PMS46" s="672"/>
      <c r="PMT46" s="672"/>
      <c r="PMU46" s="672"/>
      <c r="PMV46" s="672"/>
      <c r="PMW46" s="672"/>
      <c r="PMX46" s="672"/>
      <c r="PMY46" s="672"/>
      <c r="PMZ46" s="672"/>
      <c r="PNA46" s="672"/>
      <c r="PNB46" s="672"/>
      <c r="PNC46" s="672"/>
      <c r="PND46" s="672"/>
      <c r="PNE46" s="672"/>
      <c r="PNF46" s="672"/>
      <c r="PNG46" s="672"/>
      <c r="PNH46" s="672"/>
      <c r="PNI46" s="672"/>
      <c r="PNJ46" s="672"/>
      <c r="PNK46" s="672"/>
      <c r="PNL46" s="672"/>
      <c r="PNM46" s="672"/>
      <c r="PNN46" s="672"/>
      <c r="PNO46" s="672"/>
      <c r="PNP46" s="672"/>
      <c r="PNQ46" s="672"/>
      <c r="PNR46" s="672"/>
      <c r="PNS46" s="672"/>
      <c r="PNT46" s="672"/>
      <c r="PNU46" s="672"/>
      <c r="PNV46" s="672"/>
      <c r="PNW46" s="672"/>
      <c r="PNX46" s="672"/>
      <c r="PNY46" s="672"/>
      <c r="PNZ46" s="672"/>
      <c r="POA46" s="672"/>
      <c r="POB46" s="672"/>
      <c r="POC46" s="672"/>
      <c r="POD46" s="672"/>
      <c r="POE46" s="672"/>
      <c r="POF46" s="672"/>
      <c r="POG46" s="672"/>
      <c r="POH46" s="672"/>
      <c r="POI46" s="672"/>
      <c r="POJ46" s="672"/>
      <c r="POK46" s="672"/>
      <c r="POL46" s="672"/>
      <c r="POM46" s="672"/>
      <c r="PON46" s="672"/>
      <c r="POO46" s="672"/>
      <c r="POP46" s="672"/>
      <c r="POQ46" s="672"/>
      <c r="POR46" s="672"/>
      <c r="POS46" s="672"/>
      <c r="POT46" s="672"/>
      <c r="POU46" s="672"/>
      <c r="POV46" s="672"/>
      <c r="POW46" s="672"/>
      <c r="POX46" s="672"/>
      <c r="POY46" s="672"/>
      <c r="POZ46" s="672"/>
      <c r="PPA46" s="672"/>
      <c r="PPB46" s="672"/>
      <c r="PPC46" s="672"/>
      <c r="PPD46" s="672"/>
      <c r="PPE46" s="672"/>
      <c r="PPF46" s="672"/>
      <c r="PPG46" s="672"/>
      <c r="PPH46" s="672"/>
      <c r="PPI46" s="672"/>
      <c r="PPJ46" s="672"/>
      <c r="PPK46" s="672"/>
      <c r="PPL46" s="672"/>
      <c r="PPM46" s="672"/>
      <c r="PPN46" s="672"/>
      <c r="PPO46" s="672"/>
      <c r="PPP46" s="672"/>
      <c r="PPQ46" s="672"/>
      <c r="PPR46" s="672"/>
      <c r="PPS46" s="672"/>
      <c r="PPT46" s="672"/>
      <c r="PPU46" s="672"/>
      <c r="PPV46" s="672"/>
      <c r="PPW46" s="672"/>
      <c r="PPX46" s="672"/>
      <c r="PPY46" s="672"/>
      <c r="PPZ46" s="672"/>
      <c r="PQA46" s="672"/>
      <c r="PQB46" s="672"/>
      <c r="PQC46" s="672"/>
      <c r="PQD46" s="672"/>
      <c r="PQE46" s="672"/>
      <c r="PQF46" s="672"/>
      <c r="PQG46" s="672"/>
      <c r="PQH46" s="672"/>
      <c r="PQI46" s="672"/>
      <c r="PQJ46" s="672"/>
      <c r="PQK46" s="672"/>
      <c r="PQL46" s="672"/>
      <c r="PQM46" s="672"/>
      <c r="PQN46" s="672"/>
      <c r="PQO46" s="672"/>
      <c r="PQP46" s="672"/>
      <c r="PQQ46" s="672"/>
      <c r="PQR46" s="672"/>
      <c r="PQS46" s="672"/>
      <c r="PQT46" s="672"/>
      <c r="PQU46" s="672"/>
      <c r="PQV46" s="672"/>
      <c r="PQW46" s="672"/>
      <c r="PQX46" s="672"/>
      <c r="PQY46" s="672"/>
      <c r="PQZ46" s="672"/>
      <c r="PRA46" s="672"/>
      <c r="PRB46" s="672"/>
      <c r="PRC46" s="672"/>
      <c r="PRD46" s="672"/>
      <c r="PRE46" s="672"/>
      <c r="PRF46" s="672"/>
      <c r="PRG46" s="672"/>
      <c r="PRH46" s="672"/>
      <c r="PRI46" s="672"/>
      <c r="PRJ46" s="672"/>
      <c r="PRK46" s="672"/>
      <c r="PRL46" s="672"/>
      <c r="PRM46" s="672"/>
      <c r="PRN46" s="672"/>
      <c r="PRO46" s="672"/>
      <c r="PRP46" s="672"/>
      <c r="PRQ46" s="672"/>
      <c r="PRR46" s="672"/>
      <c r="PRS46" s="672"/>
      <c r="PRT46" s="672"/>
      <c r="PRU46" s="672"/>
      <c r="PRV46" s="672"/>
      <c r="PRW46" s="672"/>
      <c r="PRX46" s="672"/>
      <c r="PRY46" s="672"/>
      <c r="PRZ46" s="672"/>
      <c r="PSA46" s="672"/>
      <c r="PSB46" s="672"/>
      <c r="PSC46" s="672"/>
      <c r="PSD46" s="672"/>
      <c r="PSE46" s="672"/>
      <c r="PSF46" s="672"/>
      <c r="PSG46" s="672"/>
      <c r="PSH46" s="672"/>
      <c r="PSI46" s="672"/>
      <c r="PSJ46" s="672"/>
      <c r="PSK46" s="672"/>
      <c r="PSL46" s="672"/>
      <c r="PSM46" s="672"/>
      <c r="PSN46" s="672"/>
      <c r="PSO46" s="672"/>
      <c r="PSP46" s="672"/>
      <c r="PSQ46" s="672"/>
      <c r="PSR46" s="672"/>
      <c r="PSS46" s="672"/>
      <c r="PST46" s="672"/>
      <c r="PSU46" s="672"/>
      <c r="PSV46" s="672"/>
      <c r="PSW46" s="672"/>
      <c r="PSX46" s="672"/>
      <c r="PSY46" s="672"/>
      <c r="PSZ46" s="672"/>
      <c r="PTA46" s="672"/>
      <c r="PTB46" s="672"/>
      <c r="PTC46" s="672"/>
      <c r="PTD46" s="672"/>
      <c r="PTE46" s="672"/>
      <c r="PTF46" s="672"/>
      <c r="PTG46" s="672"/>
      <c r="PTH46" s="672"/>
      <c r="PTI46" s="672"/>
      <c r="PTJ46" s="672"/>
      <c r="PTK46" s="672"/>
      <c r="PTL46" s="672"/>
      <c r="PTM46" s="672"/>
      <c r="PTN46" s="672"/>
      <c r="PTO46" s="672"/>
      <c r="PTP46" s="672"/>
      <c r="PTQ46" s="672"/>
      <c r="PTR46" s="672"/>
      <c r="PTS46" s="672"/>
      <c r="PTT46" s="672"/>
      <c r="PTU46" s="672"/>
      <c r="PTV46" s="672"/>
      <c r="PTW46" s="672"/>
      <c r="PTX46" s="672"/>
      <c r="PTY46" s="672"/>
      <c r="PTZ46" s="672"/>
      <c r="PUA46" s="672"/>
      <c r="PUB46" s="672"/>
      <c r="PUC46" s="672"/>
      <c r="PUD46" s="672"/>
      <c r="PUE46" s="672"/>
      <c r="PUF46" s="672"/>
      <c r="PUG46" s="672"/>
      <c r="PUH46" s="672"/>
      <c r="PUI46" s="672"/>
      <c r="PUJ46" s="672"/>
      <c r="PUK46" s="672"/>
      <c r="PUL46" s="672"/>
      <c r="PUM46" s="672"/>
      <c r="PUN46" s="672"/>
      <c r="PUO46" s="672"/>
      <c r="PUP46" s="672"/>
      <c r="PUQ46" s="672"/>
      <c r="PUR46" s="672"/>
      <c r="PUS46" s="672"/>
      <c r="PUT46" s="672"/>
      <c r="PUU46" s="672"/>
      <c r="PUV46" s="672"/>
      <c r="PUW46" s="672"/>
      <c r="PUX46" s="672"/>
      <c r="PUY46" s="672"/>
      <c r="PUZ46" s="672"/>
      <c r="PVA46" s="672"/>
      <c r="PVB46" s="672"/>
      <c r="PVC46" s="672"/>
      <c r="PVD46" s="672"/>
      <c r="PVE46" s="672"/>
      <c r="PVF46" s="672"/>
      <c r="PVG46" s="672"/>
      <c r="PVH46" s="672"/>
      <c r="PVI46" s="672"/>
      <c r="PVJ46" s="672"/>
      <c r="PVK46" s="672"/>
      <c r="PVL46" s="672"/>
      <c r="PVM46" s="672"/>
      <c r="PVN46" s="672"/>
      <c r="PVO46" s="672"/>
      <c r="PVP46" s="672"/>
      <c r="PVQ46" s="672"/>
      <c r="PVR46" s="672"/>
      <c r="PVS46" s="672"/>
      <c r="PVT46" s="672"/>
      <c r="PVU46" s="672"/>
      <c r="PVV46" s="672"/>
      <c r="PVW46" s="672"/>
      <c r="PVX46" s="672"/>
      <c r="PVY46" s="672"/>
      <c r="PVZ46" s="672"/>
      <c r="PWA46" s="672"/>
      <c r="PWB46" s="672"/>
      <c r="PWC46" s="672"/>
      <c r="PWD46" s="672"/>
      <c r="PWE46" s="672"/>
      <c r="PWF46" s="672"/>
      <c r="PWG46" s="672"/>
      <c r="PWH46" s="672"/>
      <c r="PWI46" s="672"/>
      <c r="PWJ46" s="672"/>
      <c r="PWK46" s="672"/>
      <c r="PWL46" s="672"/>
      <c r="PWM46" s="672"/>
      <c r="PWN46" s="672"/>
      <c r="PWO46" s="672"/>
      <c r="PWP46" s="672"/>
      <c r="PWQ46" s="672"/>
      <c r="PWR46" s="672"/>
      <c r="PWS46" s="672"/>
      <c r="PWT46" s="672"/>
      <c r="PWU46" s="672"/>
      <c r="PWV46" s="672"/>
      <c r="PWW46" s="672"/>
      <c r="PWX46" s="672"/>
      <c r="PWY46" s="672"/>
      <c r="PWZ46" s="672"/>
      <c r="PXA46" s="672"/>
      <c r="PXB46" s="672"/>
      <c r="PXC46" s="672"/>
      <c r="PXD46" s="672"/>
      <c r="PXE46" s="672"/>
      <c r="PXF46" s="672"/>
      <c r="PXG46" s="672"/>
      <c r="PXH46" s="672"/>
      <c r="PXI46" s="672"/>
      <c r="PXJ46" s="672"/>
      <c r="PXK46" s="672"/>
      <c r="PXL46" s="672"/>
      <c r="PXM46" s="672"/>
      <c r="PXN46" s="672"/>
      <c r="PXO46" s="672"/>
      <c r="PXP46" s="672"/>
      <c r="PXQ46" s="672"/>
      <c r="PXR46" s="672"/>
      <c r="PXS46" s="672"/>
      <c r="PXT46" s="672"/>
      <c r="PXU46" s="672"/>
      <c r="PXV46" s="672"/>
      <c r="PXW46" s="672"/>
      <c r="PXX46" s="672"/>
      <c r="PXY46" s="672"/>
      <c r="PXZ46" s="672"/>
      <c r="PYA46" s="672"/>
      <c r="PYB46" s="672"/>
      <c r="PYC46" s="672"/>
      <c r="PYD46" s="672"/>
      <c r="PYE46" s="672"/>
      <c r="PYF46" s="672"/>
      <c r="PYG46" s="672"/>
      <c r="PYH46" s="672"/>
      <c r="PYI46" s="672"/>
      <c r="PYJ46" s="672"/>
      <c r="PYK46" s="672"/>
      <c r="PYL46" s="672"/>
      <c r="PYM46" s="672"/>
      <c r="PYN46" s="672"/>
      <c r="PYO46" s="672"/>
      <c r="PYP46" s="672"/>
      <c r="PYQ46" s="672"/>
      <c r="PYR46" s="672"/>
      <c r="PYS46" s="672"/>
      <c r="PYT46" s="672"/>
      <c r="PYU46" s="672"/>
      <c r="PYV46" s="672"/>
      <c r="PYW46" s="672"/>
      <c r="PYX46" s="672"/>
      <c r="PYY46" s="672"/>
      <c r="PYZ46" s="672"/>
      <c r="PZA46" s="672"/>
      <c r="PZB46" s="672"/>
      <c r="PZC46" s="672"/>
      <c r="PZD46" s="672"/>
      <c r="PZE46" s="672"/>
      <c r="PZF46" s="672"/>
      <c r="PZG46" s="672"/>
      <c r="PZH46" s="672"/>
      <c r="PZI46" s="672"/>
      <c r="PZJ46" s="672"/>
      <c r="PZK46" s="672"/>
      <c r="PZL46" s="672"/>
      <c r="PZM46" s="672"/>
      <c r="PZN46" s="672"/>
      <c r="PZO46" s="672"/>
      <c r="PZP46" s="672"/>
      <c r="PZQ46" s="672"/>
      <c r="PZR46" s="672"/>
      <c r="PZS46" s="672"/>
      <c r="PZT46" s="672"/>
      <c r="PZU46" s="672"/>
      <c r="PZV46" s="672"/>
      <c r="PZW46" s="672"/>
      <c r="PZX46" s="672"/>
      <c r="PZY46" s="672"/>
      <c r="PZZ46" s="672"/>
      <c r="QAA46" s="672"/>
      <c r="QAB46" s="672"/>
      <c r="QAC46" s="672"/>
      <c r="QAD46" s="672"/>
      <c r="QAE46" s="672"/>
      <c r="QAF46" s="672"/>
      <c r="QAG46" s="672"/>
      <c r="QAH46" s="672"/>
      <c r="QAI46" s="672"/>
      <c r="QAJ46" s="672"/>
      <c r="QAK46" s="672"/>
      <c r="QAL46" s="672"/>
      <c r="QAM46" s="672"/>
      <c r="QAN46" s="672"/>
      <c r="QAO46" s="672"/>
      <c r="QAP46" s="672"/>
      <c r="QAQ46" s="672"/>
      <c r="QAR46" s="672"/>
      <c r="QAS46" s="672"/>
      <c r="QAT46" s="672"/>
      <c r="QAU46" s="672"/>
      <c r="QAV46" s="672"/>
      <c r="QAW46" s="672"/>
      <c r="QAX46" s="672"/>
      <c r="QAY46" s="672"/>
      <c r="QAZ46" s="672"/>
      <c r="QBA46" s="672"/>
      <c r="QBB46" s="672"/>
      <c r="QBC46" s="672"/>
      <c r="QBD46" s="672"/>
      <c r="QBE46" s="672"/>
      <c r="QBF46" s="672"/>
      <c r="QBG46" s="672"/>
      <c r="QBH46" s="672"/>
      <c r="QBI46" s="672"/>
      <c r="QBJ46" s="672"/>
      <c r="QBK46" s="672"/>
      <c r="QBL46" s="672"/>
      <c r="QBM46" s="672"/>
      <c r="QBN46" s="672"/>
      <c r="QBO46" s="672"/>
      <c r="QBP46" s="672"/>
      <c r="QBQ46" s="672"/>
      <c r="QBR46" s="672"/>
      <c r="QBS46" s="672"/>
      <c r="QBT46" s="672"/>
      <c r="QBU46" s="672"/>
      <c r="QBV46" s="672"/>
      <c r="QBW46" s="672"/>
      <c r="QBX46" s="672"/>
      <c r="QBY46" s="672"/>
      <c r="QBZ46" s="672"/>
      <c r="QCA46" s="672"/>
      <c r="QCB46" s="672"/>
      <c r="QCC46" s="672"/>
      <c r="QCD46" s="672"/>
      <c r="QCE46" s="672"/>
      <c r="QCF46" s="672"/>
      <c r="QCG46" s="672"/>
      <c r="QCH46" s="672"/>
      <c r="QCI46" s="672"/>
      <c r="QCJ46" s="672"/>
      <c r="QCK46" s="672"/>
      <c r="QCL46" s="672"/>
      <c r="QCM46" s="672"/>
      <c r="QCN46" s="672"/>
      <c r="QCO46" s="672"/>
      <c r="QCP46" s="672"/>
      <c r="QCQ46" s="672"/>
      <c r="QCR46" s="672"/>
      <c r="QCS46" s="672"/>
      <c r="QCT46" s="672"/>
      <c r="QCU46" s="672"/>
      <c r="QCV46" s="672"/>
      <c r="QCW46" s="672"/>
      <c r="QCX46" s="672"/>
      <c r="QCY46" s="672"/>
      <c r="QCZ46" s="672"/>
      <c r="QDA46" s="672"/>
      <c r="QDB46" s="672"/>
      <c r="QDC46" s="672"/>
      <c r="QDD46" s="672"/>
      <c r="QDE46" s="672"/>
      <c r="QDF46" s="672"/>
      <c r="QDG46" s="672"/>
      <c r="QDH46" s="672"/>
      <c r="QDI46" s="672"/>
      <c r="QDJ46" s="672"/>
      <c r="QDK46" s="672"/>
      <c r="QDL46" s="672"/>
      <c r="QDM46" s="672"/>
      <c r="QDN46" s="672"/>
      <c r="QDO46" s="672"/>
      <c r="QDP46" s="672"/>
      <c r="QDQ46" s="672"/>
      <c r="QDR46" s="672"/>
      <c r="QDS46" s="672"/>
      <c r="QDT46" s="672"/>
      <c r="QDU46" s="672"/>
      <c r="QDV46" s="672"/>
      <c r="QDW46" s="672"/>
      <c r="QDX46" s="672"/>
      <c r="QDY46" s="672"/>
      <c r="QDZ46" s="672"/>
      <c r="QEA46" s="672"/>
      <c r="QEB46" s="672"/>
      <c r="QEC46" s="672"/>
      <c r="QED46" s="672"/>
      <c r="QEE46" s="672"/>
      <c r="QEF46" s="672"/>
      <c r="QEG46" s="672"/>
      <c r="QEH46" s="672"/>
      <c r="QEI46" s="672"/>
      <c r="QEJ46" s="672"/>
      <c r="QEK46" s="672"/>
      <c r="QEL46" s="672"/>
      <c r="QEM46" s="672"/>
      <c r="QEN46" s="672"/>
      <c r="QEO46" s="672"/>
      <c r="QEP46" s="672"/>
      <c r="QEQ46" s="672"/>
      <c r="QER46" s="672"/>
      <c r="QES46" s="672"/>
      <c r="QET46" s="672"/>
      <c r="QEU46" s="672"/>
      <c r="QEV46" s="672"/>
      <c r="QEW46" s="672"/>
      <c r="QEX46" s="672"/>
      <c r="QEY46" s="672"/>
      <c r="QEZ46" s="672"/>
      <c r="QFA46" s="672"/>
      <c r="QFB46" s="672"/>
      <c r="QFC46" s="672"/>
      <c r="QFD46" s="672"/>
      <c r="QFE46" s="672"/>
      <c r="QFF46" s="672"/>
      <c r="QFG46" s="672"/>
      <c r="QFH46" s="672"/>
      <c r="QFI46" s="672"/>
      <c r="QFJ46" s="672"/>
      <c r="QFK46" s="672"/>
      <c r="QFL46" s="672"/>
      <c r="QFM46" s="672"/>
      <c r="QFN46" s="672"/>
      <c r="QFO46" s="672"/>
      <c r="QFP46" s="672"/>
      <c r="QFQ46" s="672"/>
      <c r="QFR46" s="672"/>
      <c r="QFS46" s="672"/>
      <c r="QFT46" s="672"/>
      <c r="QFU46" s="672"/>
      <c r="QFV46" s="672"/>
      <c r="QFW46" s="672"/>
      <c r="QFX46" s="672"/>
      <c r="QFY46" s="672"/>
      <c r="QFZ46" s="672"/>
      <c r="QGA46" s="672"/>
      <c r="QGB46" s="672"/>
      <c r="QGC46" s="672"/>
      <c r="QGD46" s="672"/>
      <c r="QGE46" s="672"/>
      <c r="QGF46" s="672"/>
      <c r="QGG46" s="672"/>
      <c r="QGH46" s="672"/>
      <c r="QGI46" s="672"/>
      <c r="QGJ46" s="672"/>
      <c r="QGK46" s="672"/>
      <c r="QGL46" s="672"/>
      <c r="QGM46" s="672"/>
      <c r="QGN46" s="672"/>
      <c r="QGO46" s="672"/>
      <c r="QGP46" s="672"/>
      <c r="QGQ46" s="672"/>
      <c r="QGR46" s="672"/>
      <c r="QGS46" s="672"/>
      <c r="QGT46" s="672"/>
      <c r="QGU46" s="672"/>
      <c r="QGV46" s="672"/>
      <c r="QGW46" s="672"/>
      <c r="QGX46" s="672"/>
      <c r="QGY46" s="672"/>
      <c r="QGZ46" s="672"/>
      <c r="QHA46" s="672"/>
      <c r="QHB46" s="672"/>
      <c r="QHC46" s="672"/>
      <c r="QHD46" s="672"/>
      <c r="QHE46" s="672"/>
      <c r="QHF46" s="672"/>
      <c r="QHG46" s="672"/>
      <c r="QHH46" s="672"/>
      <c r="QHI46" s="672"/>
      <c r="QHJ46" s="672"/>
      <c r="QHK46" s="672"/>
      <c r="QHL46" s="672"/>
      <c r="QHM46" s="672"/>
      <c r="QHN46" s="672"/>
      <c r="QHO46" s="672"/>
      <c r="QHP46" s="672"/>
      <c r="QHQ46" s="672"/>
      <c r="QHR46" s="672"/>
      <c r="QHS46" s="672"/>
      <c r="QHT46" s="672"/>
      <c r="QHU46" s="672"/>
      <c r="QHV46" s="672"/>
      <c r="QHW46" s="672"/>
      <c r="QHX46" s="672"/>
      <c r="QHY46" s="672"/>
      <c r="QHZ46" s="672"/>
      <c r="QIA46" s="672"/>
      <c r="QIB46" s="672"/>
      <c r="QIC46" s="672"/>
      <c r="QID46" s="672"/>
      <c r="QIE46" s="672"/>
      <c r="QIF46" s="672"/>
      <c r="QIG46" s="672"/>
      <c r="QIH46" s="672"/>
      <c r="QII46" s="672"/>
      <c r="QIJ46" s="672"/>
      <c r="QIK46" s="672"/>
      <c r="QIL46" s="672"/>
      <c r="QIM46" s="672"/>
      <c r="QIN46" s="672"/>
      <c r="QIO46" s="672"/>
      <c r="QIP46" s="672"/>
      <c r="QIQ46" s="672"/>
      <c r="QIR46" s="672"/>
      <c r="QIS46" s="672"/>
      <c r="QIT46" s="672"/>
      <c r="QIU46" s="672"/>
      <c r="QIV46" s="672"/>
      <c r="QIW46" s="672"/>
      <c r="QIX46" s="672"/>
      <c r="QIY46" s="672"/>
      <c r="QIZ46" s="672"/>
      <c r="QJA46" s="672"/>
      <c r="QJB46" s="672"/>
      <c r="QJC46" s="672"/>
      <c r="QJD46" s="672"/>
      <c r="QJE46" s="672"/>
      <c r="QJF46" s="672"/>
      <c r="QJG46" s="672"/>
      <c r="QJH46" s="672"/>
      <c r="QJI46" s="672"/>
      <c r="QJJ46" s="672"/>
      <c r="QJK46" s="672"/>
      <c r="QJL46" s="672"/>
      <c r="QJM46" s="672"/>
      <c r="QJN46" s="672"/>
      <c r="QJO46" s="672"/>
      <c r="QJP46" s="672"/>
      <c r="QJQ46" s="672"/>
      <c r="QJR46" s="672"/>
      <c r="QJS46" s="672"/>
      <c r="QJT46" s="672"/>
      <c r="QJU46" s="672"/>
      <c r="QJV46" s="672"/>
      <c r="QJW46" s="672"/>
      <c r="QJX46" s="672"/>
      <c r="QJY46" s="672"/>
      <c r="QJZ46" s="672"/>
      <c r="QKA46" s="672"/>
      <c r="QKB46" s="672"/>
      <c r="QKC46" s="672"/>
      <c r="QKD46" s="672"/>
      <c r="QKE46" s="672"/>
      <c r="QKF46" s="672"/>
      <c r="QKG46" s="672"/>
      <c r="QKH46" s="672"/>
      <c r="QKI46" s="672"/>
      <c r="QKJ46" s="672"/>
      <c r="QKK46" s="672"/>
      <c r="QKL46" s="672"/>
      <c r="QKM46" s="672"/>
      <c r="QKN46" s="672"/>
      <c r="QKO46" s="672"/>
      <c r="QKP46" s="672"/>
      <c r="QKQ46" s="672"/>
      <c r="QKR46" s="672"/>
      <c r="QKS46" s="672"/>
      <c r="QKT46" s="672"/>
      <c r="QKU46" s="672"/>
      <c r="QKV46" s="672"/>
      <c r="QKW46" s="672"/>
      <c r="QKX46" s="672"/>
      <c r="QKY46" s="672"/>
      <c r="QKZ46" s="672"/>
      <c r="QLA46" s="672"/>
      <c r="QLB46" s="672"/>
      <c r="QLC46" s="672"/>
      <c r="QLD46" s="672"/>
      <c r="QLE46" s="672"/>
      <c r="QLF46" s="672"/>
      <c r="QLG46" s="672"/>
      <c r="QLH46" s="672"/>
      <c r="QLI46" s="672"/>
      <c r="QLJ46" s="672"/>
      <c r="QLK46" s="672"/>
      <c r="QLL46" s="672"/>
      <c r="QLM46" s="672"/>
      <c r="QLN46" s="672"/>
      <c r="QLO46" s="672"/>
      <c r="QLP46" s="672"/>
      <c r="QLQ46" s="672"/>
      <c r="QLR46" s="672"/>
      <c r="QLS46" s="672"/>
      <c r="QLT46" s="672"/>
      <c r="QLU46" s="672"/>
      <c r="QLV46" s="672"/>
      <c r="QLW46" s="672"/>
      <c r="QLX46" s="672"/>
      <c r="QLY46" s="672"/>
      <c r="QLZ46" s="672"/>
      <c r="QMA46" s="672"/>
      <c r="QMB46" s="672"/>
      <c r="QMC46" s="672"/>
      <c r="QMD46" s="672"/>
      <c r="QME46" s="672"/>
      <c r="QMF46" s="672"/>
      <c r="QMG46" s="672"/>
      <c r="QMH46" s="672"/>
      <c r="QMI46" s="672"/>
      <c r="QMJ46" s="672"/>
      <c r="QMK46" s="672"/>
      <c r="QML46" s="672"/>
      <c r="QMM46" s="672"/>
      <c r="QMN46" s="672"/>
      <c r="QMO46" s="672"/>
      <c r="QMP46" s="672"/>
      <c r="QMQ46" s="672"/>
      <c r="QMR46" s="672"/>
      <c r="QMS46" s="672"/>
      <c r="QMT46" s="672"/>
      <c r="QMU46" s="672"/>
      <c r="QMV46" s="672"/>
      <c r="QMW46" s="672"/>
      <c r="QMX46" s="672"/>
      <c r="QMY46" s="672"/>
      <c r="QMZ46" s="672"/>
      <c r="QNA46" s="672"/>
      <c r="QNB46" s="672"/>
      <c r="QNC46" s="672"/>
      <c r="QND46" s="672"/>
      <c r="QNE46" s="672"/>
      <c r="QNF46" s="672"/>
      <c r="QNG46" s="672"/>
      <c r="QNH46" s="672"/>
      <c r="QNI46" s="672"/>
      <c r="QNJ46" s="672"/>
      <c r="QNK46" s="672"/>
      <c r="QNL46" s="672"/>
      <c r="QNM46" s="672"/>
      <c r="QNN46" s="672"/>
      <c r="QNO46" s="672"/>
      <c r="QNP46" s="672"/>
      <c r="QNQ46" s="672"/>
      <c r="QNR46" s="672"/>
      <c r="QNS46" s="672"/>
      <c r="QNT46" s="672"/>
      <c r="QNU46" s="672"/>
      <c r="QNV46" s="672"/>
      <c r="QNW46" s="672"/>
      <c r="QNX46" s="672"/>
      <c r="QNY46" s="672"/>
      <c r="QNZ46" s="672"/>
      <c r="QOA46" s="672"/>
      <c r="QOB46" s="672"/>
      <c r="QOC46" s="672"/>
      <c r="QOD46" s="672"/>
      <c r="QOE46" s="672"/>
      <c r="QOF46" s="672"/>
      <c r="QOG46" s="672"/>
      <c r="QOH46" s="672"/>
      <c r="QOI46" s="672"/>
      <c r="QOJ46" s="672"/>
      <c r="QOK46" s="672"/>
      <c r="QOL46" s="672"/>
      <c r="QOM46" s="672"/>
      <c r="QON46" s="672"/>
      <c r="QOO46" s="672"/>
      <c r="QOP46" s="672"/>
      <c r="QOQ46" s="672"/>
      <c r="QOR46" s="672"/>
      <c r="QOS46" s="672"/>
      <c r="QOT46" s="672"/>
      <c r="QOU46" s="672"/>
      <c r="QOV46" s="672"/>
      <c r="QOW46" s="672"/>
      <c r="QOX46" s="672"/>
      <c r="QOY46" s="672"/>
      <c r="QOZ46" s="672"/>
      <c r="QPA46" s="672"/>
      <c r="QPB46" s="672"/>
      <c r="QPC46" s="672"/>
      <c r="QPD46" s="672"/>
      <c r="QPE46" s="672"/>
      <c r="QPF46" s="672"/>
      <c r="QPG46" s="672"/>
      <c r="QPH46" s="672"/>
      <c r="QPI46" s="672"/>
      <c r="QPJ46" s="672"/>
      <c r="QPK46" s="672"/>
      <c r="QPL46" s="672"/>
      <c r="QPM46" s="672"/>
      <c r="QPN46" s="672"/>
      <c r="QPO46" s="672"/>
      <c r="QPP46" s="672"/>
      <c r="QPQ46" s="672"/>
      <c r="QPR46" s="672"/>
      <c r="QPS46" s="672"/>
      <c r="QPT46" s="672"/>
      <c r="QPU46" s="672"/>
      <c r="QPV46" s="672"/>
      <c r="QPW46" s="672"/>
      <c r="QPX46" s="672"/>
      <c r="QPY46" s="672"/>
      <c r="QPZ46" s="672"/>
      <c r="QQA46" s="672"/>
      <c r="QQB46" s="672"/>
      <c r="QQC46" s="672"/>
      <c r="QQD46" s="672"/>
      <c r="QQE46" s="672"/>
      <c r="QQF46" s="672"/>
      <c r="QQG46" s="672"/>
      <c r="QQH46" s="672"/>
      <c r="QQI46" s="672"/>
      <c r="QQJ46" s="672"/>
      <c r="QQK46" s="672"/>
      <c r="QQL46" s="672"/>
      <c r="QQM46" s="672"/>
      <c r="QQN46" s="672"/>
      <c r="QQO46" s="672"/>
      <c r="QQP46" s="672"/>
      <c r="QQQ46" s="672"/>
      <c r="QQR46" s="672"/>
      <c r="QQS46" s="672"/>
      <c r="QQT46" s="672"/>
      <c r="QQU46" s="672"/>
      <c r="QQV46" s="672"/>
      <c r="QQW46" s="672"/>
      <c r="QQX46" s="672"/>
      <c r="QQY46" s="672"/>
      <c r="QQZ46" s="672"/>
      <c r="QRA46" s="672"/>
      <c r="QRB46" s="672"/>
      <c r="QRC46" s="672"/>
      <c r="QRD46" s="672"/>
      <c r="QRE46" s="672"/>
      <c r="QRF46" s="672"/>
      <c r="QRG46" s="672"/>
      <c r="QRH46" s="672"/>
      <c r="QRI46" s="672"/>
      <c r="QRJ46" s="672"/>
      <c r="QRK46" s="672"/>
      <c r="QRL46" s="672"/>
      <c r="QRM46" s="672"/>
      <c r="QRN46" s="672"/>
      <c r="QRO46" s="672"/>
      <c r="QRP46" s="672"/>
      <c r="QRQ46" s="672"/>
      <c r="QRR46" s="672"/>
      <c r="QRS46" s="672"/>
      <c r="QRT46" s="672"/>
      <c r="QRU46" s="672"/>
      <c r="QRV46" s="672"/>
      <c r="QRW46" s="672"/>
      <c r="QRX46" s="672"/>
      <c r="QRY46" s="672"/>
      <c r="QRZ46" s="672"/>
      <c r="QSA46" s="672"/>
      <c r="QSB46" s="672"/>
      <c r="QSC46" s="672"/>
      <c r="QSD46" s="672"/>
      <c r="QSE46" s="672"/>
      <c r="QSF46" s="672"/>
      <c r="QSG46" s="672"/>
      <c r="QSH46" s="672"/>
      <c r="QSI46" s="672"/>
      <c r="QSJ46" s="672"/>
      <c r="QSK46" s="672"/>
      <c r="QSL46" s="672"/>
      <c r="QSM46" s="672"/>
      <c r="QSN46" s="672"/>
      <c r="QSO46" s="672"/>
      <c r="QSP46" s="672"/>
      <c r="QSQ46" s="672"/>
      <c r="QSR46" s="672"/>
      <c r="QSS46" s="672"/>
      <c r="QST46" s="672"/>
      <c r="QSU46" s="672"/>
      <c r="QSV46" s="672"/>
      <c r="QSW46" s="672"/>
      <c r="QSX46" s="672"/>
      <c r="QSY46" s="672"/>
      <c r="QSZ46" s="672"/>
      <c r="QTA46" s="672"/>
      <c r="QTB46" s="672"/>
      <c r="QTC46" s="672"/>
      <c r="QTD46" s="672"/>
      <c r="QTE46" s="672"/>
      <c r="QTF46" s="672"/>
      <c r="QTG46" s="672"/>
      <c r="QTH46" s="672"/>
      <c r="QTI46" s="672"/>
      <c r="QTJ46" s="672"/>
      <c r="QTK46" s="672"/>
      <c r="QTL46" s="672"/>
      <c r="QTM46" s="672"/>
      <c r="QTN46" s="672"/>
      <c r="QTO46" s="672"/>
      <c r="QTP46" s="672"/>
      <c r="QTQ46" s="672"/>
      <c r="QTR46" s="672"/>
      <c r="QTS46" s="672"/>
      <c r="QTT46" s="672"/>
      <c r="QTU46" s="672"/>
      <c r="QTV46" s="672"/>
      <c r="QTW46" s="672"/>
      <c r="QTX46" s="672"/>
      <c r="QTY46" s="672"/>
      <c r="QTZ46" s="672"/>
      <c r="QUA46" s="672"/>
      <c r="QUB46" s="672"/>
      <c r="QUC46" s="672"/>
      <c r="QUD46" s="672"/>
      <c r="QUE46" s="672"/>
      <c r="QUF46" s="672"/>
      <c r="QUG46" s="672"/>
      <c r="QUH46" s="672"/>
      <c r="QUI46" s="672"/>
      <c r="QUJ46" s="672"/>
      <c r="QUK46" s="672"/>
      <c r="QUL46" s="672"/>
      <c r="QUM46" s="672"/>
      <c r="QUN46" s="672"/>
      <c r="QUO46" s="672"/>
      <c r="QUP46" s="672"/>
      <c r="QUQ46" s="672"/>
      <c r="QUR46" s="672"/>
      <c r="QUS46" s="672"/>
      <c r="QUT46" s="672"/>
      <c r="QUU46" s="672"/>
      <c r="QUV46" s="672"/>
      <c r="QUW46" s="672"/>
      <c r="QUX46" s="672"/>
      <c r="QUY46" s="672"/>
      <c r="QUZ46" s="672"/>
      <c r="QVA46" s="672"/>
      <c r="QVB46" s="672"/>
      <c r="QVC46" s="672"/>
      <c r="QVD46" s="672"/>
      <c r="QVE46" s="672"/>
      <c r="QVF46" s="672"/>
      <c r="QVG46" s="672"/>
      <c r="QVH46" s="672"/>
      <c r="QVI46" s="672"/>
      <c r="QVJ46" s="672"/>
      <c r="QVK46" s="672"/>
      <c r="QVL46" s="672"/>
      <c r="QVM46" s="672"/>
      <c r="QVN46" s="672"/>
      <c r="QVO46" s="672"/>
      <c r="QVP46" s="672"/>
      <c r="QVQ46" s="672"/>
      <c r="QVR46" s="672"/>
      <c r="QVS46" s="672"/>
      <c r="QVT46" s="672"/>
      <c r="QVU46" s="672"/>
      <c r="QVV46" s="672"/>
      <c r="QVW46" s="672"/>
      <c r="QVX46" s="672"/>
      <c r="QVY46" s="672"/>
      <c r="QVZ46" s="672"/>
      <c r="QWA46" s="672"/>
      <c r="QWB46" s="672"/>
      <c r="QWC46" s="672"/>
      <c r="QWD46" s="672"/>
      <c r="QWE46" s="672"/>
      <c r="QWF46" s="672"/>
      <c r="QWG46" s="672"/>
      <c r="QWH46" s="672"/>
      <c r="QWI46" s="672"/>
      <c r="QWJ46" s="672"/>
      <c r="QWK46" s="672"/>
      <c r="QWL46" s="672"/>
      <c r="QWM46" s="672"/>
      <c r="QWN46" s="672"/>
      <c r="QWO46" s="672"/>
      <c r="QWP46" s="672"/>
      <c r="QWQ46" s="672"/>
      <c r="QWR46" s="672"/>
      <c r="QWS46" s="672"/>
      <c r="QWT46" s="672"/>
      <c r="QWU46" s="672"/>
      <c r="QWV46" s="672"/>
      <c r="QWW46" s="672"/>
      <c r="QWX46" s="672"/>
      <c r="QWY46" s="672"/>
      <c r="QWZ46" s="672"/>
      <c r="QXA46" s="672"/>
      <c r="QXB46" s="672"/>
      <c r="QXC46" s="672"/>
      <c r="QXD46" s="672"/>
      <c r="QXE46" s="672"/>
      <c r="QXF46" s="672"/>
      <c r="QXG46" s="672"/>
      <c r="QXH46" s="672"/>
      <c r="QXI46" s="672"/>
      <c r="QXJ46" s="672"/>
      <c r="QXK46" s="672"/>
      <c r="QXL46" s="672"/>
      <c r="QXM46" s="672"/>
      <c r="QXN46" s="672"/>
      <c r="QXO46" s="672"/>
      <c r="QXP46" s="672"/>
      <c r="QXQ46" s="672"/>
      <c r="QXR46" s="672"/>
      <c r="QXS46" s="672"/>
      <c r="QXT46" s="672"/>
      <c r="QXU46" s="672"/>
      <c r="QXV46" s="672"/>
      <c r="QXW46" s="672"/>
      <c r="QXX46" s="672"/>
      <c r="QXY46" s="672"/>
      <c r="QXZ46" s="672"/>
      <c r="QYA46" s="672"/>
      <c r="QYB46" s="672"/>
      <c r="QYC46" s="672"/>
      <c r="QYD46" s="672"/>
      <c r="QYE46" s="672"/>
      <c r="QYF46" s="672"/>
      <c r="QYG46" s="672"/>
      <c r="QYH46" s="672"/>
      <c r="QYI46" s="672"/>
      <c r="QYJ46" s="672"/>
      <c r="QYK46" s="672"/>
      <c r="QYL46" s="672"/>
      <c r="QYM46" s="672"/>
      <c r="QYN46" s="672"/>
      <c r="QYO46" s="672"/>
      <c r="QYP46" s="672"/>
      <c r="QYQ46" s="672"/>
      <c r="QYR46" s="672"/>
      <c r="QYS46" s="672"/>
      <c r="QYT46" s="672"/>
      <c r="QYU46" s="672"/>
      <c r="QYV46" s="672"/>
      <c r="QYW46" s="672"/>
      <c r="QYX46" s="672"/>
      <c r="QYY46" s="672"/>
      <c r="QYZ46" s="672"/>
      <c r="QZA46" s="672"/>
      <c r="QZB46" s="672"/>
      <c r="QZC46" s="672"/>
      <c r="QZD46" s="672"/>
      <c r="QZE46" s="672"/>
      <c r="QZF46" s="672"/>
      <c r="QZG46" s="672"/>
      <c r="QZH46" s="672"/>
      <c r="QZI46" s="672"/>
      <c r="QZJ46" s="672"/>
      <c r="QZK46" s="672"/>
      <c r="QZL46" s="672"/>
      <c r="QZM46" s="672"/>
      <c r="QZN46" s="672"/>
      <c r="QZO46" s="672"/>
      <c r="QZP46" s="672"/>
      <c r="QZQ46" s="672"/>
      <c r="QZR46" s="672"/>
      <c r="QZS46" s="672"/>
      <c r="QZT46" s="672"/>
      <c r="QZU46" s="672"/>
      <c r="QZV46" s="672"/>
      <c r="QZW46" s="672"/>
      <c r="QZX46" s="672"/>
      <c r="QZY46" s="672"/>
      <c r="QZZ46" s="672"/>
      <c r="RAA46" s="672"/>
      <c r="RAB46" s="672"/>
      <c r="RAC46" s="672"/>
      <c r="RAD46" s="672"/>
      <c r="RAE46" s="672"/>
      <c r="RAF46" s="672"/>
      <c r="RAG46" s="672"/>
      <c r="RAH46" s="672"/>
      <c r="RAI46" s="672"/>
      <c r="RAJ46" s="672"/>
      <c r="RAK46" s="672"/>
      <c r="RAL46" s="672"/>
      <c r="RAM46" s="672"/>
      <c r="RAN46" s="672"/>
      <c r="RAO46" s="672"/>
      <c r="RAP46" s="672"/>
      <c r="RAQ46" s="672"/>
      <c r="RAR46" s="672"/>
      <c r="RAS46" s="672"/>
      <c r="RAT46" s="672"/>
      <c r="RAU46" s="672"/>
      <c r="RAV46" s="672"/>
      <c r="RAW46" s="672"/>
      <c r="RAX46" s="672"/>
      <c r="RAY46" s="672"/>
      <c r="RAZ46" s="672"/>
      <c r="RBA46" s="672"/>
      <c r="RBB46" s="672"/>
      <c r="RBC46" s="672"/>
      <c r="RBD46" s="672"/>
      <c r="RBE46" s="672"/>
      <c r="RBF46" s="672"/>
      <c r="RBG46" s="672"/>
      <c r="RBH46" s="672"/>
      <c r="RBI46" s="672"/>
      <c r="RBJ46" s="672"/>
      <c r="RBK46" s="672"/>
      <c r="RBL46" s="672"/>
      <c r="RBM46" s="672"/>
      <c r="RBN46" s="672"/>
      <c r="RBO46" s="672"/>
      <c r="RBP46" s="672"/>
      <c r="RBQ46" s="672"/>
      <c r="RBR46" s="672"/>
      <c r="RBS46" s="672"/>
      <c r="RBT46" s="672"/>
      <c r="RBU46" s="672"/>
      <c r="RBV46" s="672"/>
      <c r="RBW46" s="672"/>
      <c r="RBX46" s="672"/>
      <c r="RBY46" s="672"/>
      <c r="RBZ46" s="672"/>
      <c r="RCA46" s="672"/>
      <c r="RCB46" s="672"/>
      <c r="RCC46" s="672"/>
      <c r="RCD46" s="672"/>
      <c r="RCE46" s="672"/>
      <c r="RCF46" s="672"/>
      <c r="RCG46" s="672"/>
      <c r="RCH46" s="672"/>
      <c r="RCI46" s="672"/>
      <c r="RCJ46" s="672"/>
      <c r="RCK46" s="672"/>
      <c r="RCL46" s="672"/>
      <c r="RCM46" s="672"/>
      <c r="RCN46" s="672"/>
      <c r="RCO46" s="672"/>
      <c r="RCP46" s="672"/>
      <c r="RCQ46" s="672"/>
      <c r="RCR46" s="672"/>
      <c r="RCS46" s="672"/>
      <c r="RCT46" s="672"/>
      <c r="RCU46" s="672"/>
      <c r="RCV46" s="672"/>
      <c r="RCW46" s="672"/>
      <c r="RCX46" s="672"/>
      <c r="RCY46" s="672"/>
      <c r="RCZ46" s="672"/>
      <c r="RDA46" s="672"/>
      <c r="RDB46" s="672"/>
      <c r="RDC46" s="672"/>
      <c r="RDD46" s="672"/>
      <c r="RDE46" s="672"/>
      <c r="RDF46" s="672"/>
      <c r="RDG46" s="672"/>
      <c r="RDH46" s="672"/>
      <c r="RDI46" s="672"/>
      <c r="RDJ46" s="672"/>
      <c r="RDK46" s="672"/>
      <c r="RDL46" s="672"/>
      <c r="RDM46" s="672"/>
      <c r="RDN46" s="672"/>
      <c r="RDO46" s="672"/>
      <c r="RDP46" s="672"/>
      <c r="RDQ46" s="672"/>
      <c r="RDR46" s="672"/>
      <c r="RDS46" s="672"/>
      <c r="RDT46" s="672"/>
      <c r="RDU46" s="672"/>
      <c r="RDV46" s="672"/>
      <c r="RDW46" s="672"/>
      <c r="RDX46" s="672"/>
      <c r="RDY46" s="672"/>
      <c r="RDZ46" s="672"/>
      <c r="REA46" s="672"/>
      <c r="REB46" s="672"/>
      <c r="REC46" s="672"/>
      <c r="RED46" s="672"/>
      <c r="REE46" s="672"/>
      <c r="REF46" s="672"/>
      <c r="REG46" s="672"/>
      <c r="REH46" s="672"/>
      <c r="REI46" s="672"/>
      <c r="REJ46" s="672"/>
      <c r="REK46" s="672"/>
      <c r="REL46" s="672"/>
      <c r="REM46" s="672"/>
      <c r="REN46" s="672"/>
      <c r="REO46" s="672"/>
      <c r="REP46" s="672"/>
      <c r="REQ46" s="672"/>
      <c r="RER46" s="672"/>
      <c r="RES46" s="672"/>
      <c r="RET46" s="672"/>
      <c r="REU46" s="672"/>
      <c r="REV46" s="672"/>
      <c r="REW46" s="672"/>
      <c r="REX46" s="672"/>
      <c r="REY46" s="672"/>
      <c r="REZ46" s="672"/>
      <c r="RFA46" s="672"/>
      <c r="RFB46" s="672"/>
      <c r="RFC46" s="672"/>
      <c r="RFD46" s="672"/>
      <c r="RFE46" s="672"/>
      <c r="RFF46" s="672"/>
      <c r="RFG46" s="672"/>
      <c r="RFH46" s="672"/>
      <c r="RFI46" s="672"/>
      <c r="RFJ46" s="672"/>
      <c r="RFK46" s="672"/>
      <c r="RFL46" s="672"/>
      <c r="RFM46" s="672"/>
      <c r="RFN46" s="672"/>
      <c r="RFO46" s="672"/>
      <c r="RFP46" s="672"/>
      <c r="RFQ46" s="672"/>
      <c r="RFR46" s="672"/>
      <c r="RFS46" s="672"/>
      <c r="RFT46" s="672"/>
      <c r="RFU46" s="672"/>
      <c r="RFV46" s="672"/>
      <c r="RFW46" s="672"/>
      <c r="RFX46" s="672"/>
      <c r="RFY46" s="672"/>
      <c r="RFZ46" s="672"/>
      <c r="RGA46" s="672"/>
      <c r="RGB46" s="672"/>
      <c r="RGC46" s="672"/>
      <c r="RGD46" s="672"/>
      <c r="RGE46" s="672"/>
      <c r="RGF46" s="672"/>
      <c r="RGG46" s="672"/>
      <c r="RGH46" s="672"/>
      <c r="RGI46" s="672"/>
      <c r="RGJ46" s="672"/>
      <c r="RGK46" s="672"/>
      <c r="RGL46" s="672"/>
      <c r="RGM46" s="672"/>
      <c r="RGN46" s="672"/>
      <c r="RGO46" s="672"/>
      <c r="RGP46" s="672"/>
      <c r="RGQ46" s="672"/>
      <c r="RGR46" s="672"/>
      <c r="RGS46" s="672"/>
      <c r="RGT46" s="672"/>
      <c r="RGU46" s="672"/>
      <c r="RGV46" s="672"/>
      <c r="RGW46" s="672"/>
      <c r="RGX46" s="672"/>
      <c r="RGY46" s="672"/>
      <c r="RGZ46" s="672"/>
      <c r="RHA46" s="672"/>
      <c r="RHB46" s="672"/>
      <c r="RHC46" s="672"/>
      <c r="RHD46" s="672"/>
      <c r="RHE46" s="672"/>
      <c r="RHF46" s="672"/>
      <c r="RHG46" s="672"/>
      <c r="RHH46" s="672"/>
      <c r="RHI46" s="672"/>
      <c r="RHJ46" s="672"/>
      <c r="RHK46" s="672"/>
      <c r="RHL46" s="672"/>
      <c r="RHM46" s="672"/>
      <c r="RHN46" s="672"/>
      <c r="RHO46" s="672"/>
      <c r="RHP46" s="672"/>
      <c r="RHQ46" s="672"/>
      <c r="RHR46" s="672"/>
      <c r="RHS46" s="672"/>
      <c r="RHT46" s="672"/>
      <c r="RHU46" s="672"/>
      <c r="RHV46" s="672"/>
      <c r="RHW46" s="672"/>
      <c r="RHX46" s="672"/>
      <c r="RHY46" s="672"/>
      <c r="RHZ46" s="672"/>
      <c r="RIA46" s="672"/>
      <c r="RIB46" s="672"/>
      <c r="RIC46" s="672"/>
      <c r="RID46" s="672"/>
      <c r="RIE46" s="672"/>
      <c r="RIF46" s="672"/>
      <c r="RIG46" s="672"/>
      <c r="RIH46" s="672"/>
      <c r="RII46" s="672"/>
      <c r="RIJ46" s="672"/>
      <c r="RIK46" s="672"/>
      <c r="RIL46" s="672"/>
      <c r="RIM46" s="672"/>
      <c r="RIN46" s="672"/>
      <c r="RIO46" s="672"/>
      <c r="RIP46" s="672"/>
      <c r="RIQ46" s="672"/>
      <c r="RIR46" s="672"/>
      <c r="RIS46" s="672"/>
      <c r="RIT46" s="672"/>
      <c r="RIU46" s="672"/>
      <c r="RIV46" s="672"/>
      <c r="RIW46" s="672"/>
      <c r="RIX46" s="672"/>
      <c r="RIY46" s="672"/>
      <c r="RIZ46" s="672"/>
      <c r="RJA46" s="672"/>
      <c r="RJB46" s="672"/>
      <c r="RJC46" s="672"/>
      <c r="RJD46" s="672"/>
      <c r="RJE46" s="672"/>
      <c r="RJF46" s="672"/>
      <c r="RJG46" s="672"/>
      <c r="RJH46" s="672"/>
      <c r="RJI46" s="672"/>
      <c r="RJJ46" s="672"/>
      <c r="RJK46" s="672"/>
      <c r="RJL46" s="672"/>
      <c r="RJM46" s="672"/>
      <c r="RJN46" s="672"/>
      <c r="RJO46" s="672"/>
      <c r="RJP46" s="672"/>
      <c r="RJQ46" s="672"/>
      <c r="RJR46" s="672"/>
      <c r="RJS46" s="672"/>
      <c r="RJT46" s="672"/>
      <c r="RJU46" s="672"/>
      <c r="RJV46" s="672"/>
      <c r="RJW46" s="672"/>
      <c r="RJX46" s="672"/>
      <c r="RJY46" s="672"/>
      <c r="RJZ46" s="672"/>
      <c r="RKA46" s="672"/>
      <c r="RKB46" s="672"/>
      <c r="RKC46" s="672"/>
      <c r="RKD46" s="672"/>
      <c r="RKE46" s="672"/>
      <c r="RKF46" s="672"/>
      <c r="RKG46" s="672"/>
      <c r="RKH46" s="672"/>
      <c r="RKI46" s="672"/>
      <c r="RKJ46" s="672"/>
      <c r="RKK46" s="672"/>
      <c r="RKL46" s="672"/>
      <c r="RKM46" s="672"/>
      <c r="RKN46" s="672"/>
      <c r="RKO46" s="672"/>
      <c r="RKP46" s="672"/>
      <c r="RKQ46" s="672"/>
      <c r="RKR46" s="672"/>
      <c r="RKS46" s="672"/>
      <c r="RKT46" s="672"/>
      <c r="RKU46" s="672"/>
      <c r="RKV46" s="672"/>
      <c r="RKW46" s="672"/>
      <c r="RKX46" s="672"/>
      <c r="RKY46" s="672"/>
      <c r="RKZ46" s="672"/>
      <c r="RLA46" s="672"/>
      <c r="RLB46" s="672"/>
      <c r="RLC46" s="672"/>
      <c r="RLD46" s="672"/>
      <c r="RLE46" s="672"/>
      <c r="RLF46" s="672"/>
      <c r="RLG46" s="672"/>
      <c r="RLH46" s="672"/>
      <c r="RLI46" s="672"/>
      <c r="RLJ46" s="672"/>
      <c r="RLK46" s="672"/>
      <c r="RLL46" s="672"/>
      <c r="RLM46" s="672"/>
      <c r="RLN46" s="672"/>
      <c r="RLO46" s="672"/>
      <c r="RLP46" s="672"/>
      <c r="RLQ46" s="672"/>
      <c r="RLR46" s="672"/>
      <c r="RLS46" s="672"/>
      <c r="RLT46" s="672"/>
      <c r="RLU46" s="672"/>
      <c r="RLV46" s="672"/>
      <c r="RLW46" s="672"/>
      <c r="RLX46" s="672"/>
      <c r="RLY46" s="672"/>
      <c r="RLZ46" s="672"/>
      <c r="RMA46" s="672"/>
      <c r="RMB46" s="672"/>
      <c r="RMC46" s="672"/>
      <c r="RMD46" s="672"/>
      <c r="RME46" s="672"/>
      <c r="RMF46" s="672"/>
      <c r="RMG46" s="672"/>
      <c r="RMH46" s="672"/>
      <c r="RMI46" s="672"/>
      <c r="RMJ46" s="672"/>
      <c r="RMK46" s="672"/>
      <c r="RML46" s="672"/>
      <c r="RMM46" s="672"/>
      <c r="RMN46" s="672"/>
      <c r="RMO46" s="672"/>
      <c r="RMP46" s="672"/>
      <c r="RMQ46" s="672"/>
      <c r="RMR46" s="672"/>
      <c r="RMS46" s="672"/>
      <c r="RMT46" s="672"/>
      <c r="RMU46" s="672"/>
      <c r="RMV46" s="672"/>
      <c r="RMW46" s="672"/>
      <c r="RMX46" s="672"/>
      <c r="RMY46" s="672"/>
      <c r="RMZ46" s="672"/>
      <c r="RNA46" s="672"/>
      <c r="RNB46" s="672"/>
      <c r="RNC46" s="672"/>
      <c r="RND46" s="672"/>
      <c r="RNE46" s="672"/>
      <c r="RNF46" s="672"/>
      <c r="RNG46" s="672"/>
      <c r="RNH46" s="672"/>
      <c r="RNI46" s="672"/>
      <c r="RNJ46" s="672"/>
      <c r="RNK46" s="672"/>
      <c r="RNL46" s="672"/>
      <c r="RNM46" s="672"/>
      <c r="RNN46" s="672"/>
      <c r="RNO46" s="672"/>
      <c r="RNP46" s="672"/>
      <c r="RNQ46" s="672"/>
      <c r="RNR46" s="672"/>
      <c r="RNS46" s="672"/>
      <c r="RNT46" s="672"/>
      <c r="RNU46" s="672"/>
      <c r="RNV46" s="672"/>
      <c r="RNW46" s="672"/>
      <c r="RNX46" s="672"/>
      <c r="RNY46" s="672"/>
      <c r="RNZ46" s="672"/>
      <c r="ROA46" s="672"/>
      <c r="ROB46" s="672"/>
      <c r="ROC46" s="672"/>
      <c r="ROD46" s="672"/>
      <c r="ROE46" s="672"/>
      <c r="ROF46" s="672"/>
      <c r="ROG46" s="672"/>
      <c r="ROH46" s="672"/>
      <c r="ROI46" s="672"/>
      <c r="ROJ46" s="672"/>
      <c r="ROK46" s="672"/>
      <c r="ROL46" s="672"/>
      <c r="ROM46" s="672"/>
      <c r="RON46" s="672"/>
      <c r="ROO46" s="672"/>
      <c r="ROP46" s="672"/>
      <c r="ROQ46" s="672"/>
      <c r="ROR46" s="672"/>
      <c r="ROS46" s="672"/>
      <c r="ROT46" s="672"/>
      <c r="ROU46" s="672"/>
      <c r="ROV46" s="672"/>
      <c r="ROW46" s="672"/>
      <c r="ROX46" s="672"/>
      <c r="ROY46" s="672"/>
      <c r="ROZ46" s="672"/>
      <c r="RPA46" s="672"/>
      <c r="RPB46" s="672"/>
      <c r="RPC46" s="672"/>
      <c r="RPD46" s="672"/>
      <c r="RPE46" s="672"/>
      <c r="RPF46" s="672"/>
      <c r="RPG46" s="672"/>
      <c r="RPH46" s="672"/>
      <c r="RPI46" s="672"/>
      <c r="RPJ46" s="672"/>
      <c r="RPK46" s="672"/>
      <c r="RPL46" s="672"/>
      <c r="RPM46" s="672"/>
      <c r="RPN46" s="672"/>
      <c r="RPO46" s="672"/>
      <c r="RPP46" s="672"/>
      <c r="RPQ46" s="672"/>
      <c r="RPR46" s="672"/>
      <c r="RPS46" s="672"/>
      <c r="RPT46" s="672"/>
      <c r="RPU46" s="672"/>
      <c r="RPV46" s="672"/>
      <c r="RPW46" s="672"/>
      <c r="RPX46" s="672"/>
      <c r="RPY46" s="672"/>
      <c r="RPZ46" s="672"/>
      <c r="RQA46" s="672"/>
      <c r="RQB46" s="672"/>
      <c r="RQC46" s="672"/>
      <c r="RQD46" s="672"/>
      <c r="RQE46" s="672"/>
      <c r="RQF46" s="672"/>
      <c r="RQG46" s="672"/>
      <c r="RQH46" s="672"/>
      <c r="RQI46" s="672"/>
      <c r="RQJ46" s="672"/>
      <c r="RQK46" s="672"/>
      <c r="RQL46" s="672"/>
      <c r="RQM46" s="672"/>
      <c r="RQN46" s="672"/>
      <c r="RQO46" s="672"/>
      <c r="RQP46" s="672"/>
      <c r="RQQ46" s="672"/>
      <c r="RQR46" s="672"/>
      <c r="RQS46" s="672"/>
      <c r="RQT46" s="672"/>
      <c r="RQU46" s="672"/>
      <c r="RQV46" s="672"/>
      <c r="RQW46" s="672"/>
      <c r="RQX46" s="672"/>
      <c r="RQY46" s="672"/>
      <c r="RQZ46" s="672"/>
      <c r="RRA46" s="672"/>
      <c r="RRB46" s="672"/>
      <c r="RRC46" s="672"/>
      <c r="RRD46" s="672"/>
      <c r="RRE46" s="672"/>
      <c r="RRF46" s="672"/>
      <c r="RRG46" s="672"/>
      <c r="RRH46" s="672"/>
      <c r="RRI46" s="672"/>
      <c r="RRJ46" s="672"/>
      <c r="RRK46" s="672"/>
      <c r="RRL46" s="672"/>
      <c r="RRM46" s="672"/>
      <c r="RRN46" s="672"/>
      <c r="RRO46" s="672"/>
      <c r="RRP46" s="672"/>
      <c r="RRQ46" s="672"/>
      <c r="RRR46" s="672"/>
      <c r="RRS46" s="672"/>
      <c r="RRT46" s="672"/>
      <c r="RRU46" s="672"/>
      <c r="RRV46" s="672"/>
      <c r="RRW46" s="672"/>
      <c r="RRX46" s="672"/>
      <c r="RRY46" s="672"/>
      <c r="RRZ46" s="672"/>
      <c r="RSA46" s="672"/>
      <c r="RSB46" s="672"/>
      <c r="RSC46" s="672"/>
      <c r="RSD46" s="672"/>
      <c r="RSE46" s="672"/>
      <c r="RSF46" s="672"/>
      <c r="RSG46" s="672"/>
      <c r="RSH46" s="672"/>
      <c r="RSI46" s="672"/>
      <c r="RSJ46" s="672"/>
      <c r="RSK46" s="672"/>
      <c r="RSL46" s="672"/>
      <c r="RSM46" s="672"/>
      <c r="RSN46" s="672"/>
      <c r="RSO46" s="672"/>
      <c r="RSP46" s="672"/>
      <c r="RSQ46" s="672"/>
      <c r="RSR46" s="672"/>
      <c r="RSS46" s="672"/>
      <c r="RST46" s="672"/>
      <c r="RSU46" s="672"/>
      <c r="RSV46" s="672"/>
      <c r="RSW46" s="672"/>
      <c r="RSX46" s="672"/>
      <c r="RSY46" s="672"/>
      <c r="RSZ46" s="672"/>
      <c r="RTA46" s="672"/>
      <c r="RTB46" s="672"/>
      <c r="RTC46" s="672"/>
      <c r="RTD46" s="672"/>
      <c r="RTE46" s="672"/>
      <c r="RTF46" s="672"/>
      <c r="RTG46" s="672"/>
      <c r="RTH46" s="672"/>
      <c r="RTI46" s="672"/>
      <c r="RTJ46" s="672"/>
      <c r="RTK46" s="672"/>
      <c r="RTL46" s="672"/>
      <c r="RTM46" s="672"/>
      <c r="RTN46" s="672"/>
      <c r="RTO46" s="672"/>
      <c r="RTP46" s="672"/>
      <c r="RTQ46" s="672"/>
      <c r="RTR46" s="672"/>
      <c r="RTS46" s="672"/>
      <c r="RTT46" s="672"/>
      <c r="RTU46" s="672"/>
      <c r="RTV46" s="672"/>
      <c r="RTW46" s="672"/>
      <c r="RTX46" s="672"/>
      <c r="RTY46" s="672"/>
      <c r="RTZ46" s="672"/>
      <c r="RUA46" s="672"/>
      <c r="RUB46" s="672"/>
      <c r="RUC46" s="672"/>
      <c r="RUD46" s="672"/>
      <c r="RUE46" s="672"/>
      <c r="RUF46" s="672"/>
      <c r="RUG46" s="672"/>
      <c r="RUH46" s="672"/>
      <c r="RUI46" s="672"/>
      <c r="RUJ46" s="672"/>
      <c r="RUK46" s="672"/>
      <c r="RUL46" s="672"/>
      <c r="RUM46" s="672"/>
      <c r="RUN46" s="672"/>
      <c r="RUO46" s="672"/>
      <c r="RUP46" s="672"/>
      <c r="RUQ46" s="672"/>
      <c r="RUR46" s="672"/>
      <c r="RUS46" s="672"/>
      <c r="RUT46" s="672"/>
      <c r="RUU46" s="672"/>
      <c r="RUV46" s="672"/>
      <c r="RUW46" s="672"/>
      <c r="RUX46" s="672"/>
      <c r="RUY46" s="672"/>
      <c r="RUZ46" s="672"/>
      <c r="RVA46" s="672"/>
      <c r="RVB46" s="672"/>
      <c r="RVC46" s="672"/>
      <c r="RVD46" s="672"/>
      <c r="RVE46" s="672"/>
      <c r="RVF46" s="672"/>
      <c r="RVG46" s="672"/>
      <c r="RVH46" s="672"/>
      <c r="RVI46" s="672"/>
      <c r="RVJ46" s="672"/>
      <c r="RVK46" s="672"/>
      <c r="RVL46" s="672"/>
      <c r="RVM46" s="672"/>
      <c r="RVN46" s="672"/>
      <c r="RVO46" s="672"/>
      <c r="RVP46" s="672"/>
      <c r="RVQ46" s="672"/>
      <c r="RVR46" s="672"/>
      <c r="RVS46" s="672"/>
      <c r="RVT46" s="672"/>
      <c r="RVU46" s="672"/>
      <c r="RVV46" s="672"/>
      <c r="RVW46" s="672"/>
      <c r="RVX46" s="672"/>
      <c r="RVY46" s="672"/>
      <c r="RVZ46" s="672"/>
      <c r="RWA46" s="672"/>
      <c r="RWB46" s="672"/>
      <c r="RWC46" s="672"/>
      <c r="RWD46" s="672"/>
      <c r="RWE46" s="672"/>
      <c r="RWF46" s="672"/>
      <c r="RWG46" s="672"/>
      <c r="RWH46" s="672"/>
      <c r="RWI46" s="672"/>
      <c r="RWJ46" s="672"/>
      <c r="RWK46" s="672"/>
      <c r="RWL46" s="672"/>
      <c r="RWM46" s="672"/>
      <c r="RWN46" s="672"/>
      <c r="RWO46" s="672"/>
      <c r="RWP46" s="672"/>
      <c r="RWQ46" s="672"/>
      <c r="RWR46" s="672"/>
      <c r="RWS46" s="672"/>
      <c r="RWT46" s="672"/>
      <c r="RWU46" s="672"/>
      <c r="RWV46" s="672"/>
      <c r="RWW46" s="672"/>
      <c r="RWX46" s="672"/>
      <c r="RWY46" s="672"/>
      <c r="RWZ46" s="672"/>
      <c r="RXA46" s="672"/>
      <c r="RXB46" s="672"/>
      <c r="RXC46" s="672"/>
      <c r="RXD46" s="672"/>
      <c r="RXE46" s="672"/>
      <c r="RXF46" s="672"/>
      <c r="RXG46" s="672"/>
      <c r="RXH46" s="672"/>
      <c r="RXI46" s="672"/>
      <c r="RXJ46" s="672"/>
      <c r="RXK46" s="672"/>
      <c r="RXL46" s="672"/>
      <c r="RXM46" s="672"/>
      <c r="RXN46" s="672"/>
      <c r="RXO46" s="672"/>
      <c r="RXP46" s="672"/>
      <c r="RXQ46" s="672"/>
      <c r="RXR46" s="672"/>
      <c r="RXS46" s="672"/>
      <c r="RXT46" s="672"/>
      <c r="RXU46" s="672"/>
      <c r="RXV46" s="672"/>
      <c r="RXW46" s="672"/>
      <c r="RXX46" s="672"/>
      <c r="RXY46" s="672"/>
      <c r="RXZ46" s="672"/>
      <c r="RYA46" s="672"/>
      <c r="RYB46" s="672"/>
      <c r="RYC46" s="672"/>
      <c r="RYD46" s="672"/>
      <c r="RYE46" s="672"/>
      <c r="RYF46" s="672"/>
      <c r="RYG46" s="672"/>
      <c r="RYH46" s="672"/>
      <c r="RYI46" s="672"/>
      <c r="RYJ46" s="672"/>
      <c r="RYK46" s="672"/>
      <c r="RYL46" s="672"/>
      <c r="RYM46" s="672"/>
      <c r="RYN46" s="672"/>
      <c r="RYO46" s="672"/>
      <c r="RYP46" s="672"/>
      <c r="RYQ46" s="672"/>
      <c r="RYR46" s="672"/>
      <c r="RYS46" s="672"/>
      <c r="RYT46" s="672"/>
      <c r="RYU46" s="672"/>
      <c r="RYV46" s="672"/>
      <c r="RYW46" s="672"/>
      <c r="RYX46" s="672"/>
      <c r="RYY46" s="672"/>
      <c r="RYZ46" s="672"/>
      <c r="RZA46" s="672"/>
      <c r="RZB46" s="672"/>
      <c r="RZC46" s="672"/>
      <c r="RZD46" s="672"/>
      <c r="RZE46" s="672"/>
      <c r="RZF46" s="672"/>
      <c r="RZG46" s="672"/>
      <c r="RZH46" s="672"/>
      <c r="RZI46" s="672"/>
      <c r="RZJ46" s="672"/>
      <c r="RZK46" s="672"/>
      <c r="RZL46" s="672"/>
      <c r="RZM46" s="672"/>
      <c r="RZN46" s="672"/>
      <c r="RZO46" s="672"/>
      <c r="RZP46" s="672"/>
      <c r="RZQ46" s="672"/>
      <c r="RZR46" s="672"/>
      <c r="RZS46" s="672"/>
      <c r="RZT46" s="672"/>
      <c r="RZU46" s="672"/>
      <c r="RZV46" s="672"/>
      <c r="RZW46" s="672"/>
      <c r="RZX46" s="672"/>
      <c r="RZY46" s="672"/>
      <c r="RZZ46" s="672"/>
      <c r="SAA46" s="672"/>
      <c r="SAB46" s="672"/>
      <c r="SAC46" s="672"/>
      <c r="SAD46" s="672"/>
      <c r="SAE46" s="672"/>
      <c r="SAF46" s="672"/>
      <c r="SAG46" s="672"/>
      <c r="SAH46" s="672"/>
      <c r="SAI46" s="672"/>
      <c r="SAJ46" s="672"/>
      <c r="SAK46" s="672"/>
      <c r="SAL46" s="672"/>
      <c r="SAM46" s="672"/>
      <c r="SAN46" s="672"/>
      <c r="SAO46" s="672"/>
      <c r="SAP46" s="672"/>
      <c r="SAQ46" s="672"/>
      <c r="SAR46" s="672"/>
      <c r="SAS46" s="672"/>
      <c r="SAT46" s="672"/>
      <c r="SAU46" s="672"/>
      <c r="SAV46" s="672"/>
      <c r="SAW46" s="672"/>
      <c r="SAX46" s="672"/>
      <c r="SAY46" s="672"/>
      <c r="SAZ46" s="672"/>
      <c r="SBA46" s="672"/>
      <c r="SBB46" s="672"/>
      <c r="SBC46" s="672"/>
      <c r="SBD46" s="672"/>
      <c r="SBE46" s="672"/>
      <c r="SBF46" s="672"/>
      <c r="SBG46" s="672"/>
      <c r="SBH46" s="672"/>
      <c r="SBI46" s="672"/>
      <c r="SBJ46" s="672"/>
      <c r="SBK46" s="672"/>
      <c r="SBL46" s="672"/>
      <c r="SBM46" s="672"/>
      <c r="SBN46" s="672"/>
      <c r="SBO46" s="672"/>
      <c r="SBP46" s="672"/>
      <c r="SBQ46" s="672"/>
      <c r="SBR46" s="672"/>
      <c r="SBS46" s="672"/>
      <c r="SBT46" s="672"/>
      <c r="SBU46" s="672"/>
      <c r="SBV46" s="672"/>
      <c r="SBW46" s="672"/>
      <c r="SBX46" s="672"/>
      <c r="SBY46" s="672"/>
      <c r="SBZ46" s="672"/>
      <c r="SCA46" s="672"/>
      <c r="SCB46" s="672"/>
      <c r="SCC46" s="672"/>
      <c r="SCD46" s="672"/>
      <c r="SCE46" s="672"/>
      <c r="SCF46" s="672"/>
      <c r="SCG46" s="672"/>
      <c r="SCH46" s="672"/>
      <c r="SCI46" s="672"/>
      <c r="SCJ46" s="672"/>
      <c r="SCK46" s="672"/>
      <c r="SCL46" s="672"/>
      <c r="SCM46" s="672"/>
      <c r="SCN46" s="672"/>
      <c r="SCO46" s="672"/>
      <c r="SCP46" s="672"/>
      <c r="SCQ46" s="672"/>
      <c r="SCR46" s="672"/>
      <c r="SCS46" s="672"/>
      <c r="SCT46" s="672"/>
      <c r="SCU46" s="672"/>
      <c r="SCV46" s="672"/>
      <c r="SCW46" s="672"/>
      <c r="SCX46" s="672"/>
      <c r="SCY46" s="672"/>
      <c r="SCZ46" s="672"/>
      <c r="SDA46" s="672"/>
      <c r="SDB46" s="672"/>
      <c r="SDC46" s="672"/>
      <c r="SDD46" s="672"/>
      <c r="SDE46" s="672"/>
      <c r="SDF46" s="672"/>
      <c r="SDG46" s="672"/>
      <c r="SDH46" s="672"/>
      <c r="SDI46" s="672"/>
      <c r="SDJ46" s="672"/>
      <c r="SDK46" s="672"/>
      <c r="SDL46" s="672"/>
      <c r="SDM46" s="672"/>
      <c r="SDN46" s="672"/>
      <c r="SDO46" s="672"/>
      <c r="SDP46" s="672"/>
      <c r="SDQ46" s="672"/>
      <c r="SDR46" s="672"/>
      <c r="SDS46" s="672"/>
      <c r="SDT46" s="672"/>
      <c r="SDU46" s="672"/>
      <c r="SDV46" s="672"/>
      <c r="SDW46" s="672"/>
      <c r="SDX46" s="672"/>
      <c r="SDY46" s="672"/>
      <c r="SDZ46" s="672"/>
      <c r="SEA46" s="672"/>
      <c r="SEB46" s="672"/>
      <c r="SEC46" s="672"/>
      <c r="SED46" s="672"/>
      <c r="SEE46" s="672"/>
      <c r="SEF46" s="672"/>
      <c r="SEG46" s="672"/>
      <c r="SEH46" s="672"/>
      <c r="SEI46" s="672"/>
      <c r="SEJ46" s="672"/>
      <c r="SEK46" s="672"/>
      <c r="SEL46" s="672"/>
      <c r="SEM46" s="672"/>
      <c r="SEN46" s="672"/>
      <c r="SEO46" s="672"/>
      <c r="SEP46" s="672"/>
      <c r="SEQ46" s="672"/>
      <c r="SER46" s="672"/>
      <c r="SES46" s="672"/>
      <c r="SET46" s="672"/>
      <c r="SEU46" s="672"/>
      <c r="SEV46" s="672"/>
      <c r="SEW46" s="672"/>
      <c r="SEX46" s="672"/>
      <c r="SEY46" s="672"/>
      <c r="SEZ46" s="672"/>
      <c r="SFA46" s="672"/>
      <c r="SFB46" s="672"/>
      <c r="SFC46" s="672"/>
      <c r="SFD46" s="672"/>
      <c r="SFE46" s="672"/>
      <c r="SFF46" s="672"/>
      <c r="SFG46" s="672"/>
      <c r="SFH46" s="672"/>
      <c r="SFI46" s="672"/>
      <c r="SFJ46" s="672"/>
      <c r="SFK46" s="672"/>
      <c r="SFL46" s="672"/>
      <c r="SFM46" s="672"/>
      <c r="SFN46" s="672"/>
      <c r="SFO46" s="672"/>
      <c r="SFP46" s="672"/>
      <c r="SFQ46" s="672"/>
      <c r="SFR46" s="672"/>
      <c r="SFS46" s="672"/>
      <c r="SFT46" s="672"/>
      <c r="SFU46" s="672"/>
      <c r="SFV46" s="672"/>
      <c r="SFW46" s="672"/>
      <c r="SFX46" s="672"/>
      <c r="SFY46" s="672"/>
      <c r="SFZ46" s="672"/>
      <c r="SGA46" s="672"/>
      <c r="SGB46" s="672"/>
      <c r="SGC46" s="672"/>
      <c r="SGD46" s="672"/>
      <c r="SGE46" s="672"/>
      <c r="SGF46" s="672"/>
      <c r="SGG46" s="672"/>
      <c r="SGH46" s="672"/>
      <c r="SGI46" s="672"/>
      <c r="SGJ46" s="672"/>
      <c r="SGK46" s="672"/>
      <c r="SGL46" s="672"/>
      <c r="SGM46" s="672"/>
      <c r="SGN46" s="672"/>
      <c r="SGO46" s="672"/>
      <c r="SGP46" s="672"/>
      <c r="SGQ46" s="672"/>
      <c r="SGR46" s="672"/>
      <c r="SGS46" s="672"/>
      <c r="SGT46" s="672"/>
      <c r="SGU46" s="672"/>
      <c r="SGV46" s="672"/>
      <c r="SGW46" s="672"/>
      <c r="SGX46" s="672"/>
      <c r="SGY46" s="672"/>
      <c r="SGZ46" s="672"/>
      <c r="SHA46" s="672"/>
      <c r="SHB46" s="672"/>
      <c r="SHC46" s="672"/>
      <c r="SHD46" s="672"/>
      <c r="SHE46" s="672"/>
      <c r="SHF46" s="672"/>
      <c r="SHG46" s="672"/>
      <c r="SHH46" s="672"/>
      <c r="SHI46" s="672"/>
      <c r="SHJ46" s="672"/>
      <c r="SHK46" s="672"/>
      <c r="SHL46" s="672"/>
      <c r="SHM46" s="672"/>
      <c r="SHN46" s="672"/>
      <c r="SHO46" s="672"/>
      <c r="SHP46" s="672"/>
      <c r="SHQ46" s="672"/>
      <c r="SHR46" s="672"/>
      <c r="SHS46" s="672"/>
      <c r="SHT46" s="672"/>
      <c r="SHU46" s="672"/>
      <c r="SHV46" s="672"/>
      <c r="SHW46" s="672"/>
      <c r="SHX46" s="672"/>
      <c r="SHY46" s="672"/>
      <c r="SHZ46" s="672"/>
      <c r="SIA46" s="672"/>
      <c r="SIB46" s="672"/>
      <c r="SIC46" s="672"/>
      <c r="SID46" s="672"/>
      <c r="SIE46" s="672"/>
      <c r="SIF46" s="672"/>
      <c r="SIG46" s="672"/>
      <c r="SIH46" s="672"/>
      <c r="SII46" s="672"/>
      <c r="SIJ46" s="672"/>
      <c r="SIK46" s="672"/>
      <c r="SIL46" s="672"/>
      <c r="SIM46" s="672"/>
      <c r="SIN46" s="672"/>
      <c r="SIO46" s="672"/>
      <c r="SIP46" s="672"/>
      <c r="SIQ46" s="672"/>
      <c r="SIR46" s="672"/>
      <c r="SIS46" s="672"/>
      <c r="SIT46" s="672"/>
      <c r="SIU46" s="672"/>
      <c r="SIV46" s="672"/>
      <c r="SIW46" s="672"/>
      <c r="SIX46" s="672"/>
      <c r="SIY46" s="672"/>
      <c r="SIZ46" s="672"/>
      <c r="SJA46" s="672"/>
      <c r="SJB46" s="672"/>
      <c r="SJC46" s="672"/>
      <c r="SJD46" s="672"/>
      <c r="SJE46" s="672"/>
      <c r="SJF46" s="672"/>
      <c r="SJG46" s="672"/>
      <c r="SJH46" s="672"/>
      <c r="SJI46" s="672"/>
      <c r="SJJ46" s="672"/>
      <c r="SJK46" s="672"/>
      <c r="SJL46" s="672"/>
      <c r="SJM46" s="672"/>
      <c r="SJN46" s="672"/>
      <c r="SJO46" s="672"/>
      <c r="SJP46" s="672"/>
      <c r="SJQ46" s="672"/>
      <c r="SJR46" s="672"/>
      <c r="SJS46" s="672"/>
      <c r="SJT46" s="672"/>
      <c r="SJU46" s="672"/>
      <c r="SJV46" s="672"/>
      <c r="SJW46" s="672"/>
      <c r="SJX46" s="672"/>
      <c r="SJY46" s="672"/>
      <c r="SJZ46" s="672"/>
      <c r="SKA46" s="672"/>
      <c r="SKB46" s="672"/>
      <c r="SKC46" s="672"/>
      <c r="SKD46" s="672"/>
      <c r="SKE46" s="672"/>
      <c r="SKF46" s="672"/>
      <c r="SKG46" s="672"/>
      <c r="SKH46" s="672"/>
      <c r="SKI46" s="672"/>
      <c r="SKJ46" s="672"/>
      <c r="SKK46" s="672"/>
      <c r="SKL46" s="672"/>
      <c r="SKM46" s="672"/>
      <c r="SKN46" s="672"/>
      <c r="SKO46" s="672"/>
      <c r="SKP46" s="672"/>
      <c r="SKQ46" s="672"/>
      <c r="SKR46" s="672"/>
      <c r="SKS46" s="672"/>
      <c r="SKT46" s="672"/>
      <c r="SKU46" s="672"/>
      <c r="SKV46" s="672"/>
      <c r="SKW46" s="672"/>
      <c r="SKX46" s="672"/>
      <c r="SKY46" s="672"/>
      <c r="SKZ46" s="672"/>
      <c r="SLA46" s="672"/>
      <c r="SLB46" s="672"/>
      <c r="SLC46" s="672"/>
      <c r="SLD46" s="672"/>
      <c r="SLE46" s="672"/>
      <c r="SLF46" s="672"/>
      <c r="SLG46" s="672"/>
      <c r="SLH46" s="672"/>
      <c r="SLI46" s="672"/>
      <c r="SLJ46" s="672"/>
      <c r="SLK46" s="672"/>
      <c r="SLL46" s="672"/>
      <c r="SLM46" s="672"/>
      <c r="SLN46" s="672"/>
      <c r="SLO46" s="672"/>
      <c r="SLP46" s="672"/>
      <c r="SLQ46" s="672"/>
      <c r="SLR46" s="672"/>
      <c r="SLS46" s="672"/>
      <c r="SLT46" s="672"/>
      <c r="SLU46" s="672"/>
      <c r="SLV46" s="672"/>
      <c r="SLW46" s="672"/>
      <c r="SLX46" s="672"/>
      <c r="SLY46" s="672"/>
      <c r="SLZ46" s="672"/>
      <c r="SMA46" s="672"/>
      <c r="SMB46" s="672"/>
      <c r="SMC46" s="672"/>
      <c r="SMD46" s="672"/>
      <c r="SME46" s="672"/>
      <c r="SMF46" s="672"/>
      <c r="SMG46" s="672"/>
      <c r="SMH46" s="672"/>
      <c r="SMI46" s="672"/>
      <c r="SMJ46" s="672"/>
      <c r="SMK46" s="672"/>
      <c r="SML46" s="672"/>
      <c r="SMM46" s="672"/>
      <c r="SMN46" s="672"/>
      <c r="SMO46" s="672"/>
      <c r="SMP46" s="672"/>
      <c r="SMQ46" s="672"/>
      <c r="SMR46" s="672"/>
      <c r="SMS46" s="672"/>
      <c r="SMT46" s="672"/>
      <c r="SMU46" s="672"/>
      <c r="SMV46" s="672"/>
      <c r="SMW46" s="672"/>
      <c r="SMX46" s="672"/>
      <c r="SMY46" s="672"/>
      <c r="SMZ46" s="672"/>
      <c r="SNA46" s="672"/>
      <c r="SNB46" s="672"/>
      <c r="SNC46" s="672"/>
      <c r="SND46" s="672"/>
      <c r="SNE46" s="672"/>
      <c r="SNF46" s="672"/>
      <c r="SNG46" s="672"/>
      <c r="SNH46" s="672"/>
      <c r="SNI46" s="672"/>
      <c r="SNJ46" s="672"/>
      <c r="SNK46" s="672"/>
      <c r="SNL46" s="672"/>
      <c r="SNM46" s="672"/>
      <c r="SNN46" s="672"/>
      <c r="SNO46" s="672"/>
      <c r="SNP46" s="672"/>
      <c r="SNQ46" s="672"/>
      <c r="SNR46" s="672"/>
      <c r="SNS46" s="672"/>
      <c r="SNT46" s="672"/>
      <c r="SNU46" s="672"/>
      <c r="SNV46" s="672"/>
      <c r="SNW46" s="672"/>
      <c r="SNX46" s="672"/>
      <c r="SNY46" s="672"/>
      <c r="SNZ46" s="672"/>
      <c r="SOA46" s="672"/>
      <c r="SOB46" s="672"/>
      <c r="SOC46" s="672"/>
      <c r="SOD46" s="672"/>
      <c r="SOE46" s="672"/>
      <c r="SOF46" s="672"/>
      <c r="SOG46" s="672"/>
      <c r="SOH46" s="672"/>
      <c r="SOI46" s="672"/>
      <c r="SOJ46" s="672"/>
      <c r="SOK46" s="672"/>
      <c r="SOL46" s="672"/>
      <c r="SOM46" s="672"/>
      <c r="SON46" s="672"/>
      <c r="SOO46" s="672"/>
      <c r="SOP46" s="672"/>
      <c r="SOQ46" s="672"/>
      <c r="SOR46" s="672"/>
      <c r="SOS46" s="672"/>
      <c r="SOT46" s="672"/>
      <c r="SOU46" s="672"/>
      <c r="SOV46" s="672"/>
      <c r="SOW46" s="672"/>
      <c r="SOX46" s="672"/>
      <c r="SOY46" s="672"/>
      <c r="SOZ46" s="672"/>
      <c r="SPA46" s="672"/>
      <c r="SPB46" s="672"/>
      <c r="SPC46" s="672"/>
      <c r="SPD46" s="672"/>
      <c r="SPE46" s="672"/>
      <c r="SPF46" s="672"/>
      <c r="SPG46" s="672"/>
      <c r="SPH46" s="672"/>
      <c r="SPI46" s="672"/>
      <c r="SPJ46" s="672"/>
      <c r="SPK46" s="672"/>
      <c r="SPL46" s="672"/>
      <c r="SPM46" s="672"/>
      <c r="SPN46" s="672"/>
      <c r="SPO46" s="672"/>
      <c r="SPP46" s="672"/>
      <c r="SPQ46" s="672"/>
      <c r="SPR46" s="672"/>
      <c r="SPS46" s="672"/>
      <c r="SPT46" s="672"/>
      <c r="SPU46" s="672"/>
      <c r="SPV46" s="672"/>
      <c r="SPW46" s="672"/>
      <c r="SPX46" s="672"/>
      <c r="SPY46" s="672"/>
      <c r="SPZ46" s="672"/>
      <c r="SQA46" s="672"/>
      <c r="SQB46" s="672"/>
      <c r="SQC46" s="672"/>
      <c r="SQD46" s="672"/>
      <c r="SQE46" s="672"/>
      <c r="SQF46" s="672"/>
      <c r="SQG46" s="672"/>
      <c r="SQH46" s="672"/>
      <c r="SQI46" s="672"/>
      <c r="SQJ46" s="672"/>
      <c r="SQK46" s="672"/>
      <c r="SQL46" s="672"/>
      <c r="SQM46" s="672"/>
      <c r="SQN46" s="672"/>
      <c r="SQO46" s="672"/>
      <c r="SQP46" s="672"/>
      <c r="SQQ46" s="672"/>
      <c r="SQR46" s="672"/>
      <c r="SQS46" s="672"/>
      <c r="SQT46" s="672"/>
      <c r="SQU46" s="672"/>
      <c r="SQV46" s="672"/>
      <c r="SQW46" s="672"/>
      <c r="SQX46" s="672"/>
      <c r="SQY46" s="672"/>
      <c r="SQZ46" s="672"/>
      <c r="SRA46" s="672"/>
      <c r="SRB46" s="672"/>
      <c r="SRC46" s="672"/>
      <c r="SRD46" s="672"/>
      <c r="SRE46" s="672"/>
      <c r="SRF46" s="672"/>
      <c r="SRG46" s="672"/>
      <c r="SRH46" s="672"/>
      <c r="SRI46" s="672"/>
      <c r="SRJ46" s="672"/>
      <c r="SRK46" s="672"/>
      <c r="SRL46" s="672"/>
      <c r="SRM46" s="672"/>
      <c r="SRN46" s="672"/>
      <c r="SRO46" s="672"/>
      <c r="SRP46" s="672"/>
      <c r="SRQ46" s="672"/>
      <c r="SRR46" s="672"/>
      <c r="SRS46" s="672"/>
      <c r="SRT46" s="672"/>
      <c r="SRU46" s="672"/>
      <c r="SRV46" s="672"/>
      <c r="SRW46" s="672"/>
      <c r="SRX46" s="672"/>
      <c r="SRY46" s="672"/>
      <c r="SRZ46" s="672"/>
      <c r="SSA46" s="672"/>
      <c r="SSB46" s="672"/>
      <c r="SSC46" s="672"/>
      <c r="SSD46" s="672"/>
      <c r="SSE46" s="672"/>
      <c r="SSF46" s="672"/>
      <c r="SSG46" s="672"/>
      <c r="SSH46" s="672"/>
      <c r="SSI46" s="672"/>
      <c r="SSJ46" s="672"/>
      <c r="SSK46" s="672"/>
      <c r="SSL46" s="672"/>
      <c r="SSM46" s="672"/>
      <c r="SSN46" s="672"/>
      <c r="SSO46" s="672"/>
      <c r="SSP46" s="672"/>
      <c r="SSQ46" s="672"/>
      <c r="SSR46" s="672"/>
      <c r="SSS46" s="672"/>
      <c r="SST46" s="672"/>
      <c r="SSU46" s="672"/>
      <c r="SSV46" s="672"/>
      <c r="SSW46" s="672"/>
      <c r="SSX46" s="672"/>
      <c r="SSY46" s="672"/>
      <c r="SSZ46" s="672"/>
      <c r="STA46" s="672"/>
      <c r="STB46" s="672"/>
      <c r="STC46" s="672"/>
      <c r="STD46" s="672"/>
      <c r="STE46" s="672"/>
      <c r="STF46" s="672"/>
      <c r="STG46" s="672"/>
      <c r="STH46" s="672"/>
      <c r="STI46" s="672"/>
      <c r="STJ46" s="672"/>
      <c r="STK46" s="672"/>
      <c r="STL46" s="672"/>
      <c r="STM46" s="672"/>
      <c r="STN46" s="672"/>
      <c r="STO46" s="672"/>
      <c r="STP46" s="672"/>
      <c r="STQ46" s="672"/>
      <c r="STR46" s="672"/>
      <c r="STS46" s="672"/>
      <c r="STT46" s="672"/>
      <c r="STU46" s="672"/>
      <c r="STV46" s="672"/>
      <c r="STW46" s="672"/>
      <c r="STX46" s="672"/>
      <c r="STY46" s="672"/>
      <c r="STZ46" s="672"/>
      <c r="SUA46" s="672"/>
      <c r="SUB46" s="672"/>
      <c r="SUC46" s="672"/>
      <c r="SUD46" s="672"/>
      <c r="SUE46" s="672"/>
      <c r="SUF46" s="672"/>
      <c r="SUG46" s="672"/>
      <c r="SUH46" s="672"/>
      <c r="SUI46" s="672"/>
      <c r="SUJ46" s="672"/>
      <c r="SUK46" s="672"/>
      <c r="SUL46" s="672"/>
      <c r="SUM46" s="672"/>
      <c r="SUN46" s="672"/>
      <c r="SUO46" s="672"/>
      <c r="SUP46" s="672"/>
      <c r="SUQ46" s="672"/>
      <c r="SUR46" s="672"/>
      <c r="SUS46" s="672"/>
      <c r="SUT46" s="672"/>
      <c r="SUU46" s="672"/>
      <c r="SUV46" s="672"/>
      <c r="SUW46" s="672"/>
      <c r="SUX46" s="672"/>
      <c r="SUY46" s="672"/>
      <c r="SUZ46" s="672"/>
      <c r="SVA46" s="672"/>
      <c r="SVB46" s="672"/>
      <c r="SVC46" s="672"/>
      <c r="SVD46" s="672"/>
      <c r="SVE46" s="672"/>
      <c r="SVF46" s="672"/>
      <c r="SVG46" s="672"/>
      <c r="SVH46" s="672"/>
      <c r="SVI46" s="672"/>
      <c r="SVJ46" s="672"/>
      <c r="SVK46" s="672"/>
      <c r="SVL46" s="672"/>
      <c r="SVM46" s="672"/>
      <c r="SVN46" s="672"/>
      <c r="SVO46" s="672"/>
      <c r="SVP46" s="672"/>
      <c r="SVQ46" s="672"/>
      <c r="SVR46" s="672"/>
      <c r="SVS46" s="672"/>
      <c r="SVT46" s="672"/>
      <c r="SVU46" s="672"/>
      <c r="SVV46" s="672"/>
      <c r="SVW46" s="672"/>
      <c r="SVX46" s="672"/>
      <c r="SVY46" s="672"/>
      <c r="SVZ46" s="672"/>
      <c r="SWA46" s="672"/>
      <c r="SWB46" s="672"/>
      <c r="SWC46" s="672"/>
      <c r="SWD46" s="672"/>
      <c r="SWE46" s="672"/>
      <c r="SWF46" s="672"/>
      <c r="SWG46" s="672"/>
      <c r="SWH46" s="672"/>
      <c r="SWI46" s="672"/>
      <c r="SWJ46" s="672"/>
      <c r="SWK46" s="672"/>
      <c r="SWL46" s="672"/>
      <c r="SWM46" s="672"/>
      <c r="SWN46" s="672"/>
      <c r="SWO46" s="672"/>
      <c r="SWP46" s="672"/>
      <c r="SWQ46" s="672"/>
      <c r="SWR46" s="672"/>
      <c r="SWS46" s="672"/>
      <c r="SWT46" s="672"/>
      <c r="SWU46" s="672"/>
      <c r="SWV46" s="672"/>
      <c r="SWW46" s="672"/>
      <c r="SWX46" s="672"/>
      <c r="SWY46" s="672"/>
      <c r="SWZ46" s="672"/>
      <c r="SXA46" s="672"/>
      <c r="SXB46" s="672"/>
      <c r="SXC46" s="672"/>
      <c r="SXD46" s="672"/>
      <c r="SXE46" s="672"/>
      <c r="SXF46" s="672"/>
      <c r="SXG46" s="672"/>
      <c r="SXH46" s="672"/>
      <c r="SXI46" s="672"/>
      <c r="SXJ46" s="672"/>
      <c r="SXK46" s="672"/>
      <c r="SXL46" s="672"/>
      <c r="SXM46" s="672"/>
      <c r="SXN46" s="672"/>
      <c r="SXO46" s="672"/>
      <c r="SXP46" s="672"/>
      <c r="SXQ46" s="672"/>
      <c r="SXR46" s="672"/>
      <c r="SXS46" s="672"/>
      <c r="SXT46" s="672"/>
      <c r="SXU46" s="672"/>
      <c r="SXV46" s="672"/>
      <c r="SXW46" s="672"/>
      <c r="SXX46" s="672"/>
      <c r="SXY46" s="672"/>
      <c r="SXZ46" s="672"/>
      <c r="SYA46" s="672"/>
      <c r="SYB46" s="672"/>
      <c r="SYC46" s="672"/>
      <c r="SYD46" s="672"/>
      <c r="SYE46" s="672"/>
      <c r="SYF46" s="672"/>
      <c r="SYG46" s="672"/>
      <c r="SYH46" s="672"/>
      <c r="SYI46" s="672"/>
      <c r="SYJ46" s="672"/>
      <c r="SYK46" s="672"/>
      <c r="SYL46" s="672"/>
      <c r="SYM46" s="672"/>
      <c r="SYN46" s="672"/>
      <c r="SYO46" s="672"/>
      <c r="SYP46" s="672"/>
      <c r="SYQ46" s="672"/>
      <c r="SYR46" s="672"/>
      <c r="SYS46" s="672"/>
      <c r="SYT46" s="672"/>
      <c r="SYU46" s="672"/>
      <c r="SYV46" s="672"/>
      <c r="SYW46" s="672"/>
      <c r="SYX46" s="672"/>
      <c r="SYY46" s="672"/>
      <c r="SYZ46" s="672"/>
      <c r="SZA46" s="672"/>
      <c r="SZB46" s="672"/>
      <c r="SZC46" s="672"/>
      <c r="SZD46" s="672"/>
      <c r="SZE46" s="672"/>
      <c r="SZF46" s="672"/>
      <c r="SZG46" s="672"/>
      <c r="SZH46" s="672"/>
      <c r="SZI46" s="672"/>
      <c r="SZJ46" s="672"/>
      <c r="SZK46" s="672"/>
      <c r="SZL46" s="672"/>
      <c r="SZM46" s="672"/>
      <c r="SZN46" s="672"/>
      <c r="SZO46" s="672"/>
      <c r="SZP46" s="672"/>
      <c r="SZQ46" s="672"/>
      <c r="SZR46" s="672"/>
      <c r="SZS46" s="672"/>
      <c r="SZT46" s="672"/>
      <c r="SZU46" s="672"/>
      <c r="SZV46" s="672"/>
      <c r="SZW46" s="672"/>
      <c r="SZX46" s="672"/>
      <c r="SZY46" s="672"/>
      <c r="SZZ46" s="672"/>
      <c r="TAA46" s="672"/>
      <c r="TAB46" s="672"/>
      <c r="TAC46" s="672"/>
      <c r="TAD46" s="672"/>
      <c r="TAE46" s="672"/>
      <c r="TAF46" s="672"/>
      <c r="TAG46" s="672"/>
      <c r="TAH46" s="672"/>
      <c r="TAI46" s="672"/>
      <c r="TAJ46" s="672"/>
      <c r="TAK46" s="672"/>
      <c r="TAL46" s="672"/>
      <c r="TAM46" s="672"/>
      <c r="TAN46" s="672"/>
      <c r="TAO46" s="672"/>
      <c r="TAP46" s="672"/>
      <c r="TAQ46" s="672"/>
      <c r="TAR46" s="672"/>
      <c r="TAS46" s="672"/>
      <c r="TAT46" s="672"/>
      <c r="TAU46" s="672"/>
      <c r="TAV46" s="672"/>
      <c r="TAW46" s="672"/>
      <c r="TAX46" s="672"/>
      <c r="TAY46" s="672"/>
      <c r="TAZ46" s="672"/>
      <c r="TBA46" s="672"/>
      <c r="TBB46" s="672"/>
      <c r="TBC46" s="672"/>
      <c r="TBD46" s="672"/>
      <c r="TBE46" s="672"/>
      <c r="TBF46" s="672"/>
      <c r="TBG46" s="672"/>
      <c r="TBH46" s="672"/>
      <c r="TBI46" s="672"/>
      <c r="TBJ46" s="672"/>
      <c r="TBK46" s="672"/>
      <c r="TBL46" s="672"/>
      <c r="TBM46" s="672"/>
      <c r="TBN46" s="672"/>
      <c r="TBO46" s="672"/>
      <c r="TBP46" s="672"/>
      <c r="TBQ46" s="672"/>
      <c r="TBR46" s="672"/>
      <c r="TBS46" s="672"/>
      <c r="TBT46" s="672"/>
      <c r="TBU46" s="672"/>
      <c r="TBV46" s="672"/>
      <c r="TBW46" s="672"/>
      <c r="TBX46" s="672"/>
      <c r="TBY46" s="672"/>
      <c r="TBZ46" s="672"/>
      <c r="TCA46" s="672"/>
      <c r="TCB46" s="672"/>
      <c r="TCC46" s="672"/>
      <c r="TCD46" s="672"/>
      <c r="TCE46" s="672"/>
      <c r="TCF46" s="672"/>
      <c r="TCG46" s="672"/>
      <c r="TCH46" s="672"/>
      <c r="TCI46" s="672"/>
      <c r="TCJ46" s="672"/>
      <c r="TCK46" s="672"/>
      <c r="TCL46" s="672"/>
      <c r="TCM46" s="672"/>
      <c r="TCN46" s="672"/>
      <c r="TCO46" s="672"/>
      <c r="TCP46" s="672"/>
      <c r="TCQ46" s="672"/>
      <c r="TCR46" s="672"/>
      <c r="TCS46" s="672"/>
      <c r="TCT46" s="672"/>
      <c r="TCU46" s="672"/>
      <c r="TCV46" s="672"/>
      <c r="TCW46" s="672"/>
      <c r="TCX46" s="672"/>
      <c r="TCY46" s="672"/>
      <c r="TCZ46" s="672"/>
      <c r="TDA46" s="672"/>
      <c r="TDB46" s="672"/>
      <c r="TDC46" s="672"/>
      <c r="TDD46" s="672"/>
      <c r="TDE46" s="672"/>
      <c r="TDF46" s="672"/>
      <c r="TDG46" s="672"/>
      <c r="TDH46" s="672"/>
      <c r="TDI46" s="672"/>
      <c r="TDJ46" s="672"/>
      <c r="TDK46" s="672"/>
      <c r="TDL46" s="672"/>
      <c r="TDM46" s="672"/>
      <c r="TDN46" s="672"/>
      <c r="TDO46" s="672"/>
      <c r="TDP46" s="672"/>
      <c r="TDQ46" s="672"/>
      <c r="TDR46" s="672"/>
      <c r="TDS46" s="672"/>
      <c r="TDT46" s="672"/>
      <c r="TDU46" s="672"/>
      <c r="TDV46" s="672"/>
      <c r="TDW46" s="672"/>
      <c r="TDX46" s="672"/>
      <c r="TDY46" s="672"/>
      <c r="TDZ46" s="672"/>
      <c r="TEA46" s="672"/>
      <c r="TEB46" s="672"/>
      <c r="TEC46" s="672"/>
      <c r="TED46" s="672"/>
      <c r="TEE46" s="672"/>
      <c r="TEF46" s="672"/>
      <c r="TEG46" s="672"/>
      <c r="TEH46" s="672"/>
      <c r="TEI46" s="672"/>
      <c r="TEJ46" s="672"/>
      <c r="TEK46" s="672"/>
      <c r="TEL46" s="672"/>
      <c r="TEM46" s="672"/>
      <c r="TEN46" s="672"/>
      <c r="TEO46" s="672"/>
      <c r="TEP46" s="672"/>
      <c r="TEQ46" s="672"/>
      <c r="TER46" s="672"/>
      <c r="TES46" s="672"/>
      <c r="TET46" s="672"/>
      <c r="TEU46" s="672"/>
      <c r="TEV46" s="672"/>
      <c r="TEW46" s="672"/>
      <c r="TEX46" s="672"/>
      <c r="TEY46" s="672"/>
      <c r="TEZ46" s="672"/>
      <c r="TFA46" s="672"/>
      <c r="TFB46" s="672"/>
      <c r="TFC46" s="672"/>
      <c r="TFD46" s="672"/>
      <c r="TFE46" s="672"/>
      <c r="TFF46" s="672"/>
      <c r="TFG46" s="672"/>
      <c r="TFH46" s="672"/>
      <c r="TFI46" s="672"/>
      <c r="TFJ46" s="672"/>
      <c r="TFK46" s="672"/>
      <c r="TFL46" s="672"/>
      <c r="TFM46" s="672"/>
      <c r="TFN46" s="672"/>
      <c r="TFO46" s="672"/>
      <c r="TFP46" s="672"/>
      <c r="TFQ46" s="672"/>
      <c r="TFR46" s="672"/>
      <c r="TFS46" s="672"/>
      <c r="TFT46" s="672"/>
      <c r="TFU46" s="672"/>
      <c r="TFV46" s="672"/>
      <c r="TFW46" s="672"/>
      <c r="TFX46" s="672"/>
      <c r="TFY46" s="672"/>
      <c r="TFZ46" s="672"/>
      <c r="TGA46" s="672"/>
      <c r="TGB46" s="672"/>
      <c r="TGC46" s="672"/>
      <c r="TGD46" s="672"/>
      <c r="TGE46" s="672"/>
      <c r="TGF46" s="672"/>
      <c r="TGG46" s="672"/>
      <c r="TGH46" s="672"/>
      <c r="TGI46" s="672"/>
      <c r="TGJ46" s="672"/>
      <c r="TGK46" s="672"/>
      <c r="TGL46" s="672"/>
      <c r="TGM46" s="672"/>
      <c r="TGN46" s="672"/>
      <c r="TGO46" s="672"/>
      <c r="TGP46" s="672"/>
      <c r="TGQ46" s="672"/>
      <c r="TGR46" s="672"/>
      <c r="TGS46" s="672"/>
      <c r="TGT46" s="672"/>
      <c r="TGU46" s="672"/>
      <c r="TGV46" s="672"/>
      <c r="TGW46" s="672"/>
      <c r="TGX46" s="672"/>
      <c r="TGY46" s="672"/>
      <c r="TGZ46" s="672"/>
      <c r="THA46" s="672"/>
      <c r="THB46" s="672"/>
      <c r="THC46" s="672"/>
      <c r="THD46" s="672"/>
      <c r="THE46" s="672"/>
      <c r="THF46" s="672"/>
      <c r="THG46" s="672"/>
      <c r="THH46" s="672"/>
      <c r="THI46" s="672"/>
      <c r="THJ46" s="672"/>
      <c r="THK46" s="672"/>
      <c r="THL46" s="672"/>
      <c r="THM46" s="672"/>
      <c r="THN46" s="672"/>
      <c r="THO46" s="672"/>
      <c r="THP46" s="672"/>
      <c r="THQ46" s="672"/>
      <c r="THR46" s="672"/>
      <c r="THS46" s="672"/>
      <c r="THT46" s="672"/>
      <c r="THU46" s="672"/>
      <c r="THV46" s="672"/>
      <c r="THW46" s="672"/>
      <c r="THX46" s="672"/>
      <c r="THY46" s="672"/>
      <c r="THZ46" s="672"/>
      <c r="TIA46" s="672"/>
      <c r="TIB46" s="672"/>
      <c r="TIC46" s="672"/>
      <c r="TID46" s="672"/>
      <c r="TIE46" s="672"/>
      <c r="TIF46" s="672"/>
      <c r="TIG46" s="672"/>
      <c r="TIH46" s="672"/>
      <c r="TII46" s="672"/>
      <c r="TIJ46" s="672"/>
      <c r="TIK46" s="672"/>
      <c r="TIL46" s="672"/>
      <c r="TIM46" s="672"/>
      <c r="TIN46" s="672"/>
      <c r="TIO46" s="672"/>
      <c r="TIP46" s="672"/>
      <c r="TIQ46" s="672"/>
      <c r="TIR46" s="672"/>
      <c r="TIS46" s="672"/>
      <c r="TIT46" s="672"/>
      <c r="TIU46" s="672"/>
      <c r="TIV46" s="672"/>
      <c r="TIW46" s="672"/>
      <c r="TIX46" s="672"/>
      <c r="TIY46" s="672"/>
      <c r="TIZ46" s="672"/>
      <c r="TJA46" s="672"/>
      <c r="TJB46" s="672"/>
      <c r="TJC46" s="672"/>
      <c r="TJD46" s="672"/>
      <c r="TJE46" s="672"/>
      <c r="TJF46" s="672"/>
      <c r="TJG46" s="672"/>
      <c r="TJH46" s="672"/>
      <c r="TJI46" s="672"/>
      <c r="TJJ46" s="672"/>
      <c r="TJK46" s="672"/>
      <c r="TJL46" s="672"/>
      <c r="TJM46" s="672"/>
      <c r="TJN46" s="672"/>
      <c r="TJO46" s="672"/>
      <c r="TJP46" s="672"/>
      <c r="TJQ46" s="672"/>
      <c r="TJR46" s="672"/>
      <c r="TJS46" s="672"/>
      <c r="TJT46" s="672"/>
      <c r="TJU46" s="672"/>
      <c r="TJV46" s="672"/>
      <c r="TJW46" s="672"/>
      <c r="TJX46" s="672"/>
      <c r="TJY46" s="672"/>
      <c r="TJZ46" s="672"/>
      <c r="TKA46" s="672"/>
      <c r="TKB46" s="672"/>
      <c r="TKC46" s="672"/>
      <c r="TKD46" s="672"/>
      <c r="TKE46" s="672"/>
      <c r="TKF46" s="672"/>
      <c r="TKG46" s="672"/>
      <c r="TKH46" s="672"/>
      <c r="TKI46" s="672"/>
      <c r="TKJ46" s="672"/>
      <c r="TKK46" s="672"/>
      <c r="TKL46" s="672"/>
      <c r="TKM46" s="672"/>
      <c r="TKN46" s="672"/>
      <c r="TKO46" s="672"/>
      <c r="TKP46" s="672"/>
      <c r="TKQ46" s="672"/>
      <c r="TKR46" s="672"/>
      <c r="TKS46" s="672"/>
      <c r="TKT46" s="672"/>
      <c r="TKU46" s="672"/>
      <c r="TKV46" s="672"/>
      <c r="TKW46" s="672"/>
      <c r="TKX46" s="672"/>
      <c r="TKY46" s="672"/>
      <c r="TKZ46" s="672"/>
      <c r="TLA46" s="672"/>
      <c r="TLB46" s="672"/>
      <c r="TLC46" s="672"/>
      <c r="TLD46" s="672"/>
      <c r="TLE46" s="672"/>
      <c r="TLF46" s="672"/>
      <c r="TLG46" s="672"/>
      <c r="TLH46" s="672"/>
      <c r="TLI46" s="672"/>
      <c r="TLJ46" s="672"/>
      <c r="TLK46" s="672"/>
      <c r="TLL46" s="672"/>
      <c r="TLM46" s="672"/>
      <c r="TLN46" s="672"/>
      <c r="TLO46" s="672"/>
      <c r="TLP46" s="672"/>
      <c r="TLQ46" s="672"/>
      <c r="TLR46" s="672"/>
      <c r="TLS46" s="672"/>
      <c r="TLT46" s="672"/>
      <c r="TLU46" s="672"/>
      <c r="TLV46" s="672"/>
      <c r="TLW46" s="672"/>
      <c r="TLX46" s="672"/>
      <c r="TLY46" s="672"/>
      <c r="TLZ46" s="672"/>
      <c r="TMA46" s="672"/>
      <c r="TMB46" s="672"/>
      <c r="TMC46" s="672"/>
      <c r="TMD46" s="672"/>
      <c r="TME46" s="672"/>
      <c r="TMF46" s="672"/>
      <c r="TMG46" s="672"/>
      <c r="TMH46" s="672"/>
      <c r="TMI46" s="672"/>
      <c r="TMJ46" s="672"/>
      <c r="TMK46" s="672"/>
      <c r="TML46" s="672"/>
      <c r="TMM46" s="672"/>
      <c r="TMN46" s="672"/>
      <c r="TMO46" s="672"/>
      <c r="TMP46" s="672"/>
      <c r="TMQ46" s="672"/>
      <c r="TMR46" s="672"/>
      <c r="TMS46" s="672"/>
      <c r="TMT46" s="672"/>
      <c r="TMU46" s="672"/>
      <c r="TMV46" s="672"/>
      <c r="TMW46" s="672"/>
      <c r="TMX46" s="672"/>
      <c r="TMY46" s="672"/>
      <c r="TMZ46" s="672"/>
      <c r="TNA46" s="672"/>
      <c r="TNB46" s="672"/>
      <c r="TNC46" s="672"/>
      <c r="TND46" s="672"/>
      <c r="TNE46" s="672"/>
      <c r="TNF46" s="672"/>
      <c r="TNG46" s="672"/>
      <c r="TNH46" s="672"/>
      <c r="TNI46" s="672"/>
      <c r="TNJ46" s="672"/>
      <c r="TNK46" s="672"/>
      <c r="TNL46" s="672"/>
      <c r="TNM46" s="672"/>
      <c r="TNN46" s="672"/>
      <c r="TNO46" s="672"/>
      <c r="TNP46" s="672"/>
      <c r="TNQ46" s="672"/>
      <c r="TNR46" s="672"/>
      <c r="TNS46" s="672"/>
      <c r="TNT46" s="672"/>
      <c r="TNU46" s="672"/>
      <c r="TNV46" s="672"/>
      <c r="TNW46" s="672"/>
      <c r="TNX46" s="672"/>
      <c r="TNY46" s="672"/>
      <c r="TNZ46" s="672"/>
      <c r="TOA46" s="672"/>
      <c r="TOB46" s="672"/>
      <c r="TOC46" s="672"/>
      <c r="TOD46" s="672"/>
      <c r="TOE46" s="672"/>
      <c r="TOF46" s="672"/>
      <c r="TOG46" s="672"/>
      <c r="TOH46" s="672"/>
      <c r="TOI46" s="672"/>
      <c r="TOJ46" s="672"/>
      <c r="TOK46" s="672"/>
      <c r="TOL46" s="672"/>
      <c r="TOM46" s="672"/>
      <c r="TON46" s="672"/>
      <c r="TOO46" s="672"/>
      <c r="TOP46" s="672"/>
      <c r="TOQ46" s="672"/>
      <c r="TOR46" s="672"/>
      <c r="TOS46" s="672"/>
      <c r="TOT46" s="672"/>
      <c r="TOU46" s="672"/>
      <c r="TOV46" s="672"/>
      <c r="TOW46" s="672"/>
      <c r="TOX46" s="672"/>
      <c r="TOY46" s="672"/>
      <c r="TOZ46" s="672"/>
      <c r="TPA46" s="672"/>
      <c r="TPB46" s="672"/>
      <c r="TPC46" s="672"/>
      <c r="TPD46" s="672"/>
      <c r="TPE46" s="672"/>
      <c r="TPF46" s="672"/>
      <c r="TPG46" s="672"/>
      <c r="TPH46" s="672"/>
      <c r="TPI46" s="672"/>
      <c r="TPJ46" s="672"/>
      <c r="TPK46" s="672"/>
      <c r="TPL46" s="672"/>
      <c r="TPM46" s="672"/>
      <c r="TPN46" s="672"/>
      <c r="TPO46" s="672"/>
      <c r="TPP46" s="672"/>
      <c r="TPQ46" s="672"/>
      <c r="TPR46" s="672"/>
      <c r="TPS46" s="672"/>
      <c r="TPT46" s="672"/>
      <c r="TPU46" s="672"/>
      <c r="TPV46" s="672"/>
      <c r="TPW46" s="672"/>
      <c r="TPX46" s="672"/>
      <c r="TPY46" s="672"/>
      <c r="TPZ46" s="672"/>
      <c r="TQA46" s="672"/>
      <c r="TQB46" s="672"/>
      <c r="TQC46" s="672"/>
      <c r="TQD46" s="672"/>
      <c r="TQE46" s="672"/>
      <c r="TQF46" s="672"/>
      <c r="TQG46" s="672"/>
      <c r="TQH46" s="672"/>
      <c r="TQI46" s="672"/>
      <c r="TQJ46" s="672"/>
      <c r="TQK46" s="672"/>
      <c r="TQL46" s="672"/>
      <c r="TQM46" s="672"/>
      <c r="TQN46" s="672"/>
      <c r="TQO46" s="672"/>
      <c r="TQP46" s="672"/>
      <c r="TQQ46" s="672"/>
      <c r="TQR46" s="672"/>
      <c r="TQS46" s="672"/>
      <c r="TQT46" s="672"/>
      <c r="TQU46" s="672"/>
      <c r="TQV46" s="672"/>
      <c r="TQW46" s="672"/>
      <c r="TQX46" s="672"/>
      <c r="TQY46" s="672"/>
      <c r="TQZ46" s="672"/>
      <c r="TRA46" s="672"/>
      <c r="TRB46" s="672"/>
      <c r="TRC46" s="672"/>
      <c r="TRD46" s="672"/>
      <c r="TRE46" s="672"/>
      <c r="TRF46" s="672"/>
      <c r="TRG46" s="672"/>
      <c r="TRH46" s="672"/>
      <c r="TRI46" s="672"/>
      <c r="TRJ46" s="672"/>
      <c r="TRK46" s="672"/>
      <c r="TRL46" s="672"/>
      <c r="TRM46" s="672"/>
      <c r="TRN46" s="672"/>
      <c r="TRO46" s="672"/>
      <c r="TRP46" s="672"/>
      <c r="TRQ46" s="672"/>
      <c r="TRR46" s="672"/>
      <c r="TRS46" s="672"/>
      <c r="TRT46" s="672"/>
      <c r="TRU46" s="672"/>
      <c r="TRV46" s="672"/>
      <c r="TRW46" s="672"/>
      <c r="TRX46" s="672"/>
      <c r="TRY46" s="672"/>
      <c r="TRZ46" s="672"/>
      <c r="TSA46" s="672"/>
      <c r="TSB46" s="672"/>
      <c r="TSC46" s="672"/>
      <c r="TSD46" s="672"/>
      <c r="TSE46" s="672"/>
      <c r="TSF46" s="672"/>
      <c r="TSG46" s="672"/>
      <c r="TSH46" s="672"/>
      <c r="TSI46" s="672"/>
      <c r="TSJ46" s="672"/>
      <c r="TSK46" s="672"/>
      <c r="TSL46" s="672"/>
      <c r="TSM46" s="672"/>
      <c r="TSN46" s="672"/>
      <c r="TSO46" s="672"/>
      <c r="TSP46" s="672"/>
      <c r="TSQ46" s="672"/>
      <c r="TSR46" s="672"/>
      <c r="TSS46" s="672"/>
      <c r="TST46" s="672"/>
      <c r="TSU46" s="672"/>
      <c r="TSV46" s="672"/>
      <c r="TSW46" s="672"/>
      <c r="TSX46" s="672"/>
      <c r="TSY46" s="672"/>
      <c r="TSZ46" s="672"/>
      <c r="TTA46" s="672"/>
      <c r="TTB46" s="672"/>
      <c r="TTC46" s="672"/>
      <c r="TTD46" s="672"/>
      <c r="TTE46" s="672"/>
      <c r="TTF46" s="672"/>
      <c r="TTG46" s="672"/>
      <c r="TTH46" s="672"/>
      <c r="TTI46" s="672"/>
      <c r="TTJ46" s="672"/>
      <c r="TTK46" s="672"/>
      <c r="TTL46" s="672"/>
      <c r="TTM46" s="672"/>
      <c r="TTN46" s="672"/>
      <c r="TTO46" s="672"/>
      <c r="TTP46" s="672"/>
      <c r="TTQ46" s="672"/>
      <c r="TTR46" s="672"/>
      <c r="TTS46" s="672"/>
      <c r="TTT46" s="672"/>
      <c r="TTU46" s="672"/>
      <c r="TTV46" s="672"/>
      <c r="TTW46" s="672"/>
      <c r="TTX46" s="672"/>
      <c r="TTY46" s="672"/>
      <c r="TTZ46" s="672"/>
      <c r="TUA46" s="672"/>
      <c r="TUB46" s="672"/>
      <c r="TUC46" s="672"/>
      <c r="TUD46" s="672"/>
      <c r="TUE46" s="672"/>
      <c r="TUF46" s="672"/>
      <c r="TUG46" s="672"/>
      <c r="TUH46" s="672"/>
      <c r="TUI46" s="672"/>
      <c r="TUJ46" s="672"/>
      <c r="TUK46" s="672"/>
      <c r="TUL46" s="672"/>
      <c r="TUM46" s="672"/>
      <c r="TUN46" s="672"/>
      <c r="TUO46" s="672"/>
      <c r="TUP46" s="672"/>
      <c r="TUQ46" s="672"/>
      <c r="TUR46" s="672"/>
      <c r="TUS46" s="672"/>
      <c r="TUT46" s="672"/>
      <c r="TUU46" s="672"/>
      <c r="TUV46" s="672"/>
      <c r="TUW46" s="672"/>
      <c r="TUX46" s="672"/>
      <c r="TUY46" s="672"/>
      <c r="TUZ46" s="672"/>
      <c r="TVA46" s="672"/>
      <c r="TVB46" s="672"/>
      <c r="TVC46" s="672"/>
      <c r="TVD46" s="672"/>
      <c r="TVE46" s="672"/>
      <c r="TVF46" s="672"/>
      <c r="TVG46" s="672"/>
      <c r="TVH46" s="672"/>
      <c r="TVI46" s="672"/>
      <c r="TVJ46" s="672"/>
      <c r="TVK46" s="672"/>
      <c r="TVL46" s="672"/>
      <c r="TVM46" s="672"/>
      <c r="TVN46" s="672"/>
      <c r="TVO46" s="672"/>
      <c r="TVP46" s="672"/>
      <c r="TVQ46" s="672"/>
      <c r="TVR46" s="672"/>
      <c r="TVS46" s="672"/>
      <c r="TVT46" s="672"/>
      <c r="TVU46" s="672"/>
      <c r="TVV46" s="672"/>
      <c r="TVW46" s="672"/>
      <c r="TVX46" s="672"/>
      <c r="TVY46" s="672"/>
      <c r="TVZ46" s="672"/>
      <c r="TWA46" s="672"/>
      <c r="TWB46" s="672"/>
      <c r="TWC46" s="672"/>
      <c r="TWD46" s="672"/>
      <c r="TWE46" s="672"/>
      <c r="TWF46" s="672"/>
      <c r="TWG46" s="672"/>
      <c r="TWH46" s="672"/>
      <c r="TWI46" s="672"/>
      <c r="TWJ46" s="672"/>
      <c r="TWK46" s="672"/>
      <c r="TWL46" s="672"/>
      <c r="TWM46" s="672"/>
      <c r="TWN46" s="672"/>
      <c r="TWO46" s="672"/>
      <c r="TWP46" s="672"/>
      <c r="TWQ46" s="672"/>
      <c r="TWR46" s="672"/>
      <c r="TWS46" s="672"/>
      <c r="TWT46" s="672"/>
      <c r="TWU46" s="672"/>
      <c r="TWV46" s="672"/>
      <c r="TWW46" s="672"/>
      <c r="TWX46" s="672"/>
      <c r="TWY46" s="672"/>
      <c r="TWZ46" s="672"/>
      <c r="TXA46" s="672"/>
      <c r="TXB46" s="672"/>
      <c r="TXC46" s="672"/>
      <c r="TXD46" s="672"/>
      <c r="TXE46" s="672"/>
      <c r="TXF46" s="672"/>
      <c r="TXG46" s="672"/>
      <c r="TXH46" s="672"/>
      <c r="TXI46" s="672"/>
      <c r="TXJ46" s="672"/>
      <c r="TXK46" s="672"/>
      <c r="TXL46" s="672"/>
      <c r="TXM46" s="672"/>
      <c r="TXN46" s="672"/>
      <c r="TXO46" s="672"/>
      <c r="TXP46" s="672"/>
      <c r="TXQ46" s="672"/>
      <c r="TXR46" s="672"/>
      <c r="TXS46" s="672"/>
      <c r="TXT46" s="672"/>
      <c r="TXU46" s="672"/>
      <c r="TXV46" s="672"/>
      <c r="TXW46" s="672"/>
      <c r="TXX46" s="672"/>
      <c r="TXY46" s="672"/>
      <c r="TXZ46" s="672"/>
      <c r="TYA46" s="672"/>
      <c r="TYB46" s="672"/>
      <c r="TYC46" s="672"/>
      <c r="TYD46" s="672"/>
      <c r="TYE46" s="672"/>
      <c r="TYF46" s="672"/>
      <c r="TYG46" s="672"/>
      <c r="TYH46" s="672"/>
      <c r="TYI46" s="672"/>
      <c r="TYJ46" s="672"/>
      <c r="TYK46" s="672"/>
      <c r="TYL46" s="672"/>
      <c r="TYM46" s="672"/>
      <c r="TYN46" s="672"/>
      <c r="TYO46" s="672"/>
      <c r="TYP46" s="672"/>
      <c r="TYQ46" s="672"/>
      <c r="TYR46" s="672"/>
      <c r="TYS46" s="672"/>
      <c r="TYT46" s="672"/>
      <c r="TYU46" s="672"/>
      <c r="TYV46" s="672"/>
      <c r="TYW46" s="672"/>
      <c r="TYX46" s="672"/>
      <c r="TYY46" s="672"/>
      <c r="TYZ46" s="672"/>
      <c r="TZA46" s="672"/>
      <c r="TZB46" s="672"/>
      <c r="TZC46" s="672"/>
      <c r="TZD46" s="672"/>
      <c r="TZE46" s="672"/>
      <c r="TZF46" s="672"/>
      <c r="TZG46" s="672"/>
      <c r="TZH46" s="672"/>
      <c r="TZI46" s="672"/>
      <c r="TZJ46" s="672"/>
      <c r="TZK46" s="672"/>
      <c r="TZL46" s="672"/>
      <c r="TZM46" s="672"/>
      <c r="TZN46" s="672"/>
      <c r="TZO46" s="672"/>
      <c r="TZP46" s="672"/>
      <c r="TZQ46" s="672"/>
      <c r="TZR46" s="672"/>
      <c r="TZS46" s="672"/>
      <c r="TZT46" s="672"/>
      <c r="TZU46" s="672"/>
      <c r="TZV46" s="672"/>
      <c r="TZW46" s="672"/>
      <c r="TZX46" s="672"/>
      <c r="TZY46" s="672"/>
      <c r="TZZ46" s="672"/>
      <c r="UAA46" s="672"/>
      <c r="UAB46" s="672"/>
      <c r="UAC46" s="672"/>
      <c r="UAD46" s="672"/>
      <c r="UAE46" s="672"/>
      <c r="UAF46" s="672"/>
      <c r="UAG46" s="672"/>
      <c r="UAH46" s="672"/>
      <c r="UAI46" s="672"/>
      <c r="UAJ46" s="672"/>
      <c r="UAK46" s="672"/>
      <c r="UAL46" s="672"/>
      <c r="UAM46" s="672"/>
      <c r="UAN46" s="672"/>
      <c r="UAO46" s="672"/>
      <c r="UAP46" s="672"/>
      <c r="UAQ46" s="672"/>
      <c r="UAR46" s="672"/>
      <c r="UAS46" s="672"/>
      <c r="UAT46" s="672"/>
      <c r="UAU46" s="672"/>
      <c r="UAV46" s="672"/>
      <c r="UAW46" s="672"/>
      <c r="UAX46" s="672"/>
      <c r="UAY46" s="672"/>
      <c r="UAZ46" s="672"/>
      <c r="UBA46" s="672"/>
      <c r="UBB46" s="672"/>
      <c r="UBC46" s="672"/>
      <c r="UBD46" s="672"/>
      <c r="UBE46" s="672"/>
      <c r="UBF46" s="672"/>
      <c r="UBG46" s="672"/>
      <c r="UBH46" s="672"/>
      <c r="UBI46" s="672"/>
      <c r="UBJ46" s="672"/>
      <c r="UBK46" s="672"/>
      <c r="UBL46" s="672"/>
      <c r="UBM46" s="672"/>
      <c r="UBN46" s="672"/>
      <c r="UBO46" s="672"/>
      <c r="UBP46" s="672"/>
      <c r="UBQ46" s="672"/>
      <c r="UBR46" s="672"/>
      <c r="UBS46" s="672"/>
      <c r="UBT46" s="672"/>
      <c r="UBU46" s="672"/>
      <c r="UBV46" s="672"/>
      <c r="UBW46" s="672"/>
      <c r="UBX46" s="672"/>
      <c r="UBY46" s="672"/>
      <c r="UBZ46" s="672"/>
      <c r="UCA46" s="672"/>
      <c r="UCB46" s="672"/>
      <c r="UCC46" s="672"/>
      <c r="UCD46" s="672"/>
      <c r="UCE46" s="672"/>
      <c r="UCF46" s="672"/>
      <c r="UCG46" s="672"/>
      <c r="UCH46" s="672"/>
      <c r="UCI46" s="672"/>
      <c r="UCJ46" s="672"/>
      <c r="UCK46" s="672"/>
      <c r="UCL46" s="672"/>
      <c r="UCM46" s="672"/>
      <c r="UCN46" s="672"/>
      <c r="UCO46" s="672"/>
      <c r="UCP46" s="672"/>
      <c r="UCQ46" s="672"/>
      <c r="UCR46" s="672"/>
      <c r="UCS46" s="672"/>
      <c r="UCT46" s="672"/>
      <c r="UCU46" s="672"/>
      <c r="UCV46" s="672"/>
      <c r="UCW46" s="672"/>
      <c r="UCX46" s="672"/>
      <c r="UCY46" s="672"/>
      <c r="UCZ46" s="672"/>
      <c r="UDA46" s="672"/>
      <c r="UDB46" s="672"/>
      <c r="UDC46" s="672"/>
      <c r="UDD46" s="672"/>
      <c r="UDE46" s="672"/>
      <c r="UDF46" s="672"/>
      <c r="UDG46" s="672"/>
      <c r="UDH46" s="672"/>
      <c r="UDI46" s="672"/>
      <c r="UDJ46" s="672"/>
      <c r="UDK46" s="672"/>
      <c r="UDL46" s="672"/>
      <c r="UDM46" s="672"/>
      <c r="UDN46" s="672"/>
      <c r="UDO46" s="672"/>
      <c r="UDP46" s="672"/>
      <c r="UDQ46" s="672"/>
      <c r="UDR46" s="672"/>
      <c r="UDS46" s="672"/>
      <c r="UDT46" s="672"/>
      <c r="UDU46" s="672"/>
      <c r="UDV46" s="672"/>
      <c r="UDW46" s="672"/>
      <c r="UDX46" s="672"/>
      <c r="UDY46" s="672"/>
      <c r="UDZ46" s="672"/>
      <c r="UEA46" s="672"/>
      <c r="UEB46" s="672"/>
      <c r="UEC46" s="672"/>
      <c r="UED46" s="672"/>
      <c r="UEE46" s="672"/>
      <c r="UEF46" s="672"/>
      <c r="UEG46" s="672"/>
      <c r="UEH46" s="672"/>
      <c r="UEI46" s="672"/>
      <c r="UEJ46" s="672"/>
      <c r="UEK46" s="672"/>
      <c r="UEL46" s="672"/>
      <c r="UEM46" s="672"/>
      <c r="UEN46" s="672"/>
      <c r="UEO46" s="672"/>
      <c r="UEP46" s="672"/>
      <c r="UEQ46" s="672"/>
      <c r="UER46" s="672"/>
      <c r="UES46" s="672"/>
      <c r="UET46" s="672"/>
      <c r="UEU46" s="672"/>
      <c r="UEV46" s="672"/>
      <c r="UEW46" s="672"/>
      <c r="UEX46" s="672"/>
      <c r="UEY46" s="672"/>
      <c r="UEZ46" s="672"/>
      <c r="UFA46" s="672"/>
      <c r="UFB46" s="672"/>
      <c r="UFC46" s="672"/>
      <c r="UFD46" s="672"/>
      <c r="UFE46" s="672"/>
      <c r="UFF46" s="672"/>
      <c r="UFG46" s="672"/>
      <c r="UFH46" s="672"/>
      <c r="UFI46" s="672"/>
      <c r="UFJ46" s="672"/>
      <c r="UFK46" s="672"/>
      <c r="UFL46" s="672"/>
      <c r="UFM46" s="672"/>
      <c r="UFN46" s="672"/>
      <c r="UFO46" s="672"/>
      <c r="UFP46" s="672"/>
      <c r="UFQ46" s="672"/>
      <c r="UFR46" s="672"/>
      <c r="UFS46" s="672"/>
      <c r="UFT46" s="672"/>
      <c r="UFU46" s="672"/>
      <c r="UFV46" s="672"/>
      <c r="UFW46" s="672"/>
      <c r="UFX46" s="672"/>
      <c r="UFY46" s="672"/>
      <c r="UFZ46" s="672"/>
      <c r="UGA46" s="672"/>
      <c r="UGB46" s="672"/>
      <c r="UGC46" s="672"/>
      <c r="UGD46" s="672"/>
      <c r="UGE46" s="672"/>
      <c r="UGF46" s="672"/>
      <c r="UGG46" s="672"/>
      <c r="UGH46" s="672"/>
      <c r="UGI46" s="672"/>
      <c r="UGJ46" s="672"/>
      <c r="UGK46" s="672"/>
      <c r="UGL46" s="672"/>
      <c r="UGM46" s="672"/>
      <c r="UGN46" s="672"/>
      <c r="UGO46" s="672"/>
      <c r="UGP46" s="672"/>
      <c r="UGQ46" s="672"/>
      <c r="UGR46" s="672"/>
      <c r="UGS46" s="672"/>
      <c r="UGT46" s="672"/>
      <c r="UGU46" s="672"/>
      <c r="UGV46" s="672"/>
      <c r="UGW46" s="672"/>
      <c r="UGX46" s="672"/>
      <c r="UGY46" s="672"/>
      <c r="UGZ46" s="672"/>
      <c r="UHA46" s="672"/>
      <c r="UHB46" s="672"/>
      <c r="UHC46" s="672"/>
      <c r="UHD46" s="672"/>
      <c r="UHE46" s="672"/>
      <c r="UHF46" s="672"/>
      <c r="UHG46" s="672"/>
      <c r="UHH46" s="672"/>
      <c r="UHI46" s="672"/>
      <c r="UHJ46" s="672"/>
      <c r="UHK46" s="672"/>
      <c r="UHL46" s="672"/>
      <c r="UHM46" s="672"/>
      <c r="UHN46" s="672"/>
      <c r="UHO46" s="672"/>
      <c r="UHP46" s="672"/>
      <c r="UHQ46" s="672"/>
      <c r="UHR46" s="672"/>
      <c r="UHS46" s="672"/>
      <c r="UHT46" s="672"/>
      <c r="UHU46" s="672"/>
      <c r="UHV46" s="672"/>
      <c r="UHW46" s="672"/>
      <c r="UHX46" s="672"/>
      <c r="UHY46" s="672"/>
      <c r="UHZ46" s="672"/>
      <c r="UIA46" s="672"/>
      <c r="UIB46" s="672"/>
      <c r="UIC46" s="672"/>
      <c r="UID46" s="672"/>
      <c r="UIE46" s="672"/>
      <c r="UIF46" s="672"/>
      <c r="UIG46" s="672"/>
      <c r="UIH46" s="672"/>
      <c r="UII46" s="672"/>
      <c r="UIJ46" s="672"/>
      <c r="UIK46" s="672"/>
      <c r="UIL46" s="672"/>
      <c r="UIM46" s="672"/>
      <c r="UIN46" s="672"/>
      <c r="UIO46" s="672"/>
      <c r="UIP46" s="672"/>
      <c r="UIQ46" s="672"/>
      <c r="UIR46" s="672"/>
      <c r="UIS46" s="672"/>
      <c r="UIT46" s="672"/>
      <c r="UIU46" s="672"/>
      <c r="UIV46" s="672"/>
      <c r="UIW46" s="672"/>
      <c r="UIX46" s="672"/>
      <c r="UIY46" s="672"/>
      <c r="UIZ46" s="672"/>
      <c r="UJA46" s="672"/>
      <c r="UJB46" s="672"/>
      <c r="UJC46" s="672"/>
      <c r="UJD46" s="672"/>
      <c r="UJE46" s="672"/>
      <c r="UJF46" s="672"/>
      <c r="UJG46" s="672"/>
      <c r="UJH46" s="672"/>
      <c r="UJI46" s="672"/>
      <c r="UJJ46" s="672"/>
      <c r="UJK46" s="672"/>
      <c r="UJL46" s="672"/>
      <c r="UJM46" s="672"/>
      <c r="UJN46" s="672"/>
      <c r="UJO46" s="672"/>
      <c r="UJP46" s="672"/>
      <c r="UJQ46" s="672"/>
      <c r="UJR46" s="672"/>
      <c r="UJS46" s="672"/>
      <c r="UJT46" s="672"/>
      <c r="UJU46" s="672"/>
      <c r="UJV46" s="672"/>
      <c r="UJW46" s="672"/>
      <c r="UJX46" s="672"/>
      <c r="UJY46" s="672"/>
      <c r="UJZ46" s="672"/>
      <c r="UKA46" s="672"/>
      <c r="UKB46" s="672"/>
      <c r="UKC46" s="672"/>
      <c r="UKD46" s="672"/>
      <c r="UKE46" s="672"/>
      <c r="UKF46" s="672"/>
      <c r="UKG46" s="672"/>
      <c r="UKH46" s="672"/>
      <c r="UKI46" s="672"/>
      <c r="UKJ46" s="672"/>
      <c r="UKK46" s="672"/>
      <c r="UKL46" s="672"/>
      <c r="UKM46" s="672"/>
      <c r="UKN46" s="672"/>
      <c r="UKO46" s="672"/>
      <c r="UKP46" s="672"/>
      <c r="UKQ46" s="672"/>
      <c r="UKR46" s="672"/>
      <c r="UKS46" s="672"/>
      <c r="UKT46" s="672"/>
      <c r="UKU46" s="672"/>
      <c r="UKV46" s="672"/>
      <c r="UKW46" s="672"/>
      <c r="UKX46" s="672"/>
      <c r="UKY46" s="672"/>
      <c r="UKZ46" s="672"/>
      <c r="ULA46" s="672"/>
      <c r="ULB46" s="672"/>
      <c r="ULC46" s="672"/>
      <c r="ULD46" s="672"/>
      <c r="ULE46" s="672"/>
      <c r="ULF46" s="672"/>
      <c r="ULG46" s="672"/>
      <c r="ULH46" s="672"/>
      <c r="ULI46" s="672"/>
      <c r="ULJ46" s="672"/>
      <c r="ULK46" s="672"/>
      <c r="ULL46" s="672"/>
      <c r="ULM46" s="672"/>
      <c r="ULN46" s="672"/>
      <c r="ULO46" s="672"/>
      <c r="ULP46" s="672"/>
      <c r="ULQ46" s="672"/>
      <c r="ULR46" s="672"/>
      <c r="ULS46" s="672"/>
      <c r="ULT46" s="672"/>
      <c r="ULU46" s="672"/>
      <c r="ULV46" s="672"/>
      <c r="ULW46" s="672"/>
      <c r="ULX46" s="672"/>
      <c r="ULY46" s="672"/>
      <c r="ULZ46" s="672"/>
      <c r="UMA46" s="672"/>
      <c r="UMB46" s="672"/>
      <c r="UMC46" s="672"/>
      <c r="UMD46" s="672"/>
      <c r="UME46" s="672"/>
      <c r="UMF46" s="672"/>
      <c r="UMG46" s="672"/>
      <c r="UMH46" s="672"/>
      <c r="UMI46" s="672"/>
      <c r="UMJ46" s="672"/>
      <c r="UMK46" s="672"/>
      <c r="UML46" s="672"/>
      <c r="UMM46" s="672"/>
      <c r="UMN46" s="672"/>
      <c r="UMO46" s="672"/>
      <c r="UMP46" s="672"/>
      <c r="UMQ46" s="672"/>
      <c r="UMR46" s="672"/>
      <c r="UMS46" s="672"/>
      <c r="UMT46" s="672"/>
      <c r="UMU46" s="672"/>
      <c r="UMV46" s="672"/>
      <c r="UMW46" s="672"/>
      <c r="UMX46" s="672"/>
      <c r="UMY46" s="672"/>
      <c r="UMZ46" s="672"/>
      <c r="UNA46" s="672"/>
      <c r="UNB46" s="672"/>
      <c r="UNC46" s="672"/>
      <c r="UND46" s="672"/>
      <c r="UNE46" s="672"/>
      <c r="UNF46" s="672"/>
      <c r="UNG46" s="672"/>
      <c r="UNH46" s="672"/>
      <c r="UNI46" s="672"/>
      <c r="UNJ46" s="672"/>
      <c r="UNK46" s="672"/>
      <c r="UNL46" s="672"/>
      <c r="UNM46" s="672"/>
      <c r="UNN46" s="672"/>
      <c r="UNO46" s="672"/>
      <c r="UNP46" s="672"/>
      <c r="UNQ46" s="672"/>
      <c r="UNR46" s="672"/>
      <c r="UNS46" s="672"/>
      <c r="UNT46" s="672"/>
      <c r="UNU46" s="672"/>
      <c r="UNV46" s="672"/>
      <c r="UNW46" s="672"/>
      <c r="UNX46" s="672"/>
      <c r="UNY46" s="672"/>
      <c r="UNZ46" s="672"/>
      <c r="UOA46" s="672"/>
      <c r="UOB46" s="672"/>
      <c r="UOC46" s="672"/>
      <c r="UOD46" s="672"/>
      <c r="UOE46" s="672"/>
      <c r="UOF46" s="672"/>
      <c r="UOG46" s="672"/>
      <c r="UOH46" s="672"/>
      <c r="UOI46" s="672"/>
      <c r="UOJ46" s="672"/>
      <c r="UOK46" s="672"/>
      <c r="UOL46" s="672"/>
      <c r="UOM46" s="672"/>
      <c r="UON46" s="672"/>
      <c r="UOO46" s="672"/>
      <c r="UOP46" s="672"/>
      <c r="UOQ46" s="672"/>
      <c r="UOR46" s="672"/>
      <c r="UOS46" s="672"/>
      <c r="UOT46" s="672"/>
      <c r="UOU46" s="672"/>
      <c r="UOV46" s="672"/>
      <c r="UOW46" s="672"/>
      <c r="UOX46" s="672"/>
      <c r="UOY46" s="672"/>
      <c r="UOZ46" s="672"/>
      <c r="UPA46" s="672"/>
      <c r="UPB46" s="672"/>
      <c r="UPC46" s="672"/>
      <c r="UPD46" s="672"/>
      <c r="UPE46" s="672"/>
      <c r="UPF46" s="672"/>
      <c r="UPG46" s="672"/>
      <c r="UPH46" s="672"/>
      <c r="UPI46" s="672"/>
      <c r="UPJ46" s="672"/>
      <c r="UPK46" s="672"/>
      <c r="UPL46" s="672"/>
      <c r="UPM46" s="672"/>
      <c r="UPN46" s="672"/>
      <c r="UPO46" s="672"/>
      <c r="UPP46" s="672"/>
      <c r="UPQ46" s="672"/>
      <c r="UPR46" s="672"/>
      <c r="UPS46" s="672"/>
      <c r="UPT46" s="672"/>
      <c r="UPU46" s="672"/>
      <c r="UPV46" s="672"/>
      <c r="UPW46" s="672"/>
      <c r="UPX46" s="672"/>
      <c r="UPY46" s="672"/>
      <c r="UPZ46" s="672"/>
      <c r="UQA46" s="672"/>
      <c r="UQB46" s="672"/>
      <c r="UQC46" s="672"/>
      <c r="UQD46" s="672"/>
      <c r="UQE46" s="672"/>
      <c r="UQF46" s="672"/>
      <c r="UQG46" s="672"/>
      <c r="UQH46" s="672"/>
      <c r="UQI46" s="672"/>
      <c r="UQJ46" s="672"/>
      <c r="UQK46" s="672"/>
      <c r="UQL46" s="672"/>
      <c r="UQM46" s="672"/>
      <c r="UQN46" s="672"/>
      <c r="UQO46" s="672"/>
      <c r="UQP46" s="672"/>
      <c r="UQQ46" s="672"/>
      <c r="UQR46" s="672"/>
      <c r="UQS46" s="672"/>
      <c r="UQT46" s="672"/>
      <c r="UQU46" s="672"/>
      <c r="UQV46" s="672"/>
      <c r="UQW46" s="672"/>
      <c r="UQX46" s="672"/>
      <c r="UQY46" s="672"/>
      <c r="UQZ46" s="672"/>
      <c r="URA46" s="672"/>
      <c r="URB46" s="672"/>
      <c r="URC46" s="672"/>
      <c r="URD46" s="672"/>
      <c r="URE46" s="672"/>
      <c r="URF46" s="672"/>
      <c r="URG46" s="672"/>
      <c r="URH46" s="672"/>
      <c r="URI46" s="672"/>
      <c r="URJ46" s="672"/>
      <c r="URK46" s="672"/>
      <c r="URL46" s="672"/>
      <c r="URM46" s="672"/>
      <c r="URN46" s="672"/>
      <c r="URO46" s="672"/>
      <c r="URP46" s="672"/>
      <c r="URQ46" s="672"/>
      <c r="URR46" s="672"/>
      <c r="URS46" s="672"/>
      <c r="URT46" s="672"/>
      <c r="URU46" s="672"/>
      <c r="URV46" s="672"/>
      <c r="URW46" s="672"/>
      <c r="URX46" s="672"/>
      <c r="URY46" s="672"/>
      <c r="URZ46" s="672"/>
      <c r="USA46" s="672"/>
      <c r="USB46" s="672"/>
      <c r="USC46" s="672"/>
      <c r="USD46" s="672"/>
      <c r="USE46" s="672"/>
      <c r="USF46" s="672"/>
      <c r="USG46" s="672"/>
      <c r="USH46" s="672"/>
      <c r="USI46" s="672"/>
      <c r="USJ46" s="672"/>
      <c r="USK46" s="672"/>
      <c r="USL46" s="672"/>
      <c r="USM46" s="672"/>
      <c r="USN46" s="672"/>
      <c r="USO46" s="672"/>
      <c r="USP46" s="672"/>
      <c r="USQ46" s="672"/>
      <c r="USR46" s="672"/>
      <c r="USS46" s="672"/>
      <c r="UST46" s="672"/>
      <c r="USU46" s="672"/>
      <c r="USV46" s="672"/>
      <c r="USW46" s="672"/>
      <c r="USX46" s="672"/>
      <c r="USY46" s="672"/>
      <c r="USZ46" s="672"/>
      <c r="UTA46" s="672"/>
      <c r="UTB46" s="672"/>
      <c r="UTC46" s="672"/>
      <c r="UTD46" s="672"/>
      <c r="UTE46" s="672"/>
      <c r="UTF46" s="672"/>
      <c r="UTG46" s="672"/>
      <c r="UTH46" s="672"/>
      <c r="UTI46" s="672"/>
      <c r="UTJ46" s="672"/>
      <c r="UTK46" s="672"/>
      <c r="UTL46" s="672"/>
      <c r="UTM46" s="672"/>
      <c r="UTN46" s="672"/>
      <c r="UTO46" s="672"/>
      <c r="UTP46" s="672"/>
      <c r="UTQ46" s="672"/>
      <c r="UTR46" s="672"/>
      <c r="UTS46" s="672"/>
      <c r="UTT46" s="672"/>
      <c r="UTU46" s="672"/>
      <c r="UTV46" s="672"/>
      <c r="UTW46" s="672"/>
      <c r="UTX46" s="672"/>
      <c r="UTY46" s="672"/>
      <c r="UTZ46" s="672"/>
      <c r="UUA46" s="672"/>
      <c r="UUB46" s="672"/>
      <c r="UUC46" s="672"/>
      <c r="UUD46" s="672"/>
      <c r="UUE46" s="672"/>
      <c r="UUF46" s="672"/>
      <c r="UUG46" s="672"/>
      <c r="UUH46" s="672"/>
      <c r="UUI46" s="672"/>
      <c r="UUJ46" s="672"/>
      <c r="UUK46" s="672"/>
      <c r="UUL46" s="672"/>
      <c r="UUM46" s="672"/>
      <c r="UUN46" s="672"/>
      <c r="UUO46" s="672"/>
      <c r="UUP46" s="672"/>
      <c r="UUQ46" s="672"/>
      <c r="UUR46" s="672"/>
      <c r="UUS46" s="672"/>
      <c r="UUT46" s="672"/>
      <c r="UUU46" s="672"/>
      <c r="UUV46" s="672"/>
      <c r="UUW46" s="672"/>
      <c r="UUX46" s="672"/>
      <c r="UUY46" s="672"/>
      <c r="UUZ46" s="672"/>
      <c r="UVA46" s="672"/>
      <c r="UVB46" s="672"/>
      <c r="UVC46" s="672"/>
      <c r="UVD46" s="672"/>
      <c r="UVE46" s="672"/>
      <c r="UVF46" s="672"/>
      <c r="UVG46" s="672"/>
      <c r="UVH46" s="672"/>
      <c r="UVI46" s="672"/>
      <c r="UVJ46" s="672"/>
      <c r="UVK46" s="672"/>
      <c r="UVL46" s="672"/>
      <c r="UVM46" s="672"/>
      <c r="UVN46" s="672"/>
      <c r="UVO46" s="672"/>
      <c r="UVP46" s="672"/>
      <c r="UVQ46" s="672"/>
      <c r="UVR46" s="672"/>
      <c r="UVS46" s="672"/>
      <c r="UVT46" s="672"/>
      <c r="UVU46" s="672"/>
      <c r="UVV46" s="672"/>
      <c r="UVW46" s="672"/>
      <c r="UVX46" s="672"/>
      <c r="UVY46" s="672"/>
      <c r="UVZ46" s="672"/>
      <c r="UWA46" s="672"/>
      <c r="UWB46" s="672"/>
      <c r="UWC46" s="672"/>
      <c r="UWD46" s="672"/>
      <c r="UWE46" s="672"/>
      <c r="UWF46" s="672"/>
      <c r="UWG46" s="672"/>
      <c r="UWH46" s="672"/>
      <c r="UWI46" s="672"/>
      <c r="UWJ46" s="672"/>
      <c r="UWK46" s="672"/>
      <c r="UWL46" s="672"/>
      <c r="UWM46" s="672"/>
      <c r="UWN46" s="672"/>
      <c r="UWO46" s="672"/>
      <c r="UWP46" s="672"/>
      <c r="UWQ46" s="672"/>
      <c r="UWR46" s="672"/>
      <c r="UWS46" s="672"/>
      <c r="UWT46" s="672"/>
      <c r="UWU46" s="672"/>
      <c r="UWV46" s="672"/>
      <c r="UWW46" s="672"/>
      <c r="UWX46" s="672"/>
      <c r="UWY46" s="672"/>
      <c r="UWZ46" s="672"/>
      <c r="UXA46" s="672"/>
      <c r="UXB46" s="672"/>
      <c r="UXC46" s="672"/>
      <c r="UXD46" s="672"/>
      <c r="UXE46" s="672"/>
      <c r="UXF46" s="672"/>
      <c r="UXG46" s="672"/>
      <c r="UXH46" s="672"/>
      <c r="UXI46" s="672"/>
      <c r="UXJ46" s="672"/>
      <c r="UXK46" s="672"/>
      <c r="UXL46" s="672"/>
      <c r="UXM46" s="672"/>
      <c r="UXN46" s="672"/>
      <c r="UXO46" s="672"/>
      <c r="UXP46" s="672"/>
      <c r="UXQ46" s="672"/>
      <c r="UXR46" s="672"/>
      <c r="UXS46" s="672"/>
      <c r="UXT46" s="672"/>
      <c r="UXU46" s="672"/>
      <c r="UXV46" s="672"/>
      <c r="UXW46" s="672"/>
      <c r="UXX46" s="672"/>
      <c r="UXY46" s="672"/>
      <c r="UXZ46" s="672"/>
      <c r="UYA46" s="672"/>
      <c r="UYB46" s="672"/>
      <c r="UYC46" s="672"/>
      <c r="UYD46" s="672"/>
      <c r="UYE46" s="672"/>
      <c r="UYF46" s="672"/>
      <c r="UYG46" s="672"/>
      <c r="UYH46" s="672"/>
      <c r="UYI46" s="672"/>
      <c r="UYJ46" s="672"/>
      <c r="UYK46" s="672"/>
      <c r="UYL46" s="672"/>
      <c r="UYM46" s="672"/>
      <c r="UYN46" s="672"/>
      <c r="UYO46" s="672"/>
      <c r="UYP46" s="672"/>
      <c r="UYQ46" s="672"/>
      <c r="UYR46" s="672"/>
      <c r="UYS46" s="672"/>
      <c r="UYT46" s="672"/>
      <c r="UYU46" s="672"/>
      <c r="UYV46" s="672"/>
      <c r="UYW46" s="672"/>
      <c r="UYX46" s="672"/>
      <c r="UYY46" s="672"/>
      <c r="UYZ46" s="672"/>
      <c r="UZA46" s="672"/>
      <c r="UZB46" s="672"/>
      <c r="UZC46" s="672"/>
      <c r="UZD46" s="672"/>
      <c r="UZE46" s="672"/>
      <c r="UZF46" s="672"/>
      <c r="UZG46" s="672"/>
      <c r="UZH46" s="672"/>
      <c r="UZI46" s="672"/>
      <c r="UZJ46" s="672"/>
      <c r="UZK46" s="672"/>
      <c r="UZL46" s="672"/>
      <c r="UZM46" s="672"/>
      <c r="UZN46" s="672"/>
      <c r="UZO46" s="672"/>
      <c r="UZP46" s="672"/>
      <c r="UZQ46" s="672"/>
      <c r="UZR46" s="672"/>
      <c r="UZS46" s="672"/>
      <c r="UZT46" s="672"/>
      <c r="UZU46" s="672"/>
      <c r="UZV46" s="672"/>
      <c r="UZW46" s="672"/>
      <c r="UZX46" s="672"/>
      <c r="UZY46" s="672"/>
      <c r="UZZ46" s="672"/>
      <c r="VAA46" s="672"/>
      <c r="VAB46" s="672"/>
      <c r="VAC46" s="672"/>
      <c r="VAD46" s="672"/>
      <c r="VAE46" s="672"/>
      <c r="VAF46" s="672"/>
      <c r="VAG46" s="672"/>
      <c r="VAH46" s="672"/>
      <c r="VAI46" s="672"/>
      <c r="VAJ46" s="672"/>
      <c r="VAK46" s="672"/>
      <c r="VAL46" s="672"/>
      <c r="VAM46" s="672"/>
      <c r="VAN46" s="672"/>
      <c r="VAO46" s="672"/>
      <c r="VAP46" s="672"/>
      <c r="VAQ46" s="672"/>
      <c r="VAR46" s="672"/>
      <c r="VAS46" s="672"/>
      <c r="VAT46" s="672"/>
      <c r="VAU46" s="672"/>
      <c r="VAV46" s="672"/>
      <c r="VAW46" s="672"/>
      <c r="VAX46" s="672"/>
      <c r="VAY46" s="672"/>
      <c r="VAZ46" s="672"/>
      <c r="VBA46" s="672"/>
      <c r="VBB46" s="672"/>
      <c r="VBC46" s="672"/>
      <c r="VBD46" s="672"/>
      <c r="VBE46" s="672"/>
      <c r="VBF46" s="672"/>
      <c r="VBG46" s="672"/>
      <c r="VBH46" s="672"/>
      <c r="VBI46" s="672"/>
      <c r="VBJ46" s="672"/>
      <c r="VBK46" s="672"/>
      <c r="VBL46" s="672"/>
      <c r="VBM46" s="672"/>
      <c r="VBN46" s="672"/>
      <c r="VBO46" s="672"/>
      <c r="VBP46" s="672"/>
      <c r="VBQ46" s="672"/>
      <c r="VBR46" s="672"/>
      <c r="VBS46" s="672"/>
      <c r="VBT46" s="672"/>
      <c r="VBU46" s="672"/>
      <c r="VBV46" s="672"/>
      <c r="VBW46" s="672"/>
      <c r="VBX46" s="672"/>
      <c r="VBY46" s="672"/>
      <c r="VBZ46" s="672"/>
      <c r="VCA46" s="672"/>
      <c r="VCB46" s="672"/>
      <c r="VCC46" s="672"/>
      <c r="VCD46" s="672"/>
      <c r="VCE46" s="672"/>
      <c r="VCF46" s="672"/>
      <c r="VCG46" s="672"/>
      <c r="VCH46" s="672"/>
      <c r="VCI46" s="672"/>
      <c r="VCJ46" s="672"/>
      <c r="VCK46" s="672"/>
      <c r="VCL46" s="672"/>
      <c r="VCM46" s="672"/>
      <c r="VCN46" s="672"/>
      <c r="VCO46" s="672"/>
      <c r="VCP46" s="672"/>
      <c r="VCQ46" s="672"/>
      <c r="VCR46" s="672"/>
      <c r="VCS46" s="672"/>
      <c r="VCT46" s="672"/>
      <c r="VCU46" s="672"/>
      <c r="VCV46" s="672"/>
      <c r="VCW46" s="672"/>
      <c r="VCX46" s="672"/>
      <c r="VCY46" s="672"/>
      <c r="VCZ46" s="672"/>
      <c r="VDA46" s="672"/>
      <c r="VDB46" s="672"/>
      <c r="VDC46" s="672"/>
      <c r="VDD46" s="672"/>
      <c r="VDE46" s="672"/>
      <c r="VDF46" s="672"/>
      <c r="VDG46" s="672"/>
      <c r="VDH46" s="672"/>
      <c r="VDI46" s="672"/>
      <c r="VDJ46" s="672"/>
      <c r="VDK46" s="672"/>
      <c r="VDL46" s="672"/>
      <c r="VDM46" s="672"/>
      <c r="VDN46" s="672"/>
      <c r="VDO46" s="672"/>
      <c r="VDP46" s="672"/>
      <c r="VDQ46" s="672"/>
      <c r="VDR46" s="672"/>
      <c r="VDS46" s="672"/>
      <c r="VDT46" s="672"/>
      <c r="VDU46" s="672"/>
      <c r="VDV46" s="672"/>
      <c r="VDW46" s="672"/>
      <c r="VDX46" s="672"/>
      <c r="VDY46" s="672"/>
      <c r="VDZ46" s="672"/>
      <c r="VEA46" s="672"/>
      <c r="VEB46" s="672"/>
      <c r="VEC46" s="672"/>
      <c r="VED46" s="672"/>
      <c r="VEE46" s="672"/>
      <c r="VEF46" s="672"/>
      <c r="VEG46" s="672"/>
      <c r="VEH46" s="672"/>
      <c r="VEI46" s="672"/>
      <c r="VEJ46" s="672"/>
      <c r="VEK46" s="672"/>
      <c r="VEL46" s="672"/>
      <c r="VEM46" s="672"/>
      <c r="VEN46" s="672"/>
      <c r="VEO46" s="672"/>
      <c r="VEP46" s="672"/>
      <c r="VEQ46" s="672"/>
      <c r="VER46" s="672"/>
      <c r="VES46" s="672"/>
      <c r="VET46" s="672"/>
      <c r="VEU46" s="672"/>
      <c r="VEV46" s="672"/>
      <c r="VEW46" s="672"/>
      <c r="VEX46" s="672"/>
      <c r="VEY46" s="672"/>
      <c r="VEZ46" s="672"/>
      <c r="VFA46" s="672"/>
      <c r="VFB46" s="672"/>
      <c r="VFC46" s="672"/>
      <c r="VFD46" s="672"/>
      <c r="VFE46" s="672"/>
      <c r="VFF46" s="672"/>
      <c r="VFG46" s="672"/>
      <c r="VFH46" s="672"/>
      <c r="VFI46" s="672"/>
      <c r="VFJ46" s="672"/>
      <c r="VFK46" s="672"/>
      <c r="VFL46" s="672"/>
      <c r="VFM46" s="672"/>
      <c r="VFN46" s="672"/>
      <c r="VFO46" s="672"/>
      <c r="VFP46" s="672"/>
      <c r="VFQ46" s="672"/>
      <c r="VFR46" s="672"/>
      <c r="VFS46" s="672"/>
      <c r="VFT46" s="672"/>
      <c r="VFU46" s="672"/>
      <c r="VFV46" s="672"/>
      <c r="VFW46" s="672"/>
      <c r="VFX46" s="672"/>
      <c r="VFY46" s="672"/>
      <c r="VFZ46" s="672"/>
      <c r="VGA46" s="672"/>
      <c r="VGB46" s="672"/>
      <c r="VGC46" s="672"/>
      <c r="VGD46" s="672"/>
      <c r="VGE46" s="672"/>
      <c r="VGF46" s="672"/>
      <c r="VGG46" s="672"/>
      <c r="VGH46" s="672"/>
      <c r="VGI46" s="672"/>
      <c r="VGJ46" s="672"/>
      <c r="VGK46" s="672"/>
      <c r="VGL46" s="672"/>
      <c r="VGM46" s="672"/>
      <c r="VGN46" s="672"/>
      <c r="VGO46" s="672"/>
      <c r="VGP46" s="672"/>
      <c r="VGQ46" s="672"/>
      <c r="VGR46" s="672"/>
      <c r="VGS46" s="672"/>
      <c r="VGT46" s="672"/>
      <c r="VGU46" s="672"/>
      <c r="VGV46" s="672"/>
      <c r="VGW46" s="672"/>
      <c r="VGX46" s="672"/>
      <c r="VGY46" s="672"/>
      <c r="VGZ46" s="672"/>
      <c r="VHA46" s="672"/>
      <c r="VHB46" s="672"/>
      <c r="VHC46" s="672"/>
      <c r="VHD46" s="672"/>
      <c r="VHE46" s="672"/>
      <c r="VHF46" s="672"/>
      <c r="VHG46" s="672"/>
      <c r="VHH46" s="672"/>
      <c r="VHI46" s="672"/>
      <c r="VHJ46" s="672"/>
      <c r="VHK46" s="672"/>
      <c r="VHL46" s="672"/>
      <c r="VHM46" s="672"/>
      <c r="VHN46" s="672"/>
      <c r="VHO46" s="672"/>
      <c r="VHP46" s="672"/>
      <c r="VHQ46" s="672"/>
      <c r="VHR46" s="672"/>
      <c r="VHS46" s="672"/>
      <c r="VHT46" s="672"/>
      <c r="VHU46" s="672"/>
      <c r="VHV46" s="672"/>
      <c r="VHW46" s="672"/>
      <c r="VHX46" s="672"/>
      <c r="VHY46" s="672"/>
      <c r="VHZ46" s="672"/>
      <c r="VIA46" s="672"/>
      <c r="VIB46" s="672"/>
      <c r="VIC46" s="672"/>
      <c r="VID46" s="672"/>
      <c r="VIE46" s="672"/>
      <c r="VIF46" s="672"/>
      <c r="VIG46" s="672"/>
      <c r="VIH46" s="672"/>
      <c r="VII46" s="672"/>
      <c r="VIJ46" s="672"/>
      <c r="VIK46" s="672"/>
      <c r="VIL46" s="672"/>
      <c r="VIM46" s="672"/>
      <c r="VIN46" s="672"/>
      <c r="VIO46" s="672"/>
      <c r="VIP46" s="672"/>
      <c r="VIQ46" s="672"/>
      <c r="VIR46" s="672"/>
      <c r="VIS46" s="672"/>
      <c r="VIT46" s="672"/>
      <c r="VIU46" s="672"/>
      <c r="VIV46" s="672"/>
      <c r="VIW46" s="672"/>
      <c r="VIX46" s="672"/>
      <c r="VIY46" s="672"/>
      <c r="VIZ46" s="672"/>
      <c r="VJA46" s="672"/>
      <c r="VJB46" s="672"/>
      <c r="VJC46" s="672"/>
      <c r="VJD46" s="672"/>
      <c r="VJE46" s="672"/>
      <c r="VJF46" s="672"/>
      <c r="VJG46" s="672"/>
      <c r="VJH46" s="672"/>
      <c r="VJI46" s="672"/>
      <c r="VJJ46" s="672"/>
      <c r="VJK46" s="672"/>
      <c r="VJL46" s="672"/>
      <c r="VJM46" s="672"/>
      <c r="VJN46" s="672"/>
      <c r="VJO46" s="672"/>
      <c r="VJP46" s="672"/>
      <c r="VJQ46" s="672"/>
      <c r="VJR46" s="672"/>
      <c r="VJS46" s="672"/>
      <c r="VJT46" s="672"/>
      <c r="VJU46" s="672"/>
      <c r="VJV46" s="672"/>
      <c r="VJW46" s="672"/>
      <c r="VJX46" s="672"/>
      <c r="VJY46" s="672"/>
      <c r="VJZ46" s="672"/>
      <c r="VKA46" s="672"/>
      <c r="VKB46" s="672"/>
      <c r="VKC46" s="672"/>
      <c r="VKD46" s="672"/>
      <c r="VKE46" s="672"/>
      <c r="VKF46" s="672"/>
      <c r="VKG46" s="672"/>
      <c r="VKH46" s="672"/>
      <c r="VKI46" s="672"/>
      <c r="VKJ46" s="672"/>
      <c r="VKK46" s="672"/>
      <c r="VKL46" s="672"/>
      <c r="VKM46" s="672"/>
      <c r="VKN46" s="672"/>
      <c r="VKO46" s="672"/>
      <c r="VKP46" s="672"/>
      <c r="VKQ46" s="672"/>
      <c r="VKR46" s="672"/>
      <c r="VKS46" s="672"/>
      <c r="VKT46" s="672"/>
      <c r="VKU46" s="672"/>
      <c r="VKV46" s="672"/>
      <c r="VKW46" s="672"/>
      <c r="VKX46" s="672"/>
      <c r="VKY46" s="672"/>
      <c r="VKZ46" s="672"/>
      <c r="VLA46" s="672"/>
      <c r="VLB46" s="672"/>
      <c r="VLC46" s="672"/>
      <c r="VLD46" s="672"/>
      <c r="VLE46" s="672"/>
      <c r="VLF46" s="672"/>
      <c r="VLG46" s="672"/>
      <c r="VLH46" s="672"/>
      <c r="VLI46" s="672"/>
      <c r="VLJ46" s="672"/>
      <c r="VLK46" s="672"/>
      <c r="VLL46" s="672"/>
      <c r="VLM46" s="672"/>
      <c r="VLN46" s="672"/>
      <c r="VLO46" s="672"/>
      <c r="VLP46" s="672"/>
      <c r="VLQ46" s="672"/>
      <c r="VLR46" s="672"/>
      <c r="VLS46" s="672"/>
      <c r="VLT46" s="672"/>
      <c r="VLU46" s="672"/>
      <c r="VLV46" s="672"/>
      <c r="VLW46" s="672"/>
      <c r="VLX46" s="672"/>
      <c r="VLY46" s="672"/>
      <c r="VLZ46" s="672"/>
      <c r="VMA46" s="672"/>
      <c r="VMB46" s="672"/>
      <c r="VMC46" s="672"/>
      <c r="VMD46" s="672"/>
      <c r="VME46" s="672"/>
      <c r="VMF46" s="672"/>
      <c r="VMG46" s="672"/>
      <c r="VMH46" s="672"/>
      <c r="VMI46" s="672"/>
      <c r="VMJ46" s="672"/>
      <c r="VMK46" s="672"/>
      <c r="VML46" s="672"/>
      <c r="VMM46" s="672"/>
      <c r="VMN46" s="672"/>
      <c r="VMO46" s="672"/>
      <c r="VMP46" s="672"/>
      <c r="VMQ46" s="672"/>
      <c r="VMR46" s="672"/>
      <c r="VMS46" s="672"/>
      <c r="VMT46" s="672"/>
      <c r="VMU46" s="672"/>
      <c r="VMV46" s="672"/>
      <c r="VMW46" s="672"/>
      <c r="VMX46" s="672"/>
      <c r="VMY46" s="672"/>
      <c r="VMZ46" s="672"/>
      <c r="VNA46" s="672"/>
      <c r="VNB46" s="672"/>
      <c r="VNC46" s="672"/>
      <c r="VND46" s="672"/>
      <c r="VNE46" s="672"/>
      <c r="VNF46" s="672"/>
      <c r="VNG46" s="672"/>
      <c r="VNH46" s="672"/>
      <c r="VNI46" s="672"/>
      <c r="VNJ46" s="672"/>
      <c r="VNK46" s="672"/>
      <c r="VNL46" s="672"/>
      <c r="VNM46" s="672"/>
      <c r="VNN46" s="672"/>
      <c r="VNO46" s="672"/>
      <c r="VNP46" s="672"/>
      <c r="VNQ46" s="672"/>
      <c r="VNR46" s="672"/>
      <c r="VNS46" s="672"/>
      <c r="VNT46" s="672"/>
      <c r="VNU46" s="672"/>
      <c r="VNV46" s="672"/>
      <c r="VNW46" s="672"/>
      <c r="VNX46" s="672"/>
      <c r="VNY46" s="672"/>
      <c r="VNZ46" s="672"/>
      <c r="VOA46" s="672"/>
      <c r="VOB46" s="672"/>
      <c r="VOC46" s="672"/>
      <c r="VOD46" s="672"/>
      <c r="VOE46" s="672"/>
      <c r="VOF46" s="672"/>
      <c r="VOG46" s="672"/>
      <c r="VOH46" s="672"/>
      <c r="VOI46" s="672"/>
      <c r="VOJ46" s="672"/>
      <c r="VOK46" s="672"/>
      <c r="VOL46" s="672"/>
      <c r="VOM46" s="672"/>
      <c r="VON46" s="672"/>
      <c r="VOO46" s="672"/>
      <c r="VOP46" s="672"/>
      <c r="VOQ46" s="672"/>
      <c r="VOR46" s="672"/>
      <c r="VOS46" s="672"/>
      <c r="VOT46" s="672"/>
      <c r="VOU46" s="672"/>
      <c r="VOV46" s="672"/>
      <c r="VOW46" s="672"/>
      <c r="VOX46" s="672"/>
      <c r="VOY46" s="672"/>
      <c r="VOZ46" s="672"/>
      <c r="VPA46" s="672"/>
      <c r="VPB46" s="672"/>
      <c r="VPC46" s="672"/>
      <c r="VPD46" s="672"/>
      <c r="VPE46" s="672"/>
      <c r="VPF46" s="672"/>
      <c r="VPG46" s="672"/>
      <c r="VPH46" s="672"/>
      <c r="VPI46" s="672"/>
      <c r="VPJ46" s="672"/>
      <c r="VPK46" s="672"/>
      <c r="VPL46" s="672"/>
      <c r="VPM46" s="672"/>
      <c r="VPN46" s="672"/>
      <c r="VPO46" s="672"/>
      <c r="VPP46" s="672"/>
      <c r="VPQ46" s="672"/>
      <c r="VPR46" s="672"/>
      <c r="VPS46" s="672"/>
      <c r="VPT46" s="672"/>
      <c r="VPU46" s="672"/>
      <c r="VPV46" s="672"/>
      <c r="VPW46" s="672"/>
      <c r="VPX46" s="672"/>
      <c r="VPY46" s="672"/>
      <c r="VPZ46" s="672"/>
      <c r="VQA46" s="672"/>
      <c r="VQB46" s="672"/>
      <c r="VQC46" s="672"/>
      <c r="VQD46" s="672"/>
      <c r="VQE46" s="672"/>
      <c r="VQF46" s="672"/>
      <c r="VQG46" s="672"/>
      <c r="VQH46" s="672"/>
      <c r="VQI46" s="672"/>
      <c r="VQJ46" s="672"/>
      <c r="VQK46" s="672"/>
      <c r="VQL46" s="672"/>
      <c r="VQM46" s="672"/>
      <c r="VQN46" s="672"/>
      <c r="VQO46" s="672"/>
      <c r="VQP46" s="672"/>
      <c r="VQQ46" s="672"/>
      <c r="VQR46" s="672"/>
      <c r="VQS46" s="672"/>
      <c r="VQT46" s="672"/>
      <c r="VQU46" s="672"/>
      <c r="VQV46" s="672"/>
      <c r="VQW46" s="672"/>
      <c r="VQX46" s="672"/>
      <c r="VQY46" s="672"/>
      <c r="VQZ46" s="672"/>
      <c r="VRA46" s="672"/>
      <c r="VRB46" s="672"/>
      <c r="VRC46" s="672"/>
      <c r="VRD46" s="672"/>
      <c r="VRE46" s="672"/>
      <c r="VRF46" s="672"/>
      <c r="VRG46" s="672"/>
      <c r="VRH46" s="672"/>
      <c r="VRI46" s="672"/>
      <c r="VRJ46" s="672"/>
      <c r="VRK46" s="672"/>
      <c r="VRL46" s="672"/>
      <c r="VRM46" s="672"/>
      <c r="VRN46" s="672"/>
      <c r="VRO46" s="672"/>
      <c r="VRP46" s="672"/>
      <c r="VRQ46" s="672"/>
      <c r="VRR46" s="672"/>
      <c r="VRS46" s="672"/>
      <c r="VRT46" s="672"/>
      <c r="VRU46" s="672"/>
      <c r="VRV46" s="672"/>
      <c r="VRW46" s="672"/>
      <c r="VRX46" s="672"/>
      <c r="VRY46" s="672"/>
      <c r="VRZ46" s="672"/>
      <c r="VSA46" s="672"/>
      <c r="VSB46" s="672"/>
      <c r="VSC46" s="672"/>
      <c r="VSD46" s="672"/>
      <c r="VSE46" s="672"/>
      <c r="VSF46" s="672"/>
      <c r="VSG46" s="672"/>
      <c r="VSH46" s="672"/>
      <c r="VSI46" s="672"/>
      <c r="VSJ46" s="672"/>
      <c r="VSK46" s="672"/>
      <c r="VSL46" s="672"/>
      <c r="VSM46" s="672"/>
      <c r="VSN46" s="672"/>
      <c r="VSO46" s="672"/>
      <c r="VSP46" s="672"/>
      <c r="VSQ46" s="672"/>
      <c r="VSR46" s="672"/>
      <c r="VSS46" s="672"/>
      <c r="VST46" s="672"/>
      <c r="VSU46" s="672"/>
      <c r="VSV46" s="672"/>
      <c r="VSW46" s="672"/>
      <c r="VSX46" s="672"/>
      <c r="VSY46" s="672"/>
      <c r="VSZ46" s="672"/>
      <c r="VTA46" s="672"/>
      <c r="VTB46" s="672"/>
      <c r="VTC46" s="672"/>
      <c r="VTD46" s="672"/>
      <c r="VTE46" s="672"/>
      <c r="VTF46" s="672"/>
      <c r="VTG46" s="672"/>
      <c r="VTH46" s="672"/>
      <c r="VTI46" s="672"/>
      <c r="VTJ46" s="672"/>
      <c r="VTK46" s="672"/>
      <c r="VTL46" s="672"/>
      <c r="VTM46" s="672"/>
      <c r="VTN46" s="672"/>
      <c r="VTO46" s="672"/>
      <c r="VTP46" s="672"/>
      <c r="VTQ46" s="672"/>
      <c r="VTR46" s="672"/>
      <c r="VTS46" s="672"/>
      <c r="VTT46" s="672"/>
      <c r="VTU46" s="672"/>
      <c r="VTV46" s="672"/>
      <c r="VTW46" s="672"/>
      <c r="VTX46" s="672"/>
      <c r="VTY46" s="672"/>
      <c r="VTZ46" s="672"/>
      <c r="VUA46" s="672"/>
      <c r="VUB46" s="672"/>
      <c r="VUC46" s="672"/>
      <c r="VUD46" s="672"/>
      <c r="VUE46" s="672"/>
      <c r="VUF46" s="672"/>
      <c r="VUG46" s="672"/>
      <c r="VUH46" s="672"/>
      <c r="VUI46" s="672"/>
      <c r="VUJ46" s="672"/>
      <c r="VUK46" s="672"/>
      <c r="VUL46" s="672"/>
      <c r="VUM46" s="672"/>
      <c r="VUN46" s="672"/>
      <c r="VUO46" s="672"/>
      <c r="VUP46" s="672"/>
      <c r="VUQ46" s="672"/>
      <c r="VUR46" s="672"/>
      <c r="VUS46" s="672"/>
      <c r="VUT46" s="672"/>
      <c r="VUU46" s="672"/>
      <c r="VUV46" s="672"/>
      <c r="VUW46" s="672"/>
      <c r="VUX46" s="672"/>
      <c r="VUY46" s="672"/>
      <c r="VUZ46" s="672"/>
      <c r="VVA46" s="672"/>
      <c r="VVB46" s="672"/>
      <c r="VVC46" s="672"/>
      <c r="VVD46" s="672"/>
      <c r="VVE46" s="672"/>
      <c r="VVF46" s="672"/>
      <c r="VVG46" s="672"/>
      <c r="VVH46" s="672"/>
      <c r="VVI46" s="672"/>
      <c r="VVJ46" s="672"/>
      <c r="VVK46" s="672"/>
      <c r="VVL46" s="672"/>
      <c r="VVM46" s="672"/>
      <c r="VVN46" s="672"/>
      <c r="VVO46" s="672"/>
      <c r="VVP46" s="672"/>
      <c r="VVQ46" s="672"/>
      <c r="VVR46" s="672"/>
      <c r="VVS46" s="672"/>
      <c r="VVT46" s="672"/>
      <c r="VVU46" s="672"/>
      <c r="VVV46" s="672"/>
      <c r="VVW46" s="672"/>
      <c r="VVX46" s="672"/>
      <c r="VVY46" s="672"/>
      <c r="VVZ46" s="672"/>
      <c r="VWA46" s="672"/>
      <c r="VWB46" s="672"/>
      <c r="VWC46" s="672"/>
      <c r="VWD46" s="672"/>
      <c r="VWE46" s="672"/>
      <c r="VWF46" s="672"/>
      <c r="VWG46" s="672"/>
      <c r="VWH46" s="672"/>
      <c r="VWI46" s="672"/>
      <c r="VWJ46" s="672"/>
      <c r="VWK46" s="672"/>
      <c r="VWL46" s="672"/>
      <c r="VWM46" s="672"/>
      <c r="VWN46" s="672"/>
      <c r="VWO46" s="672"/>
      <c r="VWP46" s="672"/>
      <c r="VWQ46" s="672"/>
      <c r="VWR46" s="672"/>
      <c r="VWS46" s="672"/>
      <c r="VWT46" s="672"/>
      <c r="VWU46" s="672"/>
      <c r="VWV46" s="672"/>
      <c r="VWW46" s="672"/>
      <c r="VWX46" s="672"/>
      <c r="VWY46" s="672"/>
      <c r="VWZ46" s="672"/>
      <c r="VXA46" s="672"/>
      <c r="VXB46" s="672"/>
      <c r="VXC46" s="672"/>
      <c r="VXD46" s="672"/>
      <c r="VXE46" s="672"/>
      <c r="VXF46" s="672"/>
      <c r="VXG46" s="672"/>
      <c r="VXH46" s="672"/>
      <c r="VXI46" s="672"/>
      <c r="VXJ46" s="672"/>
      <c r="VXK46" s="672"/>
      <c r="VXL46" s="672"/>
      <c r="VXM46" s="672"/>
      <c r="VXN46" s="672"/>
      <c r="VXO46" s="672"/>
      <c r="VXP46" s="672"/>
      <c r="VXQ46" s="672"/>
      <c r="VXR46" s="672"/>
      <c r="VXS46" s="672"/>
      <c r="VXT46" s="672"/>
      <c r="VXU46" s="672"/>
      <c r="VXV46" s="672"/>
      <c r="VXW46" s="672"/>
      <c r="VXX46" s="672"/>
      <c r="VXY46" s="672"/>
      <c r="VXZ46" s="672"/>
      <c r="VYA46" s="672"/>
      <c r="VYB46" s="672"/>
      <c r="VYC46" s="672"/>
      <c r="VYD46" s="672"/>
      <c r="VYE46" s="672"/>
      <c r="VYF46" s="672"/>
      <c r="VYG46" s="672"/>
      <c r="VYH46" s="672"/>
      <c r="VYI46" s="672"/>
      <c r="VYJ46" s="672"/>
      <c r="VYK46" s="672"/>
      <c r="VYL46" s="672"/>
      <c r="VYM46" s="672"/>
      <c r="VYN46" s="672"/>
      <c r="VYO46" s="672"/>
      <c r="VYP46" s="672"/>
      <c r="VYQ46" s="672"/>
      <c r="VYR46" s="672"/>
      <c r="VYS46" s="672"/>
      <c r="VYT46" s="672"/>
      <c r="VYU46" s="672"/>
      <c r="VYV46" s="672"/>
      <c r="VYW46" s="672"/>
      <c r="VYX46" s="672"/>
      <c r="VYY46" s="672"/>
      <c r="VYZ46" s="672"/>
      <c r="VZA46" s="672"/>
      <c r="VZB46" s="672"/>
      <c r="VZC46" s="672"/>
      <c r="VZD46" s="672"/>
      <c r="VZE46" s="672"/>
      <c r="VZF46" s="672"/>
      <c r="VZG46" s="672"/>
      <c r="VZH46" s="672"/>
      <c r="VZI46" s="672"/>
      <c r="VZJ46" s="672"/>
      <c r="VZK46" s="672"/>
      <c r="VZL46" s="672"/>
      <c r="VZM46" s="672"/>
      <c r="VZN46" s="672"/>
      <c r="VZO46" s="672"/>
      <c r="VZP46" s="672"/>
      <c r="VZQ46" s="672"/>
      <c r="VZR46" s="672"/>
      <c r="VZS46" s="672"/>
      <c r="VZT46" s="672"/>
      <c r="VZU46" s="672"/>
      <c r="VZV46" s="672"/>
      <c r="VZW46" s="672"/>
      <c r="VZX46" s="672"/>
      <c r="VZY46" s="672"/>
      <c r="VZZ46" s="672"/>
      <c r="WAA46" s="672"/>
      <c r="WAB46" s="672"/>
      <c r="WAC46" s="672"/>
      <c r="WAD46" s="672"/>
      <c r="WAE46" s="672"/>
      <c r="WAF46" s="672"/>
      <c r="WAG46" s="672"/>
      <c r="WAH46" s="672"/>
      <c r="WAI46" s="672"/>
      <c r="WAJ46" s="672"/>
      <c r="WAK46" s="672"/>
      <c r="WAL46" s="672"/>
      <c r="WAM46" s="672"/>
      <c r="WAN46" s="672"/>
      <c r="WAO46" s="672"/>
      <c r="WAP46" s="672"/>
      <c r="WAQ46" s="672"/>
      <c r="WAR46" s="672"/>
      <c r="WAS46" s="672"/>
      <c r="WAT46" s="672"/>
      <c r="WAU46" s="672"/>
      <c r="WAV46" s="672"/>
      <c r="WAW46" s="672"/>
      <c r="WAX46" s="672"/>
      <c r="WAY46" s="672"/>
      <c r="WAZ46" s="672"/>
      <c r="WBA46" s="672"/>
      <c r="WBB46" s="672"/>
      <c r="WBC46" s="672"/>
      <c r="WBD46" s="672"/>
      <c r="WBE46" s="672"/>
      <c r="WBF46" s="672"/>
      <c r="WBG46" s="672"/>
      <c r="WBH46" s="672"/>
      <c r="WBI46" s="672"/>
      <c r="WBJ46" s="672"/>
      <c r="WBK46" s="672"/>
      <c r="WBL46" s="672"/>
      <c r="WBM46" s="672"/>
      <c r="WBN46" s="672"/>
      <c r="WBO46" s="672"/>
      <c r="WBP46" s="672"/>
      <c r="WBQ46" s="672"/>
      <c r="WBR46" s="672"/>
      <c r="WBS46" s="672"/>
      <c r="WBT46" s="672"/>
      <c r="WBU46" s="672"/>
      <c r="WBV46" s="672"/>
      <c r="WBW46" s="672"/>
      <c r="WBX46" s="672"/>
      <c r="WBY46" s="672"/>
      <c r="WBZ46" s="672"/>
      <c r="WCA46" s="672"/>
      <c r="WCB46" s="672"/>
      <c r="WCC46" s="672"/>
      <c r="WCD46" s="672"/>
      <c r="WCE46" s="672"/>
      <c r="WCF46" s="672"/>
      <c r="WCG46" s="672"/>
      <c r="WCH46" s="672"/>
      <c r="WCI46" s="672"/>
      <c r="WCJ46" s="672"/>
      <c r="WCK46" s="672"/>
      <c r="WCL46" s="672"/>
      <c r="WCM46" s="672"/>
      <c r="WCN46" s="672"/>
      <c r="WCO46" s="672"/>
      <c r="WCP46" s="672"/>
      <c r="WCQ46" s="672"/>
      <c r="WCR46" s="672"/>
      <c r="WCS46" s="672"/>
      <c r="WCT46" s="672"/>
      <c r="WCU46" s="672"/>
      <c r="WCV46" s="672"/>
      <c r="WCW46" s="672"/>
      <c r="WCX46" s="672"/>
      <c r="WCY46" s="672"/>
      <c r="WCZ46" s="672"/>
      <c r="WDA46" s="672"/>
      <c r="WDB46" s="672"/>
      <c r="WDC46" s="672"/>
      <c r="WDD46" s="672"/>
      <c r="WDE46" s="672"/>
      <c r="WDF46" s="672"/>
      <c r="WDG46" s="672"/>
      <c r="WDH46" s="672"/>
      <c r="WDI46" s="672"/>
      <c r="WDJ46" s="672"/>
      <c r="WDK46" s="672"/>
      <c r="WDL46" s="672"/>
      <c r="WDM46" s="672"/>
      <c r="WDN46" s="672"/>
      <c r="WDO46" s="672"/>
      <c r="WDP46" s="672"/>
      <c r="WDQ46" s="672"/>
      <c r="WDR46" s="672"/>
      <c r="WDS46" s="672"/>
      <c r="WDT46" s="672"/>
      <c r="WDU46" s="672"/>
      <c r="WDV46" s="672"/>
      <c r="WDW46" s="672"/>
      <c r="WDX46" s="672"/>
      <c r="WDY46" s="672"/>
      <c r="WDZ46" s="672"/>
      <c r="WEA46" s="672"/>
      <c r="WEB46" s="672"/>
      <c r="WEC46" s="672"/>
      <c r="WED46" s="672"/>
      <c r="WEE46" s="672"/>
      <c r="WEF46" s="672"/>
      <c r="WEG46" s="672"/>
      <c r="WEH46" s="672"/>
      <c r="WEI46" s="672"/>
      <c r="WEJ46" s="672"/>
      <c r="WEK46" s="672"/>
      <c r="WEL46" s="672"/>
      <c r="WEM46" s="672"/>
      <c r="WEN46" s="672"/>
      <c r="WEO46" s="672"/>
      <c r="WEP46" s="672"/>
      <c r="WEQ46" s="672"/>
      <c r="WER46" s="672"/>
      <c r="WES46" s="672"/>
      <c r="WET46" s="672"/>
      <c r="WEU46" s="672"/>
      <c r="WEV46" s="672"/>
      <c r="WEW46" s="672"/>
      <c r="WEX46" s="672"/>
      <c r="WEY46" s="672"/>
      <c r="WEZ46" s="672"/>
      <c r="WFA46" s="672"/>
      <c r="WFB46" s="672"/>
      <c r="WFC46" s="672"/>
      <c r="WFD46" s="672"/>
      <c r="WFE46" s="672"/>
      <c r="WFF46" s="672"/>
      <c r="WFG46" s="672"/>
      <c r="WFH46" s="672"/>
      <c r="WFI46" s="672"/>
      <c r="WFJ46" s="672"/>
      <c r="WFK46" s="672"/>
      <c r="WFL46" s="672"/>
      <c r="WFM46" s="672"/>
      <c r="WFN46" s="672"/>
      <c r="WFO46" s="672"/>
      <c r="WFP46" s="672"/>
      <c r="WFQ46" s="672"/>
      <c r="WFR46" s="672"/>
      <c r="WFS46" s="672"/>
      <c r="WFT46" s="672"/>
      <c r="WFU46" s="672"/>
      <c r="WFV46" s="672"/>
      <c r="WFW46" s="672"/>
      <c r="WFX46" s="672"/>
      <c r="WFY46" s="672"/>
      <c r="WFZ46" s="672"/>
      <c r="WGA46" s="672"/>
      <c r="WGB46" s="672"/>
      <c r="WGC46" s="672"/>
      <c r="WGD46" s="672"/>
      <c r="WGE46" s="672"/>
      <c r="WGF46" s="672"/>
      <c r="WGG46" s="672"/>
      <c r="WGH46" s="672"/>
      <c r="WGI46" s="672"/>
      <c r="WGJ46" s="672"/>
      <c r="WGK46" s="672"/>
      <c r="WGL46" s="672"/>
      <c r="WGM46" s="672"/>
      <c r="WGN46" s="672"/>
      <c r="WGO46" s="672"/>
      <c r="WGP46" s="672"/>
      <c r="WGQ46" s="672"/>
      <c r="WGR46" s="672"/>
      <c r="WGS46" s="672"/>
      <c r="WGT46" s="672"/>
      <c r="WGU46" s="672"/>
      <c r="WGV46" s="672"/>
      <c r="WGW46" s="672"/>
      <c r="WGX46" s="672"/>
      <c r="WGY46" s="672"/>
      <c r="WGZ46" s="672"/>
      <c r="WHA46" s="672"/>
      <c r="WHB46" s="672"/>
      <c r="WHC46" s="672"/>
      <c r="WHD46" s="672"/>
      <c r="WHE46" s="672"/>
      <c r="WHF46" s="672"/>
      <c r="WHG46" s="672"/>
      <c r="WHH46" s="672"/>
      <c r="WHI46" s="672"/>
      <c r="WHJ46" s="672"/>
      <c r="WHK46" s="672"/>
      <c r="WHL46" s="672"/>
      <c r="WHM46" s="672"/>
      <c r="WHN46" s="672"/>
      <c r="WHO46" s="672"/>
      <c r="WHP46" s="672"/>
      <c r="WHQ46" s="672"/>
      <c r="WHR46" s="672"/>
      <c r="WHS46" s="672"/>
      <c r="WHT46" s="672"/>
      <c r="WHU46" s="672"/>
      <c r="WHV46" s="672"/>
      <c r="WHW46" s="672"/>
      <c r="WHX46" s="672"/>
      <c r="WHY46" s="672"/>
      <c r="WHZ46" s="672"/>
      <c r="WIA46" s="672"/>
      <c r="WIB46" s="672"/>
      <c r="WIC46" s="672"/>
      <c r="WID46" s="672"/>
      <c r="WIE46" s="672"/>
      <c r="WIF46" s="672"/>
      <c r="WIG46" s="672"/>
      <c r="WIH46" s="672"/>
      <c r="WII46" s="672"/>
      <c r="WIJ46" s="672"/>
      <c r="WIK46" s="672"/>
      <c r="WIL46" s="672"/>
      <c r="WIM46" s="672"/>
      <c r="WIN46" s="672"/>
      <c r="WIO46" s="672"/>
      <c r="WIP46" s="672"/>
      <c r="WIQ46" s="672"/>
      <c r="WIR46" s="672"/>
      <c r="WIS46" s="672"/>
      <c r="WIT46" s="672"/>
      <c r="WIU46" s="672"/>
      <c r="WIV46" s="672"/>
      <c r="WIW46" s="672"/>
      <c r="WIX46" s="672"/>
      <c r="WIY46" s="672"/>
      <c r="WIZ46" s="672"/>
      <c r="WJA46" s="672"/>
      <c r="WJB46" s="672"/>
      <c r="WJC46" s="672"/>
      <c r="WJD46" s="672"/>
      <c r="WJE46" s="672"/>
      <c r="WJF46" s="672"/>
      <c r="WJG46" s="672"/>
      <c r="WJH46" s="672"/>
      <c r="WJI46" s="672"/>
      <c r="WJJ46" s="672"/>
      <c r="WJK46" s="672"/>
      <c r="WJL46" s="672"/>
      <c r="WJM46" s="672"/>
      <c r="WJN46" s="672"/>
      <c r="WJO46" s="672"/>
      <c r="WJP46" s="672"/>
      <c r="WJQ46" s="672"/>
      <c r="WJR46" s="672"/>
      <c r="WJS46" s="672"/>
      <c r="WJT46" s="672"/>
      <c r="WJU46" s="672"/>
      <c r="WJV46" s="672"/>
      <c r="WJW46" s="672"/>
      <c r="WJX46" s="672"/>
      <c r="WJY46" s="672"/>
      <c r="WJZ46" s="672"/>
      <c r="WKA46" s="672"/>
      <c r="WKB46" s="672"/>
      <c r="WKC46" s="672"/>
      <c r="WKD46" s="672"/>
      <c r="WKE46" s="672"/>
      <c r="WKF46" s="672"/>
      <c r="WKG46" s="672"/>
      <c r="WKH46" s="672"/>
      <c r="WKI46" s="672"/>
      <c r="WKJ46" s="672"/>
      <c r="WKK46" s="672"/>
      <c r="WKL46" s="672"/>
      <c r="WKM46" s="672"/>
      <c r="WKN46" s="672"/>
      <c r="WKO46" s="672"/>
      <c r="WKP46" s="672"/>
      <c r="WKQ46" s="672"/>
      <c r="WKR46" s="672"/>
      <c r="WKS46" s="672"/>
      <c r="WKT46" s="672"/>
      <c r="WKU46" s="672"/>
      <c r="WKV46" s="672"/>
      <c r="WKW46" s="672"/>
      <c r="WKX46" s="672"/>
      <c r="WKY46" s="672"/>
      <c r="WKZ46" s="672"/>
      <c r="WLA46" s="672"/>
      <c r="WLB46" s="672"/>
      <c r="WLC46" s="672"/>
      <c r="WLD46" s="672"/>
      <c r="WLE46" s="672"/>
      <c r="WLF46" s="672"/>
      <c r="WLG46" s="672"/>
      <c r="WLH46" s="672"/>
      <c r="WLI46" s="672"/>
      <c r="WLJ46" s="672"/>
      <c r="WLK46" s="672"/>
      <c r="WLL46" s="672"/>
      <c r="WLM46" s="672"/>
      <c r="WLN46" s="672"/>
      <c r="WLO46" s="672"/>
      <c r="WLP46" s="672"/>
      <c r="WLQ46" s="672"/>
      <c r="WLR46" s="672"/>
      <c r="WLS46" s="672"/>
      <c r="WLT46" s="672"/>
      <c r="WLU46" s="672"/>
      <c r="WLV46" s="672"/>
      <c r="WLW46" s="672"/>
      <c r="WLX46" s="672"/>
      <c r="WLY46" s="672"/>
      <c r="WLZ46" s="672"/>
      <c r="WMA46" s="672"/>
      <c r="WMB46" s="672"/>
      <c r="WMC46" s="672"/>
      <c r="WMD46" s="672"/>
      <c r="WME46" s="672"/>
      <c r="WMF46" s="672"/>
      <c r="WMG46" s="672"/>
      <c r="WMH46" s="672"/>
      <c r="WMI46" s="672"/>
      <c r="WMJ46" s="672"/>
      <c r="WMK46" s="672"/>
      <c r="WML46" s="672"/>
      <c r="WMM46" s="672"/>
      <c r="WMN46" s="672"/>
      <c r="WMO46" s="672"/>
      <c r="WMP46" s="672"/>
      <c r="WMQ46" s="672"/>
      <c r="WMR46" s="672"/>
      <c r="WMS46" s="672"/>
      <c r="WMT46" s="672"/>
      <c r="WMU46" s="672"/>
      <c r="WMV46" s="672"/>
      <c r="WMW46" s="672"/>
      <c r="WMX46" s="672"/>
      <c r="WMY46" s="672"/>
      <c r="WMZ46" s="672"/>
      <c r="WNA46" s="672"/>
      <c r="WNB46" s="672"/>
      <c r="WNC46" s="672"/>
      <c r="WND46" s="672"/>
      <c r="WNE46" s="672"/>
      <c r="WNF46" s="672"/>
      <c r="WNG46" s="672"/>
      <c r="WNH46" s="672"/>
      <c r="WNI46" s="672"/>
      <c r="WNJ46" s="672"/>
      <c r="WNK46" s="672"/>
      <c r="WNL46" s="672"/>
      <c r="WNM46" s="672"/>
      <c r="WNN46" s="672"/>
      <c r="WNO46" s="672"/>
      <c r="WNP46" s="672"/>
      <c r="WNQ46" s="672"/>
      <c r="WNR46" s="672"/>
      <c r="WNS46" s="672"/>
      <c r="WNT46" s="672"/>
      <c r="WNU46" s="672"/>
      <c r="WNV46" s="672"/>
      <c r="WNW46" s="672"/>
      <c r="WNX46" s="672"/>
      <c r="WNY46" s="672"/>
      <c r="WNZ46" s="672"/>
      <c r="WOA46" s="672"/>
      <c r="WOB46" s="672"/>
      <c r="WOC46" s="672"/>
      <c r="WOD46" s="672"/>
      <c r="WOE46" s="672"/>
      <c r="WOF46" s="672"/>
      <c r="WOG46" s="672"/>
      <c r="WOH46" s="672"/>
      <c r="WOI46" s="672"/>
      <c r="WOJ46" s="672"/>
      <c r="WOK46" s="672"/>
      <c r="WOL46" s="672"/>
      <c r="WOM46" s="672"/>
      <c r="WON46" s="672"/>
      <c r="WOO46" s="672"/>
      <c r="WOP46" s="672"/>
      <c r="WOQ46" s="672"/>
      <c r="WOR46" s="672"/>
      <c r="WOS46" s="672"/>
      <c r="WOT46" s="672"/>
      <c r="WOU46" s="672"/>
      <c r="WOV46" s="672"/>
      <c r="WOW46" s="672"/>
      <c r="WOX46" s="672"/>
      <c r="WOY46" s="672"/>
      <c r="WOZ46" s="672"/>
      <c r="WPA46" s="672"/>
      <c r="WPB46" s="672"/>
      <c r="WPC46" s="672"/>
      <c r="WPD46" s="672"/>
      <c r="WPE46" s="672"/>
      <c r="WPF46" s="672"/>
      <c r="WPG46" s="672"/>
      <c r="WPH46" s="672"/>
      <c r="WPI46" s="672"/>
      <c r="WPJ46" s="672"/>
      <c r="WPK46" s="672"/>
      <c r="WPL46" s="672"/>
      <c r="WPM46" s="672"/>
      <c r="WPN46" s="672"/>
      <c r="WPO46" s="672"/>
      <c r="WPP46" s="672"/>
      <c r="WPQ46" s="672"/>
      <c r="WPR46" s="672"/>
      <c r="WPS46" s="672"/>
      <c r="WPT46" s="672"/>
      <c r="WPU46" s="672"/>
      <c r="WPV46" s="672"/>
      <c r="WPW46" s="672"/>
      <c r="WPX46" s="672"/>
      <c r="WPY46" s="672"/>
      <c r="WPZ46" s="672"/>
      <c r="WQA46" s="672"/>
      <c r="WQB46" s="672"/>
      <c r="WQC46" s="672"/>
      <c r="WQD46" s="672"/>
      <c r="WQE46" s="672"/>
      <c r="WQF46" s="672"/>
      <c r="WQG46" s="672"/>
      <c r="WQH46" s="672"/>
      <c r="WQI46" s="672"/>
      <c r="WQJ46" s="672"/>
      <c r="WQK46" s="672"/>
      <c r="WQL46" s="672"/>
      <c r="WQM46" s="672"/>
      <c r="WQN46" s="672"/>
      <c r="WQO46" s="672"/>
      <c r="WQP46" s="672"/>
      <c r="WQQ46" s="672"/>
      <c r="WQR46" s="672"/>
      <c r="WQS46" s="672"/>
      <c r="WQT46" s="672"/>
      <c r="WQU46" s="672"/>
      <c r="WQV46" s="672"/>
      <c r="WQW46" s="672"/>
      <c r="WQX46" s="672"/>
      <c r="WQY46" s="672"/>
      <c r="WQZ46" s="672"/>
      <c r="WRA46" s="672"/>
      <c r="WRB46" s="672"/>
      <c r="WRC46" s="672"/>
      <c r="WRD46" s="672"/>
      <c r="WRE46" s="672"/>
      <c r="WRF46" s="672"/>
      <c r="WRG46" s="672"/>
      <c r="WRH46" s="672"/>
      <c r="WRI46" s="672"/>
      <c r="WRJ46" s="672"/>
      <c r="WRK46" s="672"/>
      <c r="WRL46" s="672"/>
      <c r="WRM46" s="672"/>
      <c r="WRN46" s="672"/>
      <c r="WRO46" s="672"/>
      <c r="WRP46" s="672"/>
      <c r="WRQ46" s="672"/>
      <c r="WRR46" s="672"/>
      <c r="WRS46" s="672"/>
      <c r="WRT46" s="672"/>
      <c r="WRU46" s="672"/>
      <c r="WRV46" s="672"/>
      <c r="WRW46" s="672"/>
      <c r="WRX46" s="672"/>
      <c r="WRY46" s="672"/>
      <c r="WRZ46" s="672"/>
      <c r="WSA46" s="672"/>
      <c r="WSB46" s="672"/>
      <c r="WSC46" s="672"/>
      <c r="WSD46" s="672"/>
      <c r="WSE46" s="672"/>
      <c r="WSF46" s="672"/>
      <c r="WSG46" s="672"/>
      <c r="WSH46" s="672"/>
      <c r="WSI46" s="672"/>
      <c r="WSJ46" s="672"/>
      <c r="WSK46" s="672"/>
      <c r="WSL46" s="672"/>
      <c r="WSM46" s="672"/>
      <c r="WSN46" s="672"/>
      <c r="WSO46" s="672"/>
      <c r="WSP46" s="672"/>
      <c r="WSQ46" s="672"/>
      <c r="WSR46" s="672"/>
      <c r="WSS46" s="672"/>
      <c r="WST46" s="672"/>
      <c r="WSU46" s="672"/>
      <c r="WSV46" s="672"/>
      <c r="WSW46" s="672"/>
      <c r="WSX46" s="672"/>
      <c r="WSY46" s="672"/>
      <c r="WSZ46" s="672"/>
      <c r="WTA46" s="672"/>
      <c r="WTB46" s="672"/>
      <c r="WTC46" s="672"/>
      <c r="WTD46" s="672"/>
      <c r="WTE46" s="672"/>
      <c r="WTF46" s="672"/>
      <c r="WTG46" s="672"/>
      <c r="WTH46" s="672"/>
      <c r="WTI46" s="672"/>
      <c r="WTJ46" s="672"/>
      <c r="WTK46" s="672"/>
      <c r="WTL46" s="672"/>
      <c r="WTM46" s="672"/>
      <c r="WTN46" s="672"/>
      <c r="WTO46" s="672"/>
      <c r="WTP46" s="672"/>
      <c r="WTQ46" s="672"/>
      <c r="WTR46" s="672"/>
      <c r="WTS46" s="672"/>
      <c r="WTT46" s="672"/>
      <c r="WTU46" s="672"/>
      <c r="WTV46" s="672"/>
      <c r="WTW46" s="672"/>
      <c r="WTX46" s="672"/>
      <c r="WTY46" s="672"/>
      <c r="WTZ46" s="672"/>
      <c r="WUA46" s="672"/>
      <c r="WUB46" s="672"/>
      <c r="WUC46" s="672"/>
      <c r="WUD46" s="672"/>
      <c r="WUE46" s="672"/>
      <c r="WUF46" s="672"/>
      <c r="WUG46" s="672"/>
      <c r="WUH46" s="672"/>
      <c r="WUI46" s="672"/>
      <c r="WUJ46" s="672"/>
      <c r="WUK46" s="672"/>
      <c r="WUL46" s="672"/>
      <c r="WUM46" s="672"/>
      <c r="WUN46" s="672"/>
      <c r="WUO46" s="672"/>
      <c r="WUP46" s="672"/>
      <c r="WUQ46" s="672"/>
      <c r="WUR46" s="672"/>
      <c r="WUS46" s="672"/>
      <c r="WUT46" s="672"/>
      <c r="WUU46" s="672"/>
      <c r="WUV46" s="672"/>
      <c r="WUW46" s="672"/>
      <c r="WUX46" s="672"/>
      <c r="WUY46" s="672"/>
      <c r="WUZ46" s="672"/>
      <c r="WVA46" s="672"/>
      <c r="WVB46" s="672"/>
      <c r="WVC46" s="672"/>
      <c r="WVD46" s="672"/>
      <c r="WVE46" s="672"/>
      <c r="WVF46" s="672"/>
      <c r="WVG46" s="672"/>
      <c r="WVH46" s="672"/>
      <c r="WVI46" s="672"/>
      <c r="WVJ46" s="672"/>
      <c r="WVK46" s="672"/>
      <c r="WVL46" s="672"/>
      <c r="WVM46" s="672"/>
      <c r="WVN46" s="672"/>
      <c r="WVO46" s="672"/>
      <c r="WVP46" s="672"/>
      <c r="WVQ46" s="672"/>
      <c r="WVR46" s="672"/>
      <c r="WVS46" s="672"/>
      <c r="WVT46" s="672"/>
      <c r="WVU46" s="672"/>
      <c r="WVV46" s="672"/>
      <c r="WVW46" s="672"/>
      <c r="WVX46" s="672"/>
      <c r="WVY46" s="672"/>
      <c r="WVZ46" s="672"/>
      <c r="WWA46" s="672"/>
      <c r="WWB46" s="672"/>
      <c r="WWC46" s="672"/>
      <c r="WWD46" s="672"/>
      <c r="WWE46" s="672"/>
      <c r="WWF46" s="672"/>
      <c r="WWG46" s="672"/>
      <c r="WWH46" s="672"/>
      <c r="WWI46" s="672"/>
      <c r="WWJ46" s="672"/>
      <c r="WWK46" s="672"/>
      <c r="WWL46" s="672"/>
      <c r="WWM46" s="672"/>
      <c r="WWN46" s="672"/>
      <c r="WWO46" s="672"/>
      <c r="WWP46" s="672"/>
      <c r="WWQ46" s="672"/>
      <c r="WWR46" s="672"/>
      <c r="WWS46" s="672"/>
      <c r="WWT46" s="672"/>
      <c r="WWU46" s="672"/>
      <c r="WWV46" s="672"/>
      <c r="WWW46" s="672"/>
      <c r="WWX46" s="672"/>
      <c r="WWY46" s="672"/>
      <c r="WWZ46" s="672"/>
      <c r="WXA46" s="672"/>
      <c r="WXB46" s="672"/>
      <c r="WXC46" s="672"/>
      <c r="WXD46" s="672"/>
      <c r="WXE46" s="672"/>
      <c r="WXF46" s="672"/>
      <c r="WXG46" s="672"/>
      <c r="WXH46" s="672"/>
      <c r="WXI46" s="672"/>
      <c r="WXJ46" s="672"/>
      <c r="WXK46" s="672"/>
      <c r="WXL46" s="672"/>
      <c r="WXM46" s="672"/>
      <c r="WXN46" s="672"/>
      <c r="WXO46" s="672"/>
      <c r="WXP46" s="672"/>
      <c r="WXQ46" s="672"/>
      <c r="WXR46" s="672"/>
      <c r="WXS46" s="672"/>
      <c r="WXT46" s="672"/>
      <c r="WXU46" s="672"/>
      <c r="WXV46" s="672"/>
      <c r="WXW46" s="672"/>
      <c r="WXX46" s="672"/>
      <c r="WXY46" s="672"/>
      <c r="WXZ46" s="672"/>
      <c r="WYA46" s="672"/>
      <c r="WYB46" s="672"/>
      <c r="WYC46" s="672"/>
      <c r="WYD46" s="672"/>
      <c r="WYE46" s="672"/>
      <c r="WYF46" s="672"/>
      <c r="WYG46" s="672"/>
      <c r="WYH46" s="672"/>
      <c r="WYI46" s="672"/>
      <c r="WYJ46" s="672"/>
      <c r="WYK46" s="672"/>
      <c r="WYL46" s="672"/>
      <c r="WYM46" s="672"/>
      <c r="WYN46" s="672"/>
      <c r="WYO46" s="672"/>
      <c r="WYP46" s="672"/>
      <c r="WYQ46" s="672"/>
      <c r="WYR46" s="672"/>
      <c r="WYS46" s="672"/>
      <c r="WYT46" s="672"/>
      <c r="WYU46" s="672"/>
      <c r="WYV46" s="672"/>
      <c r="WYW46" s="672"/>
      <c r="WYX46" s="672"/>
      <c r="WYY46" s="672"/>
      <c r="WYZ46" s="672"/>
      <c r="WZA46" s="672"/>
      <c r="WZB46" s="672"/>
      <c r="WZC46" s="672"/>
      <c r="WZD46" s="672"/>
      <c r="WZE46" s="672"/>
      <c r="WZF46" s="672"/>
      <c r="WZG46" s="672"/>
      <c r="WZH46" s="672"/>
      <c r="WZI46" s="672"/>
      <c r="WZJ46" s="672"/>
      <c r="WZK46" s="672"/>
      <c r="WZL46" s="672"/>
      <c r="WZM46" s="672"/>
      <c r="WZN46" s="672"/>
      <c r="WZO46" s="672"/>
      <c r="WZP46" s="672"/>
      <c r="WZQ46" s="672"/>
      <c r="WZR46" s="672"/>
      <c r="WZS46" s="672"/>
      <c r="WZT46" s="672"/>
      <c r="WZU46" s="672"/>
      <c r="WZV46" s="672"/>
      <c r="WZW46" s="672"/>
      <c r="WZX46" s="672"/>
      <c r="WZY46" s="672"/>
      <c r="WZZ46" s="672"/>
      <c r="XAA46" s="672"/>
      <c r="XAB46" s="672"/>
      <c r="XAC46" s="672"/>
      <c r="XAD46" s="672"/>
      <c r="XAE46" s="672"/>
      <c r="XAF46" s="672"/>
      <c r="XAG46" s="672"/>
      <c r="XAH46" s="672"/>
      <c r="XAI46" s="672"/>
      <c r="XAJ46" s="672"/>
      <c r="XAK46" s="672"/>
      <c r="XAL46" s="672"/>
      <c r="XAM46" s="672"/>
      <c r="XAN46" s="672"/>
      <c r="XAO46" s="672"/>
      <c r="XAP46" s="672"/>
      <c r="XAQ46" s="672"/>
      <c r="XAR46" s="672"/>
      <c r="XAS46" s="672"/>
      <c r="XAT46" s="672"/>
      <c r="XAU46" s="672"/>
      <c r="XAV46" s="672"/>
      <c r="XAW46" s="672"/>
      <c r="XAX46" s="672"/>
      <c r="XAY46" s="672"/>
      <c r="XAZ46" s="672"/>
      <c r="XBA46" s="672"/>
      <c r="XBB46" s="672"/>
      <c r="XBC46" s="672"/>
      <c r="XBD46" s="672"/>
      <c r="XBE46" s="672"/>
      <c r="XBF46" s="672"/>
      <c r="XBG46" s="672"/>
      <c r="XBH46" s="672"/>
      <c r="XBI46" s="672"/>
      <c r="XBJ46" s="672"/>
      <c r="XBK46" s="672"/>
      <c r="XBL46" s="672"/>
      <c r="XBM46" s="672"/>
      <c r="XBN46" s="672"/>
      <c r="XBO46" s="672"/>
      <c r="XBP46" s="672"/>
      <c r="XBQ46" s="672"/>
      <c r="XBR46" s="672"/>
      <c r="XBS46" s="672"/>
      <c r="XBT46" s="672"/>
      <c r="XBU46" s="672"/>
      <c r="XBV46" s="672"/>
      <c r="XBW46" s="672"/>
      <c r="XBX46" s="672"/>
      <c r="XBY46" s="672"/>
      <c r="XBZ46" s="672"/>
      <c r="XCA46" s="672"/>
      <c r="XCB46" s="672"/>
      <c r="XCC46" s="672"/>
      <c r="XCD46" s="672"/>
      <c r="XCE46" s="672"/>
      <c r="XCF46" s="672"/>
      <c r="XCG46" s="672"/>
      <c r="XCH46" s="672"/>
      <c r="XCI46" s="672"/>
      <c r="XCJ46" s="672"/>
      <c r="XCK46" s="672"/>
      <c r="XCL46" s="672"/>
      <c r="XCM46" s="672"/>
      <c r="XCN46" s="672"/>
      <c r="XCO46" s="672"/>
      <c r="XCP46" s="672"/>
      <c r="XCQ46" s="672"/>
      <c r="XCR46" s="672"/>
      <c r="XCS46" s="672"/>
      <c r="XCT46" s="672"/>
      <c r="XCU46" s="672"/>
      <c r="XCV46" s="672"/>
      <c r="XCW46" s="672"/>
      <c r="XCX46" s="672"/>
      <c r="XCY46" s="672"/>
      <c r="XCZ46" s="672"/>
      <c r="XDA46" s="672"/>
      <c r="XDB46" s="672"/>
      <c r="XDC46" s="672"/>
      <c r="XDD46" s="672"/>
      <c r="XDE46" s="672"/>
      <c r="XDF46" s="672"/>
      <c r="XDG46" s="672"/>
      <c r="XDH46" s="672"/>
      <c r="XDI46" s="672"/>
      <c r="XDJ46" s="672"/>
      <c r="XDK46" s="672"/>
      <c r="XDL46" s="672"/>
      <c r="XDM46" s="672"/>
      <c r="XDN46" s="672"/>
      <c r="XDO46" s="672"/>
      <c r="XDP46" s="672"/>
      <c r="XDQ46" s="672"/>
      <c r="XDR46" s="672"/>
      <c r="XDS46" s="672"/>
      <c r="XDT46" s="672"/>
      <c r="XDU46" s="672"/>
      <c r="XDV46" s="672"/>
      <c r="XDW46" s="672"/>
      <c r="XDX46" s="672"/>
      <c r="XDY46" s="672"/>
      <c r="XDZ46" s="672"/>
      <c r="XEA46" s="672"/>
      <c r="XEB46" s="672"/>
      <c r="XEC46" s="672"/>
      <c r="XED46" s="672"/>
      <c r="XEE46" s="672"/>
      <c r="XEF46" s="672"/>
      <c r="XEG46" s="672"/>
      <c r="XEH46" s="672"/>
      <c r="XEI46" s="672"/>
      <c r="XEJ46" s="672"/>
      <c r="XEK46" s="672"/>
      <c r="XEL46" s="672"/>
      <c r="XEM46" s="672"/>
      <c r="XEN46" s="672"/>
      <c r="XEO46" s="672"/>
      <c r="XEP46" s="672"/>
      <c r="XEQ46" s="672"/>
      <c r="XER46" s="672"/>
      <c r="XES46" s="672"/>
      <c r="XET46" s="672"/>
      <c r="XEU46" s="672"/>
      <c r="XEV46" s="672"/>
      <c r="XEW46" s="672"/>
      <c r="XEX46" s="672"/>
      <c r="XEY46" s="672"/>
      <c r="XEZ46" s="672"/>
      <c r="XFA46" s="672"/>
      <c r="XFB46" s="672"/>
      <c r="XFC46" s="672"/>
      <c r="XFD46" s="672"/>
    </row>
    <row r="47" spans="1:16384" ht="13">
      <c r="A47" s="674" t="s">
        <v>530</v>
      </c>
      <c r="B47" s="687"/>
      <c r="C47" s="687"/>
      <c r="D47" s="687"/>
      <c r="E47" s="688">
        <f>E18/145</f>
        <v>5.4413793103448276</v>
      </c>
      <c r="F47" s="688">
        <f>F18/145</f>
        <v>5.4413793103448276</v>
      </c>
      <c r="G47" s="687"/>
      <c r="H47" s="687"/>
      <c r="I47" s="687"/>
      <c r="J47" s="687"/>
      <c r="K47" s="683" t="s">
        <v>48</v>
      </c>
      <c r="L47" s="674"/>
      <c r="M47" s="674"/>
      <c r="N47" s="674"/>
      <c r="O47" s="674"/>
      <c r="P47" s="674"/>
      <c r="Q47" s="674"/>
      <c r="R47" s="674"/>
      <c r="S47" s="674"/>
      <c r="T47" s="674"/>
      <c r="U47" s="674"/>
      <c r="V47" s="674"/>
      <c r="W47" s="674"/>
      <c r="X47" s="674"/>
      <c r="Y47" s="674"/>
      <c r="Z47" s="674"/>
      <c r="AA47" s="674"/>
      <c r="AB47" s="674"/>
      <c r="AC47" s="674"/>
      <c r="AD47" s="674"/>
      <c r="AE47" s="674"/>
      <c r="AF47" s="674"/>
      <c r="AG47" s="674"/>
      <c r="AH47" s="674"/>
      <c r="AI47" s="674"/>
      <c r="AJ47" s="674"/>
      <c r="AK47" s="674"/>
      <c r="AL47" s="674"/>
      <c r="AM47" s="674"/>
      <c r="AN47" s="674"/>
      <c r="AO47" s="674"/>
      <c r="AP47" s="674"/>
      <c r="AQ47" s="674"/>
      <c r="AR47" s="674"/>
      <c r="AS47" s="674"/>
      <c r="AT47" s="674"/>
      <c r="AU47" s="674"/>
      <c r="AV47" s="674"/>
      <c r="AW47" s="674"/>
      <c r="AX47" s="674"/>
      <c r="AY47" s="674"/>
      <c r="AZ47" s="674"/>
      <c r="BA47" s="674"/>
      <c r="BB47" s="674"/>
      <c r="BC47" s="674"/>
      <c r="BD47" s="674"/>
      <c r="BE47" s="674"/>
      <c r="BF47" s="674"/>
      <c r="BG47" s="674"/>
      <c r="BH47" s="674"/>
      <c r="BI47" s="674"/>
      <c r="BJ47" s="674"/>
      <c r="BK47" s="674"/>
      <c r="BL47" s="674"/>
      <c r="BM47" s="674"/>
      <c r="BN47" s="674"/>
      <c r="BO47" s="674"/>
      <c r="BP47" s="674"/>
      <c r="BQ47" s="674"/>
      <c r="BR47" s="674"/>
      <c r="BS47" s="674"/>
      <c r="BT47" s="674"/>
      <c r="BU47" s="674"/>
      <c r="BV47" s="674"/>
      <c r="BW47" s="674"/>
      <c r="BX47" s="674"/>
      <c r="BY47" s="674"/>
      <c r="BZ47" s="674"/>
      <c r="CA47" s="674"/>
      <c r="CB47" s="674"/>
      <c r="CC47" s="674"/>
      <c r="CD47" s="674"/>
      <c r="CE47" s="674"/>
      <c r="CF47" s="674"/>
      <c r="CG47" s="674"/>
      <c r="CH47" s="674"/>
      <c r="CI47" s="674"/>
      <c r="CJ47" s="674"/>
      <c r="CK47" s="674"/>
      <c r="CL47" s="674"/>
      <c r="CM47" s="674"/>
      <c r="CN47" s="674"/>
      <c r="CO47" s="674"/>
      <c r="CP47" s="674"/>
      <c r="CQ47" s="674"/>
      <c r="CR47" s="674"/>
      <c r="CS47" s="674"/>
      <c r="CT47" s="674"/>
      <c r="CU47" s="674"/>
      <c r="CV47" s="674"/>
      <c r="CW47" s="674"/>
      <c r="CX47" s="674"/>
      <c r="CY47" s="674"/>
      <c r="CZ47" s="674"/>
      <c r="DA47" s="674"/>
      <c r="DB47" s="674"/>
      <c r="DC47" s="674"/>
      <c r="DD47" s="674"/>
      <c r="DE47" s="674"/>
      <c r="DF47" s="674"/>
      <c r="DG47" s="674"/>
      <c r="DH47" s="674"/>
      <c r="DI47" s="674"/>
      <c r="DJ47" s="674"/>
      <c r="DK47" s="674"/>
      <c r="DL47" s="674"/>
      <c r="DM47" s="674"/>
      <c r="DN47" s="674"/>
      <c r="DO47" s="674"/>
      <c r="DP47" s="674"/>
      <c r="DQ47" s="674"/>
      <c r="DR47" s="674"/>
      <c r="DS47" s="674"/>
      <c r="DT47" s="674"/>
      <c r="DU47" s="674"/>
      <c r="DV47" s="674"/>
      <c r="DW47" s="674"/>
      <c r="DX47" s="674"/>
      <c r="DY47" s="674"/>
      <c r="DZ47" s="674"/>
      <c r="EA47" s="674"/>
      <c r="EB47" s="674"/>
      <c r="EC47" s="674"/>
      <c r="ED47" s="674"/>
      <c r="EE47" s="674"/>
      <c r="EF47" s="674"/>
      <c r="EG47" s="674"/>
      <c r="EH47" s="674"/>
      <c r="EI47" s="674"/>
      <c r="EJ47" s="674"/>
      <c r="EK47" s="674"/>
      <c r="EL47" s="674"/>
      <c r="EM47" s="674"/>
      <c r="EN47" s="674"/>
      <c r="EO47" s="674"/>
      <c r="EP47" s="674"/>
      <c r="EQ47" s="674"/>
      <c r="ER47" s="674"/>
      <c r="ES47" s="674"/>
      <c r="ET47" s="674"/>
      <c r="EU47" s="674"/>
      <c r="EV47" s="674"/>
      <c r="EW47" s="674"/>
      <c r="EX47" s="674"/>
      <c r="EY47" s="674"/>
      <c r="EZ47" s="674"/>
      <c r="FA47" s="674"/>
      <c r="FB47" s="674"/>
      <c r="FC47" s="674"/>
      <c r="FD47" s="674"/>
      <c r="FE47" s="674"/>
      <c r="FF47" s="674"/>
      <c r="FG47" s="674"/>
      <c r="FH47" s="674"/>
      <c r="FI47" s="674"/>
      <c r="FJ47" s="674"/>
      <c r="FK47" s="674"/>
      <c r="FL47" s="674"/>
      <c r="FM47" s="674"/>
      <c r="FN47" s="674"/>
      <c r="FO47" s="674"/>
      <c r="FP47" s="674"/>
      <c r="FQ47" s="674"/>
      <c r="FR47" s="674"/>
      <c r="FS47" s="674"/>
      <c r="FT47" s="674"/>
      <c r="FU47" s="674"/>
      <c r="FV47" s="674"/>
      <c r="FW47" s="674"/>
      <c r="FX47" s="674"/>
      <c r="FY47" s="674"/>
      <c r="FZ47" s="674"/>
      <c r="GA47" s="674"/>
      <c r="GB47" s="674"/>
      <c r="GC47" s="674"/>
      <c r="GD47" s="674"/>
      <c r="GE47" s="674"/>
      <c r="GF47" s="674"/>
      <c r="GG47" s="674"/>
      <c r="GH47" s="674"/>
      <c r="GI47" s="674"/>
      <c r="GJ47" s="674"/>
      <c r="GK47" s="674"/>
      <c r="GL47" s="674"/>
      <c r="GM47" s="674"/>
      <c r="GN47" s="674"/>
      <c r="GO47" s="674"/>
      <c r="GP47" s="674"/>
      <c r="GQ47" s="674"/>
      <c r="GR47" s="674"/>
      <c r="GS47" s="674"/>
      <c r="GT47" s="674"/>
      <c r="GU47" s="674"/>
      <c r="GV47" s="674"/>
      <c r="GW47" s="674"/>
      <c r="GX47" s="674"/>
      <c r="GY47" s="674"/>
      <c r="GZ47" s="674"/>
      <c r="HA47" s="674"/>
      <c r="HB47" s="674"/>
      <c r="HC47" s="674"/>
      <c r="HD47" s="674"/>
      <c r="HE47" s="674"/>
      <c r="HF47" s="674"/>
      <c r="HG47" s="674"/>
      <c r="HH47" s="674"/>
      <c r="HI47" s="674"/>
      <c r="HJ47" s="674"/>
      <c r="HK47" s="674"/>
      <c r="HL47" s="674"/>
      <c r="HM47" s="674"/>
      <c r="HN47" s="674"/>
      <c r="HO47" s="674"/>
      <c r="HP47" s="674"/>
      <c r="HQ47" s="674"/>
      <c r="HR47" s="674"/>
      <c r="HS47" s="674"/>
      <c r="HT47" s="674"/>
      <c r="HU47" s="674"/>
      <c r="HV47" s="674"/>
      <c r="HW47" s="674"/>
      <c r="HX47" s="674"/>
      <c r="HY47" s="674"/>
      <c r="HZ47" s="674"/>
      <c r="IA47" s="674"/>
      <c r="IB47" s="674"/>
      <c r="IC47" s="674"/>
      <c r="ID47" s="674"/>
      <c r="IE47" s="674"/>
      <c r="IF47" s="674"/>
      <c r="IG47" s="674"/>
      <c r="IH47" s="674"/>
      <c r="II47" s="674"/>
      <c r="IJ47" s="674"/>
      <c r="IK47" s="674"/>
      <c r="IL47" s="674"/>
      <c r="IM47" s="674"/>
      <c r="IN47" s="674"/>
      <c r="IO47" s="674"/>
      <c r="IP47" s="674"/>
      <c r="IQ47" s="674"/>
      <c r="IR47" s="674"/>
      <c r="IS47" s="674"/>
      <c r="IT47" s="674"/>
      <c r="IU47" s="674"/>
      <c r="IV47" s="674"/>
      <c r="IW47" s="674"/>
      <c r="IX47" s="674"/>
      <c r="IY47" s="674"/>
      <c r="IZ47" s="674"/>
      <c r="JA47" s="674"/>
      <c r="JB47" s="674"/>
      <c r="JC47" s="674"/>
      <c r="JD47" s="674"/>
      <c r="JE47" s="674"/>
      <c r="JF47" s="674"/>
      <c r="JG47" s="674"/>
      <c r="JH47" s="674"/>
      <c r="JI47" s="674"/>
      <c r="JJ47" s="674"/>
      <c r="JK47" s="674"/>
      <c r="JL47" s="674"/>
      <c r="JM47" s="674"/>
      <c r="JN47" s="674"/>
      <c r="JO47" s="674"/>
      <c r="JP47" s="674"/>
      <c r="JQ47" s="674"/>
      <c r="JR47" s="674"/>
      <c r="JS47" s="674"/>
      <c r="JT47" s="674"/>
      <c r="JU47" s="674"/>
      <c r="JV47" s="674"/>
      <c r="JW47" s="674"/>
      <c r="JX47" s="674"/>
      <c r="JY47" s="674"/>
      <c r="JZ47" s="674"/>
      <c r="KA47" s="674"/>
      <c r="KB47" s="674"/>
      <c r="KC47" s="674"/>
      <c r="KD47" s="674"/>
      <c r="KE47" s="674"/>
      <c r="KF47" s="674"/>
      <c r="KG47" s="674"/>
      <c r="KH47" s="674"/>
      <c r="KI47" s="674"/>
      <c r="KJ47" s="674"/>
      <c r="KK47" s="674"/>
      <c r="KL47" s="674"/>
      <c r="KM47" s="674"/>
      <c r="KN47" s="674"/>
      <c r="KO47" s="674"/>
      <c r="KP47" s="674"/>
      <c r="KQ47" s="674"/>
      <c r="KR47" s="674"/>
      <c r="KS47" s="674"/>
      <c r="KT47" s="674"/>
      <c r="KU47" s="674"/>
      <c r="KV47" s="674"/>
      <c r="KW47" s="674"/>
      <c r="KX47" s="674"/>
      <c r="KY47" s="674"/>
      <c r="KZ47" s="674"/>
      <c r="LA47" s="674"/>
      <c r="LB47" s="674"/>
      <c r="LC47" s="674"/>
      <c r="LD47" s="674"/>
      <c r="LE47" s="674"/>
      <c r="LF47" s="674"/>
      <c r="LG47" s="674"/>
      <c r="LH47" s="674"/>
      <c r="LI47" s="674"/>
      <c r="LJ47" s="674"/>
      <c r="LK47" s="674"/>
      <c r="LL47" s="674"/>
      <c r="LM47" s="674"/>
      <c r="LN47" s="674"/>
      <c r="LO47" s="674"/>
      <c r="LP47" s="674"/>
      <c r="LQ47" s="674"/>
      <c r="LR47" s="674"/>
      <c r="LS47" s="674"/>
      <c r="LT47" s="674"/>
      <c r="LU47" s="674"/>
      <c r="LV47" s="674"/>
      <c r="LW47" s="674"/>
      <c r="LX47" s="674"/>
      <c r="LY47" s="674"/>
      <c r="LZ47" s="674"/>
      <c r="MA47" s="674"/>
      <c r="MB47" s="674"/>
      <c r="MC47" s="674"/>
      <c r="MD47" s="674"/>
      <c r="ME47" s="674"/>
      <c r="MF47" s="674"/>
      <c r="MG47" s="674"/>
      <c r="MH47" s="674"/>
      <c r="MI47" s="674"/>
      <c r="MJ47" s="674"/>
      <c r="MK47" s="674"/>
      <c r="ML47" s="674"/>
      <c r="MM47" s="674"/>
      <c r="MN47" s="674"/>
      <c r="MO47" s="674"/>
      <c r="MP47" s="674"/>
      <c r="MQ47" s="674"/>
      <c r="MR47" s="674"/>
      <c r="MS47" s="674"/>
      <c r="MT47" s="674"/>
      <c r="MU47" s="674"/>
      <c r="MV47" s="674"/>
      <c r="MW47" s="674"/>
      <c r="MX47" s="674"/>
      <c r="MY47" s="674"/>
      <c r="MZ47" s="674"/>
      <c r="NA47" s="674"/>
      <c r="NB47" s="674"/>
      <c r="NC47" s="674"/>
      <c r="ND47" s="674"/>
      <c r="NE47" s="674"/>
      <c r="NF47" s="674"/>
      <c r="NG47" s="674"/>
      <c r="NH47" s="674"/>
      <c r="NI47" s="674"/>
      <c r="NJ47" s="674"/>
      <c r="NK47" s="674"/>
      <c r="NL47" s="674"/>
      <c r="NM47" s="674"/>
      <c r="NN47" s="674"/>
      <c r="NO47" s="674"/>
      <c r="NP47" s="674"/>
      <c r="NQ47" s="674"/>
      <c r="NR47" s="674"/>
      <c r="NS47" s="674"/>
      <c r="NT47" s="674"/>
      <c r="NU47" s="674"/>
      <c r="NV47" s="674"/>
      <c r="NW47" s="674"/>
      <c r="NX47" s="674"/>
      <c r="NY47" s="674"/>
      <c r="NZ47" s="674"/>
      <c r="OA47" s="674"/>
      <c r="OB47" s="674"/>
      <c r="OC47" s="674"/>
      <c r="OD47" s="674"/>
      <c r="OE47" s="674"/>
      <c r="OF47" s="674"/>
      <c r="OG47" s="674"/>
      <c r="OH47" s="674"/>
      <c r="OI47" s="674"/>
      <c r="OJ47" s="674"/>
      <c r="OK47" s="674"/>
      <c r="OL47" s="674"/>
      <c r="OM47" s="674"/>
      <c r="ON47" s="674"/>
      <c r="OO47" s="674"/>
      <c r="OP47" s="674"/>
      <c r="OQ47" s="674"/>
      <c r="OR47" s="674"/>
      <c r="OS47" s="674"/>
      <c r="OT47" s="674"/>
      <c r="OU47" s="674"/>
      <c r="OV47" s="674"/>
      <c r="OW47" s="674"/>
      <c r="OX47" s="674"/>
      <c r="OY47" s="674"/>
      <c r="OZ47" s="674"/>
      <c r="PA47" s="674"/>
      <c r="PB47" s="674"/>
      <c r="PC47" s="674"/>
      <c r="PD47" s="674"/>
      <c r="PE47" s="674"/>
      <c r="PF47" s="674"/>
      <c r="PG47" s="674"/>
      <c r="PH47" s="674"/>
      <c r="PI47" s="674"/>
      <c r="PJ47" s="674"/>
      <c r="PK47" s="674"/>
      <c r="PL47" s="674"/>
      <c r="PM47" s="674"/>
      <c r="PN47" s="674"/>
      <c r="PO47" s="674"/>
      <c r="PP47" s="674"/>
      <c r="PQ47" s="674"/>
      <c r="PR47" s="674"/>
      <c r="PS47" s="674"/>
      <c r="PT47" s="674"/>
      <c r="PU47" s="674"/>
      <c r="PV47" s="674"/>
      <c r="PW47" s="674"/>
      <c r="PX47" s="674"/>
      <c r="PY47" s="674"/>
      <c r="PZ47" s="674"/>
      <c r="QA47" s="674"/>
      <c r="QB47" s="674"/>
      <c r="QC47" s="674"/>
      <c r="QD47" s="674"/>
      <c r="QE47" s="674"/>
      <c r="QF47" s="674"/>
      <c r="QG47" s="674"/>
      <c r="QH47" s="674"/>
      <c r="QI47" s="674"/>
      <c r="QJ47" s="674"/>
      <c r="QK47" s="674"/>
      <c r="QL47" s="674"/>
      <c r="QM47" s="674"/>
      <c r="QN47" s="674"/>
      <c r="QO47" s="674"/>
      <c r="QP47" s="674"/>
      <c r="QQ47" s="674"/>
      <c r="QR47" s="674"/>
      <c r="QS47" s="674"/>
      <c r="QT47" s="674"/>
      <c r="QU47" s="674"/>
      <c r="QV47" s="674"/>
      <c r="QW47" s="674"/>
      <c r="QX47" s="674"/>
      <c r="QY47" s="674"/>
      <c r="QZ47" s="674"/>
      <c r="RA47" s="674"/>
      <c r="RB47" s="674"/>
      <c r="RC47" s="674"/>
      <c r="RD47" s="674"/>
      <c r="RE47" s="674"/>
      <c r="RF47" s="674"/>
      <c r="RG47" s="674"/>
      <c r="RH47" s="674"/>
      <c r="RI47" s="674"/>
      <c r="RJ47" s="674"/>
      <c r="RK47" s="674"/>
      <c r="RL47" s="674"/>
      <c r="RM47" s="674"/>
      <c r="RN47" s="674"/>
      <c r="RO47" s="674"/>
      <c r="RP47" s="674"/>
      <c r="RQ47" s="674"/>
      <c r="RR47" s="674"/>
      <c r="RS47" s="674"/>
      <c r="RT47" s="674"/>
      <c r="RU47" s="674"/>
      <c r="RV47" s="674"/>
      <c r="RW47" s="674"/>
      <c r="RX47" s="674"/>
      <c r="RY47" s="674"/>
      <c r="RZ47" s="674"/>
      <c r="SA47" s="674"/>
      <c r="SB47" s="674"/>
      <c r="SC47" s="674"/>
      <c r="SD47" s="674"/>
      <c r="SE47" s="674"/>
      <c r="SF47" s="674"/>
      <c r="SG47" s="674"/>
      <c r="SH47" s="674"/>
      <c r="SI47" s="674"/>
      <c r="SJ47" s="674"/>
      <c r="SK47" s="674"/>
      <c r="SL47" s="674"/>
      <c r="SM47" s="674"/>
      <c r="SN47" s="674"/>
      <c r="SO47" s="674"/>
      <c r="SP47" s="674"/>
      <c r="SQ47" s="674"/>
      <c r="SR47" s="674"/>
      <c r="SS47" s="674"/>
      <c r="ST47" s="674"/>
      <c r="SU47" s="674"/>
      <c r="SV47" s="674"/>
      <c r="SW47" s="674"/>
      <c r="SX47" s="674"/>
      <c r="SY47" s="674"/>
      <c r="SZ47" s="674"/>
      <c r="TA47" s="674"/>
      <c r="TB47" s="674"/>
      <c r="TC47" s="674"/>
      <c r="TD47" s="674"/>
      <c r="TE47" s="674"/>
      <c r="TF47" s="674"/>
      <c r="TG47" s="674"/>
      <c r="TH47" s="674"/>
      <c r="TI47" s="674"/>
      <c r="TJ47" s="674"/>
      <c r="TK47" s="674"/>
      <c r="TL47" s="674"/>
      <c r="TM47" s="674"/>
      <c r="TN47" s="674"/>
      <c r="TO47" s="674"/>
      <c r="TP47" s="674"/>
      <c r="TQ47" s="674"/>
      <c r="TR47" s="674"/>
      <c r="TS47" s="674"/>
      <c r="TT47" s="674"/>
      <c r="TU47" s="674"/>
      <c r="TV47" s="674"/>
      <c r="TW47" s="674"/>
      <c r="TX47" s="674"/>
      <c r="TY47" s="674"/>
      <c r="TZ47" s="674"/>
      <c r="UA47" s="674"/>
      <c r="UB47" s="674"/>
      <c r="UC47" s="674"/>
      <c r="UD47" s="674"/>
      <c r="UE47" s="674"/>
      <c r="UF47" s="674"/>
      <c r="UG47" s="674"/>
      <c r="UH47" s="674"/>
      <c r="UI47" s="674"/>
      <c r="UJ47" s="674"/>
      <c r="UK47" s="674"/>
      <c r="UL47" s="674"/>
      <c r="UM47" s="674"/>
      <c r="UN47" s="674"/>
      <c r="UO47" s="674"/>
      <c r="UP47" s="674"/>
      <c r="UQ47" s="674"/>
      <c r="UR47" s="674"/>
      <c r="US47" s="674"/>
      <c r="UT47" s="674"/>
      <c r="UU47" s="674"/>
      <c r="UV47" s="674"/>
      <c r="UW47" s="674"/>
      <c r="UX47" s="674"/>
      <c r="UY47" s="674"/>
      <c r="UZ47" s="674"/>
      <c r="VA47" s="674"/>
      <c r="VB47" s="674"/>
      <c r="VC47" s="674"/>
      <c r="VD47" s="674"/>
      <c r="VE47" s="674"/>
      <c r="VF47" s="674"/>
      <c r="VG47" s="674"/>
      <c r="VH47" s="674"/>
      <c r="VI47" s="674"/>
      <c r="VJ47" s="674"/>
      <c r="VK47" s="674"/>
      <c r="VL47" s="674"/>
      <c r="VM47" s="674"/>
      <c r="VN47" s="674"/>
      <c r="VO47" s="674"/>
      <c r="VP47" s="674"/>
      <c r="VQ47" s="674"/>
      <c r="VR47" s="674"/>
      <c r="VS47" s="674"/>
      <c r="VT47" s="674"/>
      <c r="VU47" s="674"/>
      <c r="VV47" s="674"/>
      <c r="VW47" s="674"/>
      <c r="VX47" s="674"/>
      <c r="VY47" s="674"/>
      <c r="VZ47" s="674"/>
      <c r="WA47" s="674"/>
      <c r="WB47" s="674"/>
      <c r="WC47" s="674"/>
      <c r="WD47" s="674"/>
      <c r="WE47" s="674"/>
      <c r="WF47" s="674"/>
      <c r="WG47" s="674"/>
      <c r="WH47" s="674"/>
      <c r="WI47" s="674"/>
      <c r="WJ47" s="674"/>
      <c r="WK47" s="674"/>
      <c r="WL47" s="674"/>
      <c r="WM47" s="674"/>
      <c r="WN47" s="674"/>
      <c r="WO47" s="674"/>
      <c r="WP47" s="674"/>
      <c r="WQ47" s="674"/>
      <c r="WR47" s="674"/>
      <c r="WS47" s="674"/>
      <c r="WT47" s="674"/>
      <c r="WU47" s="674"/>
      <c r="WV47" s="674"/>
      <c r="WW47" s="674"/>
      <c r="WX47" s="674"/>
      <c r="WY47" s="674"/>
      <c r="WZ47" s="674"/>
      <c r="XA47" s="674"/>
      <c r="XB47" s="674"/>
      <c r="XC47" s="674"/>
      <c r="XD47" s="674"/>
      <c r="XE47" s="674"/>
      <c r="XF47" s="674"/>
      <c r="XG47" s="674"/>
      <c r="XH47" s="674"/>
      <c r="XI47" s="674"/>
      <c r="XJ47" s="674"/>
      <c r="XK47" s="674"/>
      <c r="XL47" s="674"/>
      <c r="XM47" s="674"/>
      <c r="XN47" s="674"/>
      <c r="XO47" s="674"/>
      <c r="XP47" s="674"/>
      <c r="XQ47" s="674"/>
      <c r="XR47" s="674"/>
      <c r="XS47" s="674"/>
      <c r="XT47" s="674"/>
      <c r="XU47" s="674"/>
      <c r="XV47" s="674"/>
      <c r="XW47" s="674"/>
      <c r="XX47" s="674"/>
      <c r="XY47" s="674"/>
      <c r="XZ47" s="674"/>
      <c r="YA47" s="674"/>
      <c r="YB47" s="674"/>
      <c r="YC47" s="674"/>
      <c r="YD47" s="674"/>
      <c r="YE47" s="674"/>
      <c r="YF47" s="674"/>
      <c r="YG47" s="674"/>
      <c r="YH47" s="674"/>
      <c r="YI47" s="674"/>
      <c r="YJ47" s="674"/>
      <c r="YK47" s="674"/>
      <c r="YL47" s="674"/>
      <c r="YM47" s="674"/>
      <c r="YN47" s="674"/>
      <c r="YO47" s="674"/>
      <c r="YP47" s="674"/>
      <c r="YQ47" s="674"/>
      <c r="YR47" s="674"/>
      <c r="YS47" s="674"/>
      <c r="YT47" s="674"/>
      <c r="YU47" s="674"/>
      <c r="YV47" s="674"/>
      <c r="YW47" s="674"/>
      <c r="YX47" s="674"/>
      <c r="YY47" s="674"/>
      <c r="YZ47" s="674"/>
      <c r="ZA47" s="674"/>
      <c r="ZB47" s="674"/>
      <c r="ZC47" s="674"/>
      <c r="ZD47" s="674"/>
      <c r="ZE47" s="674"/>
      <c r="ZF47" s="674"/>
      <c r="ZG47" s="674"/>
      <c r="ZH47" s="674"/>
      <c r="ZI47" s="674"/>
      <c r="ZJ47" s="674"/>
      <c r="ZK47" s="674"/>
      <c r="ZL47" s="674"/>
      <c r="ZM47" s="674"/>
      <c r="ZN47" s="674"/>
      <c r="ZO47" s="674"/>
      <c r="ZP47" s="674"/>
      <c r="ZQ47" s="674"/>
      <c r="ZR47" s="674"/>
      <c r="ZS47" s="674"/>
      <c r="ZT47" s="674"/>
      <c r="ZU47" s="674"/>
      <c r="ZV47" s="674"/>
      <c r="ZW47" s="674"/>
      <c r="ZX47" s="674"/>
      <c r="ZY47" s="674"/>
      <c r="ZZ47" s="674"/>
      <c r="AAA47" s="674"/>
      <c r="AAB47" s="674"/>
      <c r="AAC47" s="674"/>
      <c r="AAD47" s="674"/>
      <c r="AAE47" s="674"/>
      <c r="AAF47" s="674"/>
      <c r="AAG47" s="674"/>
      <c r="AAH47" s="674"/>
      <c r="AAI47" s="674"/>
      <c r="AAJ47" s="674"/>
      <c r="AAK47" s="674"/>
      <c r="AAL47" s="674"/>
      <c r="AAM47" s="674"/>
      <c r="AAN47" s="674"/>
      <c r="AAO47" s="674"/>
      <c r="AAP47" s="674"/>
      <c r="AAQ47" s="674"/>
      <c r="AAR47" s="674"/>
      <c r="AAS47" s="674"/>
      <c r="AAT47" s="674"/>
      <c r="AAU47" s="674"/>
      <c r="AAV47" s="674"/>
      <c r="AAW47" s="674"/>
      <c r="AAX47" s="674"/>
      <c r="AAY47" s="674"/>
      <c r="AAZ47" s="674"/>
      <c r="ABA47" s="674"/>
      <c r="ABB47" s="674"/>
      <c r="ABC47" s="674"/>
      <c r="ABD47" s="674"/>
      <c r="ABE47" s="674"/>
      <c r="ABF47" s="674"/>
      <c r="ABG47" s="674"/>
      <c r="ABH47" s="674"/>
      <c r="ABI47" s="674"/>
      <c r="ABJ47" s="674"/>
      <c r="ABK47" s="674"/>
      <c r="ABL47" s="674"/>
      <c r="ABM47" s="674"/>
      <c r="ABN47" s="674"/>
      <c r="ABO47" s="674"/>
      <c r="ABP47" s="674"/>
      <c r="ABQ47" s="674"/>
      <c r="ABR47" s="674"/>
      <c r="ABS47" s="674"/>
      <c r="ABT47" s="674"/>
      <c r="ABU47" s="674"/>
      <c r="ABV47" s="674"/>
      <c r="ABW47" s="674"/>
      <c r="ABX47" s="674"/>
      <c r="ABY47" s="674"/>
      <c r="ABZ47" s="674"/>
      <c r="ACA47" s="674"/>
      <c r="ACB47" s="674"/>
      <c r="ACC47" s="674"/>
      <c r="ACD47" s="674"/>
      <c r="ACE47" s="674"/>
      <c r="ACF47" s="674"/>
      <c r="ACG47" s="674"/>
      <c r="ACH47" s="674"/>
      <c r="ACI47" s="674"/>
      <c r="ACJ47" s="674"/>
      <c r="ACK47" s="674"/>
      <c r="ACL47" s="674"/>
      <c r="ACM47" s="674"/>
      <c r="ACN47" s="674"/>
      <c r="ACO47" s="674"/>
      <c r="ACP47" s="674"/>
      <c r="ACQ47" s="674"/>
      <c r="ACR47" s="674"/>
      <c r="ACS47" s="674"/>
      <c r="ACT47" s="674"/>
      <c r="ACU47" s="674"/>
      <c r="ACV47" s="674"/>
      <c r="ACW47" s="674"/>
      <c r="ACX47" s="674"/>
      <c r="ACY47" s="674"/>
      <c r="ACZ47" s="674"/>
      <c r="ADA47" s="674"/>
      <c r="ADB47" s="674"/>
      <c r="ADC47" s="674"/>
      <c r="ADD47" s="674"/>
      <c r="ADE47" s="674"/>
      <c r="ADF47" s="674"/>
      <c r="ADG47" s="674"/>
      <c r="ADH47" s="674"/>
      <c r="ADI47" s="674"/>
      <c r="ADJ47" s="674"/>
      <c r="ADK47" s="674"/>
      <c r="ADL47" s="674"/>
      <c r="ADM47" s="674"/>
      <c r="ADN47" s="674"/>
      <c r="ADO47" s="674"/>
      <c r="ADP47" s="674"/>
      <c r="ADQ47" s="674"/>
      <c r="ADR47" s="674"/>
      <c r="ADS47" s="674"/>
      <c r="ADT47" s="674"/>
      <c r="ADU47" s="674"/>
      <c r="ADV47" s="674"/>
      <c r="ADW47" s="674"/>
      <c r="ADX47" s="674"/>
      <c r="ADY47" s="674"/>
      <c r="ADZ47" s="674"/>
      <c r="AEA47" s="674"/>
      <c r="AEB47" s="674"/>
      <c r="AEC47" s="674"/>
      <c r="AED47" s="674"/>
      <c r="AEE47" s="674"/>
      <c r="AEF47" s="674"/>
      <c r="AEG47" s="674"/>
      <c r="AEH47" s="674"/>
      <c r="AEI47" s="674"/>
      <c r="AEJ47" s="674"/>
      <c r="AEK47" s="674"/>
      <c r="AEL47" s="674"/>
      <c r="AEM47" s="674"/>
      <c r="AEN47" s="674"/>
      <c r="AEO47" s="674"/>
      <c r="AEP47" s="674"/>
      <c r="AEQ47" s="674"/>
      <c r="AER47" s="674"/>
      <c r="AES47" s="674"/>
      <c r="AET47" s="674"/>
      <c r="AEU47" s="674"/>
      <c r="AEV47" s="674"/>
      <c r="AEW47" s="674"/>
      <c r="AEX47" s="674"/>
      <c r="AEY47" s="674"/>
      <c r="AEZ47" s="674"/>
      <c r="AFA47" s="674"/>
      <c r="AFB47" s="674"/>
      <c r="AFC47" s="674"/>
      <c r="AFD47" s="674"/>
      <c r="AFE47" s="674"/>
      <c r="AFF47" s="674"/>
      <c r="AFG47" s="674"/>
      <c r="AFH47" s="674"/>
      <c r="AFI47" s="674"/>
      <c r="AFJ47" s="674"/>
      <c r="AFK47" s="674"/>
      <c r="AFL47" s="674"/>
      <c r="AFM47" s="674"/>
      <c r="AFN47" s="674"/>
      <c r="AFO47" s="674"/>
      <c r="AFP47" s="674"/>
      <c r="AFQ47" s="674"/>
      <c r="AFR47" s="674"/>
      <c r="AFS47" s="674"/>
      <c r="AFT47" s="674"/>
      <c r="AFU47" s="674"/>
      <c r="AFV47" s="674"/>
      <c r="AFW47" s="674"/>
      <c r="AFX47" s="674"/>
      <c r="AFY47" s="674"/>
      <c r="AFZ47" s="674"/>
      <c r="AGA47" s="674"/>
      <c r="AGB47" s="674"/>
      <c r="AGC47" s="674"/>
      <c r="AGD47" s="674"/>
      <c r="AGE47" s="674"/>
      <c r="AGF47" s="674"/>
      <c r="AGG47" s="674"/>
      <c r="AGH47" s="674"/>
      <c r="AGI47" s="674"/>
      <c r="AGJ47" s="674"/>
      <c r="AGK47" s="674"/>
      <c r="AGL47" s="674"/>
      <c r="AGM47" s="674"/>
      <c r="AGN47" s="674"/>
      <c r="AGO47" s="674"/>
      <c r="AGP47" s="674"/>
      <c r="AGQ47" s="674"/>
      <c r="AGR47" s="674"/>
      <c r="AGS47" s="674"/>
      <c r="AGT47" s="674"/>
      <c r="AGU47" s="674"/>
      <c r="AGV47" s="674"/>
      <c r="AGW47" s="674"/>
      <c r="AGX47" s="674"/>
      <c r="AGY47" s="674"/>
      <c r="AGZ47" s="674"/>
      <c r="AHA47" s="674"/>
      <c r="AHB47" s="674"/>
      <c r="AHC47" s="674"/>
      <c r="AHD47" s="674"/>
      <c r="AHE47" s="674"/>
      <c r="AHF47" s="674"/>
      <c r="AHG47" s="674"/>
      <c r="AHH47" s="674"/>
      <c r="AHI47" s="674"/>
      <c r="AHJ47" s="674"/>
      <c r="AHK47" s="674"/>
      <c r="AHL47" s="674"/>
      <c r="AHM47" s="674"/>
      <c r="AHN47" s="674"/>
      <c r="AHO47" s="674"/>
      <c r="AHP47" s="674"/>
      <c r="AHQ47" s="674"/>
      <c r="AHR47" s="674"/>
      <c r="AHS47" s="674"/>
      <c r="AHT47" s="674"/>
      <c r="AHU47" s="674"/>
      <c r="AHV47" s="674"/>
      <c r="AHW47" s="674"/>
      <c r="AHX47" s="674"/>
      <c r="AHY47" s="674"/>
      <c r="AHZ47" s="674"/>
      <c r="AIA47" s="674"/>
      <c r="AIB47" s="674"/>
      <c r="AIC47" s="674"/>
      <c r="AID47" s="674"/>
      <c r="AIE47" s="674"/>
      <c r="AIF47" s="674"/>
      <c r="AIG47" s="674"/>
      <c r="AIH47" s="674"/>
      <c r="AII47" s="674"/>
      <c r="AIJ47" s="674"/>
      <c r="AIK47" s="674"/>
      <c r="AIL47" s="674"/>
      <c r="AIM47" s="674"/>
      <c r="AIN47" s="674"/>
      <c r="AIO47" s="674"/>
      <c r="AIP47" s="674"/>
      <c r="AIQ47" s="674"/>
      <c r="AIR47" s="674"/>
      <c r="AIS47" s="674"/>
      <c r="AIT47" s="674"/>
      <c r="AIU47" s="674"/>
      <c r="AIV47" s="674"/>
      <c r="AIW47" s="674"/>
      <c r="AIX47" s="674"/>
      <c r="AIY47" s="674"/>
      <c r="AIZ47" s="674"/>
      <c r="AJA47" s="674"/>
      <c r="AJB47" s="674"/>
      <c r="AJC47" s="674"/>
      <c r="AJD47" s="674"/>
      <c r="AJE47" s="674"/>
      <c r="AJF47" s="674"/>
      <c r="AJG47" s="674"/>
      <c r="AJH47" s="674"/>
      <c r="AJI47" s="674"/>
      <c r="AJJ47" s="674"/>
      <c r="AJK47" s="674"/>
      <c r="AJL47" s="674"/>
      <c r="AJM47" s="674"/>
      <c r="AJN47" s="674"/>
      <c r="AJO47" s="674"/>
      <c r="AJP47" s="674"/>
      <c r="AJQ47" s="674"/>
      <c r="AJR47" s="674"/>
      <c r="AJS47" s="674"/>
      <c r="AJT47" s="674"/>
      <c r="AJU47" s="674"/>
      <c r="AJV47" s="674"/>
      <c r="AJW47" s="674"/>
      <c r="AJX47" s="674"/>
      <c r="AJY47" s="674"/>
      <c r="AJZ47" s="674"/>
      <c r="AKA47" s="674"/>
      <c r="AKB47" s="674"/>
      <c r="AKC47" s="674"/>
      <c r="AKD47" s="674"/>
      <c r="AKE47" s="674"/>
      <c r="AKF47" s="674"/>
      <c r="AKG47" s="674"/>
      <c r="AKH47" s="674"/>
      <c r="AKI47" s="674"/>
      <c r="AKJ47" s="674"/>
      <c r="AKK47" s="674"/>
      <c r="AKL47" s="674"/>
      <c r="AKM47" s="674"/>
      <c r="AKN47" s="674"/>
      <c r="AKO47" s="674"/>
      <c r="AKP47" s="674"/>
      <c r="AKQ47" s="674"/>
      <c r="AKR47" s="674"/>
      <c r="AKS47" s="674"/>
      <c r="AKT47" s="674"/>
      <c r="AKU47" s="674"/>
      <c r="AKV47" s="674"/>
      <c r="AKW47" s="674"/>
      <c r="AKX47" s="674"/>
      <c r="AKY47" s="674"/>
      <c r="AKZ47" s="674"/>
      <c r="ALA47" s="674"/>
      <c r="ALB47" s="674"/>
      <c r="ALC47" s="674"/>
      <c r="ALD47" s="674"/>
      <c r="ALE47" s="674"/>
      <c r="ALF47" s="674"/>
      <c r="ALG47" s="674"/>
      <c r="ALH47" s="674"/>
      <c r="ALI47" s="674"/>
      <c r="ALJ47" s="674"/>
      <c r="ALK47" s="674"/>
      <c r="ALL47" s="674"/>
      <c r="ALM47" s="674"/>
      <c r="ALN47" s="674"/>
      <c r="ALO47" s="674"/>
      <c r="ALP47" s="674"/>
      <c r="ALQ47" s="674"/>
      <c r="ALR47" s="674"/>
      <c r="ALS47" s="674"/>
      <c r="ALT47" s="674"/>
      <c r="ALU47" s="674"/>
      <c r="ALV47" s="674"/>
      <c r="ALW47" s="674"/>
      <c r="ALX47" s="674"/>
      <c r="ALY47" s="674"/>
      <c r="ALZ47" s="674"/>
      <c r="AMA47" s="674"/>
      <c r="AMB47" s="674"/>
      <c r="AMC47" s="674"/>
      <c r="AMD47" s="674"/>
      <c r="AME47" s="674"/>
      <c r="AMF47" s="674"/>
      <c r="AMG47" s="674"/>
      <c r="AMH47" s="674"/>
      <c r="AMI47" s="674"/>
      <c r="AMJ47" s="674"/>
      <c r="AMK47" s="674"/>
      <c r="AML47" s="674"/>
      <c r="AMM47" s="674"/>
      <c r="AMN47" s="674"/>
      <c r="AMO47" s="674"/>
      <c r="AMP47" s="674"/>
      <c r="AMQ47" s="674"/>
      <c r="AMR47" s="674"/>
      <c r="AMS47" s="674"/>
      <c r="AMT47" s="674"/>
      <c r="AMU47" s="674"/>
      <c r="AMV47" s="674"/>
      <c r="AMW47" s="674"/>
      <c r="AMX47" s="674"/>
      <c r="AMY47" s="674"/>
      <c r="AMZ47" s="674"/>
      <c r="ANA47" s="674"/>
      <c r="ANB47" s="674"/>
      <c r="ANC47" s="674"/>
      <c r="AND47" s="674"/>
      <c r="ANE47" s="674"/>
      <c r="ANF47" s="674"/>
      <c r="ANG47" s="674"/>
      <c r="ANH47" s="674"/>
      <c r="ANI47" s="674"/>
      <c r="ANJ47" s="674"/>
      <c r="ANK47" s="674"/>
      <c r="ANL47" s="674"/>
      <c r="ANM47" s="674"/>
      <c r="ANN47" s="674"/>
      <c r="ANO47" s="674"/>
      <c r="ANP47" s="674"/>
      <c r="ANQ47" s="674"/>
      <c r="ANR47" s="674"/>
      <c r="ANS47" s="674"/>
      <c r="ANT47" s="674"/>
      <c r="ANU47" s="674"/>
      <c r="ANV47" s="674"/>
      <c r="ANW47" s="674"/>
      <c r="ANX47" s="674"/>
      <c r="ANY47" s="674"/>
      <c r="ANZ47" s="674"/>
      <c r="AOA47" s="674"/>
      <c r="AOB47" s="674"/>
      <c r="AOC47" s="674"/>
      <c r="AOD47" s="674"/>
      <c r="AOE47" s="674"/>
      <c r="AOF47" s="674"/>
      <c r="AOG47" s="674"/>
      <c r="AOH47" s="674"/>
      <c r="AOI47" s="674"/>
      <c r="AOJ47" s="674"/>
      <c r="AOK47" s="674"/>
      <c r="AOL47" s="674"/>
      <c r="AOM47" s="674"/>
      <c r="AON47" s="674"/>
      <c r="AOO47" s="674"/>
      <c r="AOP47" s="674"/>
      <c r="AOQ47" s="674"/>
      <c r="AOR47" s="674"/>
      <c r="AOS47" s="674"/>
      <c r="AOT47" s="674"/>
      <c r="AOU47" s="674"/>
      <c r="AOV47" s="674"/>
      <c r="AOW47" s="674"/>
      <c r="AOX47" s="674"/>
      <c r="AOY47" s="674"/>
      <c r="AOZ47" s="674"/>
      <c r="APA47" s="674"/>
      <c r="APB47" s="674"/>
      <c r="APC47" s="674"/>
      <c r="APD47" s="674"/>
      <c r="APE47" s="674"/>
      <c r="APF47" s="674"/>
      <c r="APG47" s="674"/>
      <c r="APH47" s="674"/>
      <c r="API47" s="674"/>
      <c r="APJ47" s="674"/>
      <c r="APK47" s="674"/>
      <c r="APL47" s="674"/>
      <c r="APM47" s="674"/>
      <c r="APN47" s="674"/>
      <c r="APO47" s="674"/>
      <c r="APP47" s="674"/>
      <c r="APQ47" s="674"/>
      <c r="APR47" s="674"/>
      <c r="APS47" s="674"/>
      <c r="APT47" s="674"/>
      <c r="APU47" s="674"/>
      <c r="APV47" s="674"/>
      <c r="APW47" s="674"/>
      <c r="APX47" s="674"/>
      <c r="APY47" s="674"/>
      <c r="APZ47" s="674"/>
      <c r="AQA47" s="674"/>
      <c r="AQB47" s="674"/>
      <c r="AQC47" s="674"/>
      <c r="AQD47" s="674"/>
      <c r="AQE47" s="674"/>
      <c r="AQF47" s="674"/>
      <c r="AQG47" s="674"/>
      <c r="AQH47" s="674"/>
      <c r="AQI47" s="674"/>
      <c r="AQJ47" s="674"/>
      <c r="AQK47" s="674"/>
      <c r="AQL47" s="674"/>
      <c r="AQM47" s="674"/>
      <c r="AQN47" s="674"/>
      <c r="AQO47" s="674"/>
      <c r="AQP47" s="674"/>
      <c r="AQQ47" s="674"/>
      <c r="AQR47" s="674"/>
      <c r="AQS47" s="674"/>
      <c r="AQT47" s="674"/>
      <c r="AQU47" s="674"/>
      <c r="AQV47" s="674"/>
      <c r="AQW47" s="674"/>
      <c r="AQX47" s="674"/>
      <c r="AQY47" s="674"/>
      <c r="AQZ47" s="674"/>
      <c r="ARA47" s="674"/>
      <c r="ARB47" s="674"/>
      <c r="ARC47" s="674"/>
      <c r="ARD47" s="674"/>
      <c r="ARE47" s="674"/>
      <c r="ARF47" s="674"/>
      <c r="ARG47" s="674"/>
      <c r="ARH47" s="674"/>
      <c r="ARI47" s="674"/>
      <c r="ARJ47" s="674"/>
      <c r="ARK47" s="674"/>
      <c r="ARL47" s="674"/>
      <c r="ARM47" s="674"/>
      <c r="ARN47" s="674"/>
      <c r="ARO47" s="674"/>
      <c r="ARP47" s="674"/>
      <c r="ARQ47" s="674"/>
      <c r="ARR47" s="674"/>
      <c r="ARS47" s="674"/>
      <c r="ART47" s="674"/>
      <c r="ARU47" s="674"/>
      <c r="ARV47" s="674"/>
      <c r="ARW47" s="674"/>
      <c r="ARX47" s="674"/>
      <c r="ARY47" s="674"/>
      <c r="ARZ47" s="674"/>
      <c r="ASA47" s="674"/>
      <c r="ASB47" s="674"/>
      <c r="ASC47" s="674"/>
      <c r="ASD47" s="674"/>
      <c r="ASE47" s="674"/>
      <c r="ASF47" s="674"/>
      <c r="ASG47" s="674"/>
      <c r="ASH47" s="674"/>
      <c r="ASI47" s="674"/>
      <c r="ASJ47" s="674"/>
      <c r="ASK47" s="674"/>
      <c r="ASL47" s="674"/>
      <c r="ASM47" s="674"/>
      <c r="ASN47" s="674"/>
      <c r="ASO47" s="674"/>
      <c r="ASP47" s="674"/>
      <c r="ASQ47" s="674"/>
      <c r="ASR47" s="674"/>
      <c r="ASS47" s="674"/>
      <c r="AST47" s="674"/>
      <c r="ASU47" s="674"/>
      <c r="ASV47" s="674"/>
      <c r="ASW47" s="674"/>
      <c r="ASX47" s="674"/>
      <c r="ASY47" s="674"/>
      <c r="ASZ47" s="674"/>
      <c r="ATA47" s="674"/>
      <c r="ATB47" s="674"/>
      <c r="ATC47" s="674"/>
      <c r="ATD47" s="674"/>
      <c r="ATE47" s="674"/>
      <c r="ATF47" s="674"/>
      <c r="ATG47" s="674"/>
      <c r="ATH47" s="674"/>
      <c r="ATI47" s="674"/>
      <c r="ATJ47" s="674"/>
      <c r="ATK47" s="674"/>
      <c r="ATL47" s="674"/>
      <c r="ATM47" s="674"/>
      <c r="ATN47" s="674"/>
      <c r="ATO47" s="674"/>
      <c r="ATP47" s="674"/>
      <c r="ATQ47" s="674"/>
      <c r="ATR47" s="674"/>
      <c r="ATS47" s="674"/>
      <c r="ATT47" s="674"/>
      <c r="ATU47" s="674"/>
      <c r="ATV47" s="674"/>
      <c r="ATW47" s="674"/>
      <c r="ATX47" s="674"/>
      <c r="ATY47" s="674"/>
      <c r="ATZ47" s="674"/>
      <c r="AUA47" s="674"/>
      <c r="AUB47" s="674"/>
      <c r="AUC47" s="674"/>
      <c r="AUD47" s="674"/>
      <c r="AUE47" s="674"/>
      <c r="AUF47" s="674"/>
      <c r="AUG47" s="674"/>
      <c r="AUH47" s="674"/>
      <c r="AUI47" s="674"/>
      <c r="AUJ47" s="674"/>
      <c r="AUK47" s="674"/>
      <c r="AUL47" s="674"/>
      <c r="AUM47" s="674"/>
      <c r="AUN47" s="674"/>
      <c r="AUO47" s="674"/>
      <c r="AUP47" s="674"/>
      <c r="AUQ47" s="674"/>
      <c r="AUR47" s="674"/>
      <c r="AUS47" s="674"/>
      <c r="AUT47" s="674"/>
      <c r="AUU47" s="674"/>
      <c r="AUV47" s="674"/>
      <c r="AUW47" s="674"/>
      <c r="AUX47" s="674"/>
      <c r="AUY47" s="674"/>
      <c r="AUZ47" s="674"/>
      <c r="AVA47" s="674"/>
      <c r="AVB47" s="674"/>
      <c r="AVC47" s="674"/>
      <c r="AVD47" s="674"/>
      <c r="AVE47" s="674"/>
      <c r="AVF47" s="674"/>
      <c r="AVG47" s="674"/>
      <c r="AVH47" s="674"/>
      <c r="AVI47" s="674"/>
      <c r="AVJ47" s="674"/>
      <c r="AVK47" s="674"/>
      <c r="AVL47" s="674"/>
      <c r="AVM47" s="674"/>
      <c r="AVN47" s="674"/>
      <c r="AVO47" s="674"/>
      <c r="AVP47" s="674"/>
      <c r="AVQ47" s="674"/>
      <c r="AVR47" s="674"/>
      <c r="AVS47" s="674"/>
      <c r="AVT47" s="674"/>
      <c r="AVU47" s="674"/>
      <c r="AVV47" s="674"/>
      <c r="AVW47" s="674"/>
      <c r="AVX47" s="674"/>
      <c r="AVY47" s="674"/>
      <c r="AVZ47" s="674"/>
      <c r="AWA47" s="674"/>
      <c r="AWB47" s="674"/>
      <c r="AWC47" s="674"/>
      <c r="AWD47" s="674"/>
      <c r="AWE47" s="674"/>
      <c r="AWF47" s="674"/>
      <c r="AWG47" s="674"/>
      <c r="AWH47" s="674"/>
      <c r="AWI47" s="674"/>
      <c r="AWJ47" s="674"/>
      <c r="AWK47" s="674"/>
      <c r="AWL47" s="674"/>
      <c r="AWM47" s="674"/>
      <c r="AWN47" s="674"/>
      <c r="AWO47" s="674"/>
      <c r="AWP47" s="674"/>
      <c r="AWQ47" s="674"/>
      <c r="AWR47" s="674"/>
      <c r="AWS47" s="674"/>
      <c r="AWT47" s="674"/>
      <c r="AWU47" s="674"/>
      <c r="AWV47" s="674"/>
      <c r="AWW47" s="674"/>
      <c r="AWX47" s="674"/>
      <c r="AWY47" s="674"/>
      <c r="AWZ47" s="674"/>
      <c r="AXA47" s="674"/>
      <c r="AXB47" s="674"/>
      <c r="AXC47" s="674"/>
      <c r="AXD47" s="674"/>
      <c r="AXE47" s="674"/>
      <c r="AXF47" s="674"/>
      <c r="AXG47" s="674"/>
      <c r="AXH47" s="674"/>
      <c r="AXI47" s="674"/>
      <c r="AXJ47" s="674"/>
      <c r="AXK47" s="674"/>
      <c r="AXL47" s="674"/>
      <c r="AXM47" s="674"/>
      <c r="AXN47" s="674"/>
      <c r="AXO47" s="674"/>
      <c r="AXP47" s="674"/>
      <c r="AXQ47" s="674"/>
      <c r="AXR47" s="674"/>
      <c r="AXS47" s="674"/>
      <c r="AXT47" s="674"/>
      <c r="AXU47" s="674"/>
      <c r="AXV47" s="674"/>
      <c r="AXW47" s="674"/>
      <c r="AXX47" s="674"/>
      <c r="AXY47" s="674"/>
      <c r="AXZ47" s="674"/>
      <c r="AYA47" s="674"/>
      <c r="AYB47" s="674"/>
      <c r="AYC47" s="674"/>
      <c r="AYD47" s="674"/>
      <c r="AYE47" s="674"/>
      <c r="AYF47" s="674"/>
      <c r="AYG47" s="674"/>
      <c r="AYH47" s="674"/>
      <c r="AYI47" s="674"/>
      <c r="AYJ47" s="674"/>
      <c r="AYK47" s="674"/>
      <c r="AYL47" s="674"/>
      <c r="AYM47" s="674"/>
      <c r="AYN47" s="674"/>
      <c r="AYO47" s="674"/>
      <c r="AYP47" s="674"/>
      <c r="AYQ47" s="674"/>
      <c r="AYR47" s="674"/>
      <c r="AYS47" s="674"/>
      <c r="AYT47" s="674"/>
      <c r="AYU47" s="674"/>
      <c r="AYV47" s="674"/>
      <c r="AYW47" s="674"/>
      <c r="AYX47" s="674"/>
      <c r="AYY47" s="674"/>
      <c r="AYZ47" s="674"/>
      <c r="AZA47" s="674"/>
      <c r="AZB47" s="674"/>
      <c r="AZC47" s="674"/>
      <c r="AZD47" s="674"/>
      <c r="AZE47" s="674"/>
      <c r="AZF47" s="674"/>
      <c r="AZG47" s="674"/>
      <c r="AZH47" s="674"/>
      <c r="AZI47" s="674"/>
      <c r="AZJ47" s="674"/>
      <c r="AZK47" s="674"/>
      <c r="AZL47" s="674"/>
      <c r="AZM47" s="674"/>
      <c r="AZN47" s="674"/>
      <c r="AZO47" s="674"/>
      <c r="AZP47" s="674"/>
      <c r="AZQ47" s="674"/>
      <c r="AZR47" s="674"/>
      <c r="AZS47" s="674"/>
      <c r="AZT47" s="674"/>
      <c r="AZU47" s="674"/>
      <c r="AZV47" s="674"/>
      <c r="AZW47" s="674"/>
      <c r="AZX47" s="674"/>
      <c r="AZY47" s="674"/>
      <c r="AZZ47" s="674"/>
      <c r="BAA47" s="674"/>
      <c r="BAB47" s="674"/>
      <c r="BAC47" s="674"/>
      <c r="BAD47" s="674"/>
      <c r="BAE47" s="674"/>
      <c r="BAF47" s="674"/>
      <c r="BAG47" s="674"/>
      <c r="BAH47" s="674"/>
      <c r="BAI47" s="674"/>
      <c r="BAJ47" s="674"/>
      <c r="BAK47" s="674"/>
      <c r="BAL47" s="674"/>
      <c r="BAM47" s="674"/>
      <c r="BAN47" s="674"/>
      <c r="BAO47" s="674"/>
      <c r="BAP47" s="674"/>
      <c r="BAQ47" s="674"/>
      <c r="BAR47" s="674"/>
      <c r="BAS47" s="674"/>
      <c r="BAT47" s="674"/>
      <c r="BAU47" s="674"/>
      <c r="BAV47" s="674"/>
      <c r="BAW47" s="674"/>
      <c r="BAX47" s="674"/>
      <c r="BAY47" s="674"/>
      <c r="BAZ47" s="674"/>
      <c r="BBA47" s="674"/>
      <c r="BBB47" s="674"/>
      <c r="BBC47" s="674"/>
      <c r="BBD47" s="674"/>
      <c r="BBE47" s="674"/>
      <c r="BBF47" s="674"/>
      <c r="BBG47" s="674"/>
      <c r="BBH47" s="674"/>
      <c r="BBI47" s="674"/>
      <c r="BBJ47" s="674"/>
      <c r="BBK47" s="674"/>
      <c r="BBL47" s="674"/>
      <c r="BBM47" s="674"/>
      <c r="BBN47" s="674"/>
      <c r="BBO47" s="674"/>
      <c r="BBP47" s="674"/>
      <c r="BBQ47" s="674"/>
      <c r="BBR47" s="674"/>
      <c r="BBS47" s="674"/>
      <c r="BBT47" s="674"/>
      <c r="BBU47" s="674"/>
      <c r="BBV47" s="674"/>
      <c r="BBW47" s="674"/>
      <c r="BBX47" s="674"/>
      <c r="BBY47" s="674"/>
      <c r="BBZ47" s="674"/>
      <c r="BCA47" s="674"/>
      <c r="BCB47" s="674"/>
      <c r="BCC47" s="674"/>
      <c r="BCD47" s="674"/>
      <c r="BCE47" s="674"/>
      <c r="BCF47" s="674"/>
      <c r="BCG47" s="674"/>
      <c r="BCH47" s="674"/>
      <c r="BCI47" s="674"/>
      <c r="BCJ47" s="674"/>
      <c r="BCK47" s="674"/>
      <c r="BCL47" s="674"/>
      <c r="BCM47" s="674"/>
      <c r="BCN47" s="674"/>
      <c r="BCO47" s="674"/>
      <c r="BCP47" s="674"/>
      <c r="BCQ47" s="674"/>
      <c r="BCR47" s="674"/>
      <c r="BCS47" s="674"/>
      <c r="BCT47" s="674"/>
      <c r="BCU47" s="674"/>
      <c r="BCV47" s="674"/>
      <c r="BCW47" s="674"/>
      <c r="BCX47" s="674"/>
      <c r="BCY47" s="674"/>
      <c r="BCZ47" s="674"/>
      <c r="BDA47" s="674"/>
      <c r="BDB47" s="674"/>
      <c r="BDC47" s="674"/>
      <c r="BDD47" s="674"/>
      <c r="BDE47" s="674"/>
      <c r="BDF47" s="674"/>
      <c r="BDG47" s="674"/>
      <c r="BDH47" s="674"/>
      <c r="BDI47" s="674"/>
      <c r="BDJ47" s="674"/>
      <c r="BDK47" s="674"/>
      <c r="BDL47" s="674"/>
      <c r="BDM47" s="674"/>
      <c r="BDN47" s="674"/>
      <c r="BDO47" s="674"/>
      <c r="BDP47" s="674"/>
      <c r="BDQ47" s="674"/>
      <c r="BDR47" s="674"/>
      <c r="BDS47" s="674"/>
      <c r="BDT47" s="674"/>
      <c r="BDU47" s="674"/>
      <c r="BDV47" s="674"/>
      <c r="BDW47" s="674"/>
      <c r="BDX47" s="674"/>
      <c r="BDY47" s="674"/>
      <c r="BDZ47" s="674"/>
      <c r="BEA47" s="674"/>
      <c r="BEB47" s="674"/>
      <c r="BEC47" s="674"/>
      <c r="BED47" s="674"/>
      <c r="BEE47" s="674"/>
      <c r="BEF47" s="674"/>
      <c r="BEG47" s="674"/>
      <c r="BEH47" s="674"/>
      <c r="BEI47" s="674"/>
      <c r="BEJ47" s="674"/>
      <c r="BEK47" s="674"/>
      <c r="BEL47" s="674"/>
      <c r="BEM47" s="674"/>
      <c r="BEN47" s="674"/>
      <c r="BEO47" s="674"/>
      <c r="BEP47" s="674"/>
      <c r="BEQ47" s="674"/>
      <c r="BER47" s="674"/>
      <c r="BES47" s="674"/>
      <c r="BET47" s="674"/>
      <c r="BEU47" s="674"/>
      <c r="BEV47" s="674"/>
      <c r="BEW47" s="674"/>
      <c r="BEX47" s="674"/>
      <c r="BEY47" s="674"/>
      <c r="BEZ47" s="674"/>
      <c r="BFA47" s="674"/>
      <c r="BFB47" s="674"/>
      <c r="BFC47" s="674"/>
      <c r="BFD47" s="674"/>
      <c r="BFE47" s="674"/>
      <c r="BFF47" s="674"/>
      <c r="BFG47" s="674"/>
      <c r="BFH47" s="674"/>
      <c r="BFI47" s="674"/>
      <c r="BFJ47" s="674"/>
      <c r="BFK47" s="674"/>
      <c r="BFL47" s="674"/>
      <c r="BFM47" s="674"/>
      <c r="BFN47" s="674"/>
      <c r="BFO47" s="674"/>
      <c r="BFP47" s="674"/>
      <c r="BFQ47" s="674"/>
      <c r="BFR47" s="674"/>
      <c r="BFS47" s="674"/>
      <c r="BFT47" s="674"/>
      <c r="BFU47" s="674"/>
      <c r="BFV47" s="674"/>
      <c r="BFW47" s="674"/>
      <c r="BFX47" s="674"/>
      <c r="BFY47" s="674"/>
      <c r="BFZ47" s="674"/>
      <c r="BGA47" s="674"/>
      <c r="BGB47" s="674"/>
      <c r="BGC47" s="674"/>
      <c r="BGD47" s="674"/>
      <c r="BGE47" s="674"/>
      <c r="BGF47" s="674"/>
      <c r="BGG47" s="674"/>
      <c r="BGH47" s="674"/>
      <c r="BGI47" s="674"/>
      <c r="BGJ47" s="674"/>
      <c r="BGK47" s="674"/>
      <c r="BGL47" s="674"/>
      <c r="BGM47" s="674"/>
      <c r="BGN47" s="674"/>
      <c r="BGO47" s="674"/>
      <c r="BGP47" s="674"/>
      <c r="BGQ47" s="674"/>
      <c r="BGR47" s="674"/>
      <c r="BGS47" s="674"/>
      <c r="BGT47" s="674"/>
      <c r="BGU47" s="674"/>
      <c r="BGV47" s="674"/>
      <c r="BGW47" s="674"/>
      <c r="BGX47" s="674"/>
      <c r="BGY47" s="674"/>
      <c r="BGZ47" s="674"/>
      <c r="BHA47" s="674"/>
      <c r="BHB47" s="674"/>
      <c r="BHC47" s="674"/>
      <c r="BHD47" s="674"/>
      <c r="BHE47" s="674"/>
      <c r="BHF47" s="674"/>
      <c r="BHG47" s="674"/>
      <c r="BHH47" s="674"/>
      <c r="BHI47" s="674"/>
      <c r="BHJ47" s="674"/>
      <c r="BHK47" s="674"/>
      <c r="BHL47" s="674"/>
      <c r="BHM47" s="674"/>
      <c r="BHN47" s="674"/>
      <c r="BHO47" s="674"/>
      <c r="BHP47" s="674"/>
      <c r="BHQ47" s="674"/>
      <c r="BHR47" s="674"/>
      <c r="BHS47" s="674"/>
      <c r="BHT47" s="674"/>
      <c r="BHU47" s="674"/>
      <c r="BHV47" s="674"/>
      <c r="BHW47" s="674"/>
      <c r="BHX47" s="674"/>
      <c r="BHY47" s="674"/>
      <c r="BHZ47" s="674"/>
      <c r="BIA47" s="674"/>
      <c r="BIB47" s="674"/>
      <c r="BIC47" s="674"/>
      <c r="BID47" s="674"/>
      <c r="BIE47" s="674"/>
      <c r="BIF47" s="674"/>
      <c r="BIG47" s="674"/>
      <c r="BIH47" s="674"/>
      <c r="BII47" s="674"/>
      <c r="BIJ47" s="674"/>
      <c r="BIK47" s="674"/>
      <c r="BIL47" s="674"/>
      <c r="BIM47" s="674"/>
      <c r="BIN47" s="674"/>
      <c r="BIO47" s="674"/>
      <c r="BIP47" s="674"/>
      <c r="BIQ47" s="674"/>
      <c r="BIR47" s="674"/>
      <c r="BIS47" s="674"/>
      <c r="BIT47" s="674"/>
      <c r="BIU47" s="674"/>
      <c r="BIV47" s="674"/>
      <c r="BIW47" s="674"/>
      <c r="BIX47" s="674"/>
      <c r="BIY47" s="674"/>
      <c r="BIZ47" s="674"/>
      <c r="BJA47" s="674"/>
      <c r="BJB47" s="674"/>
      <c r="BJC47" s="674"/>
      <c r="BJD47" s="674"/>
      <c r="BJE47" s="674"/>
      <c r="BJF47" s="674"/>
      <c r="BJG47" s="674"/>
      <c r="BJH47" s="674"/>
      <c r="BJI47" s="674"/>
      <c r="BJJ47" s="674"/>
      <c r="BJK47" s="674"/>
      <c r="BJL47" s="674"/>
      <c r="BJM47" s="674"/>
      <c r="BJN47" s="674"/>
      <c r="BJO47" s="674"/>
      <c r="BJP47" s="674"/>
      <c r="BJQ47" s="674"/>
      <c r="BJR47" s="674"/>
      <c r="BJS47" s="674"/>
      <c r="BJT47" s="674"/>
      <c r="BJU47" s="674"/>
      <c r="BJV47" s="674"/>
      <c r="BJW47" s="674"/>
      <c r="BJX47" s="674"/>
      <c r="BJY47" s="674"/>
      <c r="BJZ47" s="674"/>
      <c r="BKA47" s="674"/>
      <c r="BKB47" s="674"/>
      <c r="BKC47" s="674"/>
      <c r="BKD47" s="674"/>
      <c r="BKE47" s="674"/>
      <c r="BKF47" s="674"/>
      <c r="BKG47" s="674"/>
      <c r="BKH47" s="674"/>
      <c r="BKI47" s="674"/>
      <c r="BKJ47" s="674"/>
      <c r="BKK47" s="674"/>
      <c r="BKL47" s="674"/>
      <c r="BKM47" s="674"/>
      <c r="BKN47" s="674"/>
      <c r="BKO47" s="674"/>
      <c r="BKP47" s="674"/>
      <c r="BKQ47" s="674"/>
      <c r="BKR47" s="674"/>
      <c r="BKS47" s="674"/>
      <c r="BKT47" s="674"/>
      <c r="BKU47" s="674"/>
      <c r="BKV47" s="674"/>
      <c r="BKW47" s="674"/>
      <c r="BKX47" s="674"/>
      <c r="BKY47" s="674"/>
      <c r="BKZ47" s="674"/>
      <c r="BLA47" s="674"/>
      <c r="BLB47" s="674"/>
      <c r="BLC47" s="674"/>
      <c r="BLD47" s="674"/>
      <c r="BLE47" s="674"/>
      <c r="BLF47" s="674"/>
      <c r="BLG47" s="674"/>
      <c r="BLH47" s="674"/>
      <c r="BLI47" s="674"/>
      <c r="BLJ47" s="674"/>
      <c r="BLK47" s="674"/>
      <c r="BLL47" s="674"/>
      <c r="BLM47" s="674"/>
      <c r="BLN47" s="674"/>
      <c r="BLO47" s="674"/>
      <c r="BLP47" s="674"/>
      <c r="BLQ47" s="674"/>
      <c r="BLR47" s="674"/>
      <c r="BLS47" s="674"/>
      <c r="BLT47" s="674"/>
      <c r="BLU47" s="674"/>
      <c r="BLV47" s="674"/>
      <c r="BLW47" s="674"/>
      <c r="BLX47" s="674"/>
      <c r="BLY47" s="674"/>
      <c r="BLZ47" s="674"/>
      <c r="BMA47" s="674"/>
      <c r="BMB47" s="674"/>
      <c r="BMC47" s="674"/>
      <c r="BMD47" s="674"/>
      <c r="BME47" s="674"/>
      <c r="BMF47" s="674"/>
      <c r="BMG47" s="674"/>
      <c r="BMH47" s="674"/>
      <c r="BMI47" s="674"/>
      <c r="BMJ47" s="674"/>
      <c r="BMK47" s="674"/>
      <c r="BML47" s="674"/>
      <c r="BMM47" s="674"/>
      <c r="BMN47" s="674"/>
      <c r="BMO47" s="674"/>
      <c r="BMP47" s="674"/>
      <c r="BMQ47" s="674"/>
      <c r="BMR47" s="674"/>
      <c r="BMS47" s="674"/>
      <c r="BMT47" s="674"/>
      <c r="BMU47" s="674"/>
      <c r="BMV47" s="674"/>
      <c r="BMW47" s="674"/>
      <c r="BMX47" s="674"/>
      <c r="BMY47" s="674"/>
      <c r="BMZ47" s="674"/>
      <c r="BNA47" s="674"/>
      <c r="BNB47" s="674"/>
      <c r="BNC47" s="674"/>
      <c r="BND47" s="674"/>
      <c r="BNE47" s="674"/>
      <c r="BNF47" s="674"/>
      <c r="BNG47" s="674"/>
      <c r="BNH47" s="674"/>
      <c r="BNI47" s="674"/>
      <c r="BNJ47" s="674"/>
      <c r="BNK47" s="674"/>
      <c r="BNL47" s="674"/>
      <c r="BNM47" s="674"/>
      <c r="BNN47" s="674"/>
      <c r="BNO47" s="674"/>
      <c r="BNP47" s="674"/>
      <c r="BNQ47" s="674"/>
      <c r="BNR47" s="674"/>
      <c r="BNS47" s="674"/>
      <c r="BNT47" s="674"/>
      <c r="BNU47" s="674"/>
      <c r="BNV47" s="674"/>
      <c r="BNW47" s="674"/>
      <c r="BNX47" s="674"/>
      <c r="BNY47" s="674"/>
      <c r="BNZ47" s="674"/>
      <c r="BOA47" s="674"/>
      <c r="BOB47" s="674"/>
      <c r="BOC47" s="674"/>
      <c r="BOD47" s="674"/>
      <c r="BOE47" s="674"/>
      <c r="BOF47" s="674"/>
      <c r="BOG47" s="674"/>
      <c r="BOH47" s="674"/>
      <c r="BOI47" s="674"/>
      <c r="BOJ47" s="674"/>
      <c r="BOK47" s="674"/>
      <c r="BOL47" s="674"/>
      <c r="BOM47" s="674"/>
      <c r="BON47" s="674"/>
      <c r="BOO47" s="674"/>
      <c r="BOP47" s="674"/>
      <c r="BOQ47" s="674"/>
      <c r="BOR47" s="674"/>
      <c r="BOS47" s="674"/>
      <c r="BOT47" s="674"/>
      <c r="BOU47" s="674"/>
      <c r="BOV47" s="674"/>
      <c r="BOW47" s="674"/>
      <c r="BOX47" s="674"/>
      <c r="BOY47" s="674"/>
      <c r="BOZ47" s="674"/>
      <c r="BPA47" s="674"/>
      <c r="BPB47" s="674"/>
      <c r="BPC47" s="674"/>
      <c r="BPD47" s="674"/>
      <c r="BPE47" s="674"/>
      <c r="BPF47" s="674"/>
      <c r="BPG47" s="674"/>
      <c r="BPH47" s="674"/>
      <c r="BPI47" s="674"/>
      <c r="BPJ47" s="674"/>
      <c r="BPK47" s="674"/>
      <c r="BPL47" s="674"/>
      <c r="BPM47" s="674"/>
      <c r="BPN47" s="674"/>
      <c r="BPO47" s="674"/>
      <c r="BPP47" s="674"/>
      <c r="BPQ47" s="674"/>
      <c r="BPR47" s="674"/>
      <c r="BPS47" s="674"/>
      <c r="BPT47" s="674"/>
      <c r="BPU47" s="674"/>
      <c r="BPV47" s="674"/>
      <c r="BPW47" s="674"/>
      <c r="BPX47" s="674"/>
      <c r="BPY47" s="674"/>
      <c r="BPZ47" s="674"/>
      <c r="BQA47" s="674"/>
      <c r="BQB47" s="674"/>
      <c r="BQC47" s="674"/>
      <c r="BQD47" s="674"/>
      <c r="BQE47" s="674"/>
      <c r="BQF47" s="674"/>
      <c r="BQG47" s="674"/>
      <c r="BQH47" s="674"/>
      <c r="BQI47" s="674"/>
      <c r="BQJ47" s="674"/>
      <c r="BQK47" s="674"/>
      <c r="BQL47" s="674"/>
      <c r="BQM47" s="674"/>
      <c r="BQN47" s="674"/>
      <c r="BQO47" s="674"/>
      <c r="BQP47" s="674"/>
      <c r="BQQ47" s="674"/>
      <c r="BQR47" s="674"/>
      <c r="BQS47" s="674"/>
      <c r="BQT47" s="674"/>
      <c r="BQU47" s="674"/>
      <c r="BQV47" s="674"/>
      <c r="BQW47" s="674"/>
      <c r="BQX47" s="674"/>
      <c r="BQY47" s="674"/>
      <c r="BQZ47" s="674"/>
      <c r="BRA47" s="674"/>
      <c r="BRB47" s="674"/>
      <c r="BRC47" s="674"/>
      <c r="BRD47" s="674"/>
      <c r="BRE47" s="674"/>
      <c r="BRF47" s="674"/>
      <c r="BRG47" s="674"/>
      <c r="BRH47" s="674"/>
      <c r="BRI47" s="674"/>
      <c r="BRJ47" s="674"/>
      <c r="BRK47" s="674"/>
      <c r="BRL47" s="674"/>
      <c r="BRM47" s="674"/>
      <c r="BRN47" s="674"/>
      <c r="BRO47" s="674"/>
      <c r="BRP47" s="674"/>
      <c r="BRQ47" s="674"/>
      <c r="BRR47" s="674"/>
      <c r="BRS47" s="674"/>
      <c r="BRT47" s="674"/>
      <c r="BRU47" s="674"/>
      <c r="BRV47" s="674"/>
      <c r="BRW47" s="674"/>
      <c r="BRX47" s="674"/>
      <c r="BRY47" s="674"/>
      <c r="BRZ47" s="674"/>
      <c r="BSA47" s="674"/>
      <c r="BSB47" s="674"/>
      <c r="BSC47" s="674"/>
      <c r="BSD47" s="674"/>
      <c r="BSE47" s="674"/>
      <c r="BSF47" s="674"/>
      <c r="BSG47" s="674"/>
      <c r="BSH47" s="674"/>
      <c r="BSI47" s="674"/>
      <c r="BSJ47" s="674"/>
      <c r="BSK47" s="674"/>
      <c r="BSL47" s="674"/>
      <c r="BSM47" s="674"/>
      <c r="BSN47" s="674"/>
      <c r="BSO47" s="674"/>
      <c r="BSP47" s="674"/>
      <c r="BSQ47" s="674"/>
      <c r="BSR47" s="674"/>
      <c r="BSS47" s="674"/>
      <c r="BST47" s="674"/>
      <c r="BSU47" s="674"/>
      <c r="BSV47" s="674"/>
      <c r="BSW47" s="674"/>
      <c r="BSX47" s="674"/>
      <c r="BSY47" s="674"/>
      <c r="BSZ47" s="674"/>
      <c r="BTA47" s="674"/>
      <c r="BTB47" s="674"/>
      <c r="BTC47" s="674"/>
      <c r="BTD47" s="674"/>
      <c r="BTE47" s="674"/>
      <c r="BTF47" s="674"/>
      <c r="BTG47" s="674"/>
      <c r="BTH47" s="674"/>
      <c r="BTI47" s="674"/>
      <c r="BTJ47" s="674"/>
      <c r="BTK47" s="674"/>
      <c r="BTL47" s="674"/>
      <c r="BTM47" s="674"/>
      <c r="BTN47" s="674"/>
      <c r="BTO47" s="674"/>
      <c r="BTP47" s="674"/>
      <c r="BTQ47" s="674"/>
      <c r="BTR47" s="674"/>
      <c r="BTS47" s="674"/>
      <c r="BTT47" s="674"/>
      <c r="BTU47" s="674"/>
      <c r="BTV47" s="674"/>
      <c r="BTW47" s="674"/>
      <c r="BTX47" s="674"/>
      <c r="BTY47" s="674"/>
      <c r="BTZ47" s="674"/>
      <c r="BUA47" s="674"/>
      <c r="BUB47" s="674"/>
      <c r="BUC47" s="674"/>
      <c r="BUD47" s="674"/>
      <c r="BUE47" s="674"/>
      <c r="BUF47" s="674"/>
      <c r="BUG47" s="674"/>
      <c r="BUH47" s="674"/>
      <c r="BUI47" s="674"/>
      <c r="BUJ47" s="674"/>
      <c r="BUK47" s="674"/>
      <c r="BUL47" s="674"/>
      <c r="BUM47" s="674"/>
      <c r="BUN47" s="674"/>
      <c r="BUO47" s="674"/>
      <c r="BUP47" s="674"/>
      <c r="BUQ47" s="674"/>
      <c r="BUR47" s="674"/>
      <c r="BUS47" s="674"/>
      <c r="BUT47" s="674"/>
      <c r="BUU47" s="674"/>
      <c r="BUV47" s="674"/>
      <c r="BUW47" s="674"/>
      <c r="BUX47" s="674"/>
      <c r="BUY47" s="674"/>
      <c r="BUZ47" s="674"/>
      <c r="BVA47" s="674"/>
      <c r="BVB47" s="674"/>
      <c r="BVC47" s="674"/>
      <c r="BVD47" s="674"/>
      <c r="BVE47" s="674"/>
      <c r="BVF47" s="674"/>
      <c r="BVG47" s="674"/>
      <c r="BVH47" s="674"/>
      <c r="BVI47" s="674"/>
      <c r="BVJ47" s="674"/>
      <c r="BVK47" s="674"/>
      <c r="BVL47" s="674"/>
      <c r="BVM47" s="674"/>
      <c r="BVN47" s="674"/>
      <c r="BVO47" s="674"/>
      <c r="BVP47" s="674"/>
      <c r="BVQ47" s="674"/>
      <c r="BVR47" s="674"/>
      <c r="BVS47" s="674"/>
      <c r="BVT47" s="674"/>
      <c r="BVU47" s="674"/>
      <c r="BVV47" s="674"/>
      <c r="BVW47" s="674"/>
      <c r="BVX47" s="674"/>
      <c r="BVY47" s="674"/>
      <c r="BVZ47" s="674"/>
      <c r="BWA47" s="674"/>
      <c r="BWB47" s="674"/>
      <c r="BWC47" s="674"/>
      <c r="BWD47" s="674"/>
      <c r="BWE47" s="674"/>
      <c r="BWF47" s="674"/>
      <c r="BWG47" s="674"/>
      <c r="BWH47" s="674"/>
      <c r="BWI47" s="674"/>
      <c r="BWJ47" s="674"/>
      <c r="BWK47" s="674"/>
      <c r="BWL47" s="674"/>
      <c r="BWM47" s="674"/>
      <c r="BWN47" s="674"/>
      <c r="BWO47" s="674"/>
      <c r="BWP47" s="674"/>
      <c r="BWQ47" s="674"/>
      <c r="BWR47" s="674"/>
      <c r="BWS47" s="674"/>
      <c r="BWT47" s="674"/>
      <c r="BWU47" s="674"/>
      <c r="BWV47" s="674"/>
      <c r="BWW47" s="674"/>
      <c r="BWX47" s="674"/>
      <c r="BWY47" s="674"/>
      <c r="BWZ47" s="674"/>
      <c r="BXA47" s="674"/>
      <c r="BXB47" s="674"/>
      <c r="BXC47" s="674"/>
      <c r="BXD47" s="674"/>
      <c r="BXE47" s="674"/>
      <c r="BXF47" s="674"/>
      <c r="BXG47" s="674"/>
      <c r="BXH47" s="674"/>
      <c r="BXI47" s="674"/>
      <c r="BXJ47" s="674"/>
      <c r="BXK47" s="674"/>
      <c r="BXL47" s="674"/>
      <c r="BXM47" s="674"/>
      <c r="BXN47" s="674"/>
      <c r="BXO47" s="674"/>
      <c r="BXP47" s="674"/>
      <c r="BXQ47" s="674"/>
      <c r="BXR47" s="674"/>
      <c r="BXS47" s="674"/>
      <c r="BXT47" s="674"/>
      <c r="BXU47" s="674"/>
      <c r="BXV47" s="674"/>
      <c r="BXW47" s="674"/>
      <c r="BXX47" s="674"/>
      <c r="BXY47" s="674"/>
      <c r="BXZ47" s="674"/>
      <c r="BYA47" s="674"/>
      <c r="BYB47" s="674"/>
      <c r="BYC47" s="674"/>
      <c r="BYD47" s="674"/>
      <c r="BYE47" s="674"/>
      <c r="BYF47" s="674"/>
      <c r="BYG47" s="674"/>
      <c r="BYH47" s="674"/>
      <c r="BYI47" s="674"/>
      <c r="BYJ47" s="674"/>
      <c r="BYK47" s="674"/>
      <c r="BYL47" s="674"/>
      <c r="BYM47" s="674"/>
      <c r="BYN47" s="674"/>
      <c r="BYO47" s="674"/>
      <c r="BYP47" s="674"/>
      <c r="BYQ47" s="674"/>
      <c r="BYR47" s="674"/>
      <c r="BYS47" s="674"/>
      <c r="BYT47" s="674"/>
      <c r="BYU47" s="674"/>
      <c r="BYV47" s="674"/>
      <c r="BYW47" s="674"/>
      <c r="BYX47" s="674"/>
      <c r="BYY47" s="674"/>
      <c r="BYZ47" s="674"/>
      <c r="BZA47" s="674"/>
      <c r="BZB47" s="674"/>
      <c r="BZC47" s="674"/>
      <c r="BZD47" s="674"/>
      <c r="BZE47" s="674"/>
      <c r="BZF47" s="674"/>
      <c r="BZG47" s="674"/>
      <c r="BZH47" s="674"/>
      <c r="BZI47" s="674"/>
      <c r="BZJ47" s="674"/>
      <c r="BZK47" s="674"/>
      <c r="BZL47" s="674"/>
      <c r="BZM47" s="674"/>
      <c r="BZN47" s="674"/>
      <c r="BZO47" s="674"/>
      <c r="BZP47" s="674"/>
      <c r="BZQ47" s="674"/>
      <c r="BZR47" s="674"/>
      <c r="BZS47" s="674"/>
      <c r="BZT47" s="674"/>
      <c r="BZU47" s="674"/>
      <c r="BZV47" s="674"/>
      <c r="BZW47" s="674"/>
      <c r="BZX47" s="674"/>
      <c r="BZY47" s="674"/>
      <c r="BZZ47" s="674"/>
      <c r="CAA47" s="674"/>
      <c r="CAB47" s="674"/>
      <c r="CAC47" s="674"/>
      <c r="CAD47" s="674"/>
      <c r="CAE47" s="674"/>
      <c r="CAF47" s="674"/>
      <c r="CAG47" s="674"/>
      <c r="CAH47" s="674"/>
      <c r="CAI47" s="674"/>
      <c r="CAJ47" s="674"/>
      <c r="CAK47" s="674"/>
      <c r="CAL47" s="674"/>
      <c r="CAM47" s="674"/>
      <c r="CAN47" s="674"/>
      <c r="CAO47" s="674"/>
      <c r="CAP47" s="674"/>
      <c r="CAQ47" s="674"/>
      <c r="CAR47" s="674"/>
      <c r="CAS47" s="674"/>
      <c r="CAT47" s="674"/>
      <c r="CAU47" s="674"/>
      <c r="CAV47" s="674"/>
      <c r="CAW47" s="674"/>
      <c r="CAX47" s="674"/>
      <c r="CAY47" s="674"/>
      <c r="CAZ47" s="674"/>
      <c r="CBA47" s="674"/>
      <c r="CBB47" s="674"/>
      <c r="CBC47" s="674"/>
      <c r="CBD47" s="674"/>
      <c r="CBE47" s="674"/>
      <c r="CBF47" s="674"/>
      <c r="CBG47" s="674"/>
      <c r="CBH47" s="674"/>
      <c r="CBI47" s="674"/>
      <c r="CBJ47" s="674"/>
      <c r="CBK47" s="674"/>
      <c r="CBL47" s="674"/>
      <c r="CBM47" s="674"/>
      <c r="CBN47" s="674"/>
      <c r="CBO47" s="674"/>
      <c r="CBP47" s="674"/>
      <c r="CBQ47" s="674"/>
      <c r="CBR47" s="674"/>
      <c r="CBS47" s="674"/>
      <c r="CBT47" s="674"/>
      <c r="CBU47" s="674"/>
      <c r="CBV47" s="674"/>
      <c r="CBW47" s="674"/>
      <c r="CBX47" s="674"/>
      <c r="CBY47" s="674"/>
      <c r="CBZ47" s="674"/>
      <c r="CCA47" s="674"/>
      <c r="CCB47" s="674"/>
      <c r="CCC47" s="674"/>
      <c r="CCD47" s="674"/>
      <c r="CCE47" s="674"/>
      <c r="CCF47" s="674"/>
      <c r="CCG47" s="674"/>
      <c r="CCH47" s="674"/>
      <c r="CCI47" s="674"/>
      <c r="CCJ47" s="674"/>
      <c r="CCK47" s="674"/>
      <c r="CCL47" s="674"/>
      <c r="CCM47" s="674"/>
      <c r="CCN47" s="674"/>
      <c r="CCO47" s="674"/>
      <c r="CCP47" s="674"/>
      <c r="CCQ47" s="674"/>
      <c r="CCR47" s="674"/>
      <c r="CCS47" s="674"/>
      <c r="CCT47" s="674"/>
      <c r="CCU47" s="674"/>
      <c r="CCV47" s="674"/>
      <c r="CCW47" s="674"/>
      <c r="CCX47" s="674"/>
      <c r="CCY47" s="674"/>
      <c r="CCZ47" s="674"/>
      <c r="CDA47" s="674"/>
      <c r="CDB47" s="674"/>
      <c r="CDC47" s="674"/>
      <c r="CDD47" s="674"/>
      <c r="CDE47" s="674"/>
      <c r="CDF47" s="674"/>
      <c r="CDG47" s="674"/>
      <c r="CDH47" s="674"/>
      <c r="CDI47" s="674"/>
      <c r="CDJ47" s="674"/>
      <c r="CDK47" s="674"/>
      <c r="CDL47" s="674"/>
      <c r="CDM47" s="674"/>
      <c r="CDN47" s="674"/>
      <c r="CDO47" s="674"/>
      <c r="CDP47" s="674"/>
      <c r="CDQ47" s="674"/>
      <c r="CDR47" s="674"/>
      <c r="CDS47" s="674"/>
      <c r="CDT47" s="674"/>
      <c r="CDU47" s="674"/>
      <c r="CDV47" s="674"/>
      <c r="CDW47" s="674"/>
      <c r="CDX47" s="674"/>
      <c r="CDY47" s="674"/>
      <c r="CDZ47" s="674"/>
      <c r="CEA47" s="674"/>
      <c r="CEB47" s="674"/>
      <c r="CEC47" s="674"/>
      <c r="CED47" s="674"/>
      <c r="CEE47" s="674"/>
      <c r="CEF47" s="674"/>
      <c r="CEG47" s="674"/>
      <c r="CEH47" s="674"/>
      <c r="CEI47" s="674"/>
      <c r="CEJ47" s="674"/>
      <c r="CEK47" s="674"/>
      <c r="CEL47" s="674"/>
      <c r="CEM47" s="674"/>
      <c r="CEN47" s="674"/>
      <c r="CEO47" s="674"/>
      <c r="CEP47" s="674"/>
      <c r="CEQ47" s="674"/>
      <c r="CER47" s="674"/>
      <c r="CES47" s="674"/>
      <c r="CET47" s="674"/>
      <c r="CEU47" s="674"/>
      <c r="CEV47" s="674"/>
      <c r="CEW47" s="674"/>
      <c r="CEX47" s="674"/>
      <c r="CEY47" s="674"/>
      <c r="CEZ47" s="674"/>
      <c r="CFA47" s="674"/>
      <c r="CFB47" s="674"/>
      <c r="CFC47" s="674"/>
      <c r="CFD47" s="674"/>
      <c r="CFE47" s="674"/>
      <c r="CFF47" s="674"/>
      <c r="CFG47" s="674"/>
      <c r="CFH47" s="674"/>
      <c r="CFI47" s="674"/>
      <c r="CFJ47" s="674"/>
      <c r="CFK47" s="674"/>
      <c r="CFL47" s="674"/>
      <c r="CFM47" s="674"/>
      <c r="CFN47" s="674"/>
      <c r="CFO47" s="674"/>
      <c r="CFP47" s="674"/>
      <c r="CFQ47" s="674"/>
      <c r="CFR47" s="674"/>
      <c r="CFS47" s="674"/>
      <c r="CFT47" s="674"/>
      <c r="CFU47" s="674"/>
      <c r="CFV47" s="674"/>
      <c r="CFW47" s="674"/>
      <c r="CFX47" s="674"/>
      <c r="CFY47" s="674"/>
      <c r="CFZ47" s="674"/>
      <c r="CGA47" s="674"/>
      <c r="CGB47" s="674"/>
      <c r="CGC47" s="674"/>
      <c r="CGD47" s="674"/>
      <c r="CGE47" s="674"/>
      <c r="CGF47" s="674"/>
      <c r="CGG47" s="674"/>
      <c r="CGH47" s="674"/>
      <c r="CGI47" s="674"/>
      <c r="CGJ47" s="674"/>
      <c r="CGK47" s="674"/>
      <c r="CGL47" s="674"/>
      <c r="CGM47" s="674"/>
      <c r="CGN47" s="674"/>
      <c r="CGO47" s="674"/>
      <c r="CGP47" s="674"/>
      <c r="CGQ47" s="674"/>
      <c r="CGR47" s="674"/>
      <c r="CGS47" s="674"/>
      <c r="CGT47" s="674"/>
      <c r="CGU47" s="674"/>
      <c r="CGV47" s="674"/>
      <c r="CGW47" s="674"/>
      <c r="CGX47" s="674"/>
      <c r="CGY47" s="674"/>
      <c r="CGZ47" s="674"/>
      <c r="CHA47" s="674"/>
      <c r="CHB47" s="674"/>
      <c r="CHC47" s="674"/>
      <c r="CHD47" s="674"/>
      <c r="CHE47" s="674"/>
      <c r="CHF47" s="674"/>
      <c r="CHG47" s="674"/>
      <c r="CHH47" s="674"/>
      <c r="CHI47" s="674"/>
      <c r="CHJ47" s="674"/>
      <c r="CHK47" s="674"/>
      <c r="CHL47" s="674"/>
      <c r="CHM47" s="674"/>
      <c r="CHN47" s="674"/>
      <c r="CHO47" s="674"/>
      <c r="CHP47" s="674"/>
      <c r="CHQ47" s="674"/>
      <c r="CHR47" s="674"/>
      <c r="CHS47" s="674"/>
      <c r="CHT47" s="674"/>
      <c r="CHU47" s="674"/>
      <c r="CHV47" s="674"/>
      <c r="CHW47" s="674"/>
      <c r="CHX47" s="674"/>
      <c r="CHY47" s="674"/>
      <c r="CHZ47" s="674"/>
      <c r="CIA47" s="674"/>
      <c r="CIB47" s="674"/>
      <c r="CIC47" s="674"/>
      <c r="CID47" s="674"/>
      <c r="CIE47" s="674"/>
      <c r="CIF47" s="674"/>
      <c r="CIG47" s="674"/>
      <c r="CIH47" s="674"/>
      <c r="CII47" s="674"/>
      <c r="CIJ47" s="674"/>
      <c r="CIK47" s="674"/>
      <c r="CIL47" s="674"/>
      <c r="CIM47" s="674"/>
      <c r="CIN47" s="674"/>
      <c r="CIO47" s="674"/>
      <c r="CIP47" s="674"/>
      <c r="CIQ47" s="674"/>
      <c r="CIR47" s="674"/>
      <c r="CIS47" s="674"/>
      <c r="CIT47" s="674"/>
      <c r="CIU47" s="674"/>
      <c r="CIV47" s="674"/>
      <c r="CIW47" s="674"/>
      <c r="CIX47" s="674"/>
      <c r="CIY47" s="674"/>
      <c r="CIZ47" s="674"/>
      <c r="CJA47" s="674"/>
      <c r="CJB47" s="674"/>
      <c r="CJC47" s="674"/>
      <c r="CJD47" s="674"/>
      <c r="CJE47" s="674"/>
      <c r="CJF47" s="674"/>
      <c r="CJG47" s="674"/>
      <c r="CJH47" s="674"/>
      <c r="CJI47" s="674"/>
      <c r="CJJ47" s="674"/>
      <c r="CJK47" s="674"/>
      <c r="CJL47" s="674"/>
      <c r="CJM47" s="674"/>
      <c r="CJN47" s="674"/>
      <c r="CJO47" s="674"/>
      <c r="CJP47" s="674"/>
      <c r="CJQ47" s="674"/>
      <c r="CJR47" s="674"/>
      <c r="CJS47" s="674"/>
      <c r="CJT47" s="674"/>
      <c r="CJU47" s="674"/>
      <c r="CJV47" s="674"/>
      <c r="CJW47" s="674"/>
      <c r="CJX47" s="674"/>
      <c r="CJY47" s="674"/>
      <c r="CJZ47" s="674"/>
      <c r="CKA47" s="674"/>
      <c r="CKB47" s="674"/>
      <c r="CKC47" s="674"/>
      <c r="CKD47" s="674"/>
      <c r="CKE47" s="674"/>
      <c r="CKF47" s="674"/>
      <c r="CKG47" s="674"/>
      <c r="CKH47" s="674"/>
      <c r="CKI47" s="674"/>
      <c r="CKJ47" s="674"/>
      <c r="CKK47" s="674"/>
      <c r="CKL47" s="674"/>
      <c r="CKM47" s="674"/>
      <c r="CKN47" s="674"/>
      <c r="CKO47" s="674"/>
      <c r="CKP47" s="674"/>
      <c r="CKQ47" s="674"/>
      <c r="CKR47" s="674"/>
      <c r="CKS47" s="674"/>
      <c r="CKT47" s="674"/>
      <c r="CKU47" s="674"/>
      <c r="CKV47" s="674"/>
      <c r="CKW47" s="674"/>
      <c r="CKX47" s="674"/>
      <c r="CKY47" s="674"/>
      <c r="CKZ47" s="674"/>
      <c r="CLA47" s="674"/>
      <c r="CLB47" s="674"/>
      <c r="CLC47" s="674"/>
      <c r="CLD47" s="674"/>
      <c r="CLE47" s="674"/>
      <c r="CLF47" s="674"/>
      <c r="CLG47" s="674"/>
      <c r="CLH47" s="674"/>
      <c r="CLI47" s="674"/>
      <c r="CLJ47" s="674"/>
      <c r="CLK47" s="674"/>
      <c r="CLL47" s="674"/>
      <c r="CLM47" s="674"/>
      <c r="CLN47" s="674"/>
      <c r="CLO47" s="674"/>
      <c r="CLP47" s="674"/>
      <c r="CLQ47" s="674"/>
      <c r="CLR47" s="674"/>
      <c r="CLS47" s="674"/>
      <c r="CLT47" s="674"/>
      <c r="CLU47" s="674"/>
      <c r="CLV47" s="674"/>
      <c r="CLW47" s="674"/>
      <c r="CLX47" s="674"/>
      <c r="CLY47" s="674"/>
      <c r="CLZ47" s="674"/>
      <c r="CMA47" s="674"/>
      <c r="CMB47" s="674"/>
      <c r="CMC47" s="674"/>
      <c r="CMD47" s="674"/>
      <c r="CME47" s="674"/>
      <c r="CMF47" s="674"/>
      <c r="CMG47" s="674"/>
      <c r="CMH47" s="674"/>
      <c r="CMI47" s="674"/>
      <c r="CMJ47" s="674"/>
      <c r="CMK47" s="674"/>
      <c r="CML47" s="674"/>
      <c r="CMM47" s="674"/>
      <c r="CMN47" s="674"/>
      <c r="CMO47" s="674"/>
      <c r="CMP47" s="674"/>
      <c r="CMQ47" s="674"/>
      <c r="CMR47" s="674"/>
      <c r="CMS47" s="674"/>
      <c r="CMT47" s="674"/>
      <c r="CMU47" s="674"/>
      <c r="CMV47" s="674"/>
      <c r="CMW47" s="674"/>
      <c r="CMX47" s="674"/>
      <c r="CMY47" s="674"/>
      <c r="CMZ47" s="674"/>
      <c r="CNA47" s="674"/>
      <c r="CNB47" s="674"/>
      <c r="CNC47" s="674"/>
      <c r="CND47" s="674"/>
      <c r="CNE47" s="674"/>
      <c r="CNF47" s="674"/>
      <c r="CNG47" s="674"/>
      <c r="CNH47" s="674"/>
      <c r="CNI47" s="674"/>
      <c r="CNJ47" s="674"/>
      <c r="CNK47" s="674"/>
      <c r="CNL47" s="674"/>
      <c r="CNM47" s="674"/>
      <c r="CNN47" s="674"/>
      <c r="CNO47" s="674"/>
      <c r="CNP47" s="674"/>
      <c r="CNQ47" s="674"/>
      <c r="CNR47" s="674"/>
      <c r="CNS47" s="674"/>
      <c r="CNT47" s="674"/>
      <c r="CNU47" s="674"/>
      <c r="CNV47" s="674"/>
      <c r="CNW47" s="674"/>
      <c r="CNX47" s="674"/>
      <c r="CNY47" s="674"/>
      <c r="CNZ47" s="674"/>
      <c r="COA47" s="674"/>
      <c r="COB47" s="674"/>
      <c r="COC47" s="674"/>
      <c r="COD47" s="674"/>
      <c r="COE47" s="674"/>
      <c r="COF47" s="674"/>
      <c r="COG47" s="674"/>
      <c r="COH47" s="674"/>
      <c r="COI47" s="674"/>
      <c r="COJ47" s="674"/>
      <c r="COK47" s="674"/>
      <c r="COL47" s="674"/>
      <c r="COM47" s="674"/>
      <c r="CON47" s="674"/>
      <c r="COO47" s="674"/>
      <c r="COP47" s="674"/>
      <c r="COQ47" s="674"/>
      <c r="COR47" s="674"/>
      <c r="COS47" s="674"/>
      <c r="COT47" s="674"/>
      <c r="COU47" s="674"/>
      <c r="COV47" s="674"/>
      <c r="COW47" s="674"/>
      <c r="COX47" s="674"/>
      <c r="COY47" s="674"/>
      <c r="COZ47" s="674"/>
      <c r="CPA47" s="674"/>
      <c r="CPB47" s="674"/>
      <c r="CPC47" s="674"/>
      <c r="CPD47" s="674"/>
      <c r="CPE47" s="674"/>
      <c r="CPF47" s="674"/>
      <c r="CPG47" s="674"/>
      <c r="CPH47" s="674"/>
      <c r="CPI47" s="674"/>
      <c r="CPJ47" s="674"/>
      <c r="CPK47" s="674"/>
      <c r="CPL47" s="674"/>
      <c r="CPM47" s="674"/>
      <c r="CPN47" s="674"/>
      <c r="CPO47" s="674"/>
      <c r="CPP47" s="674"/>
      <c r="CPQ47" s="674"/>
      <c r="CPR47" s="674"/>
      <c r="CPS47" s="674"/>
      <c r="CPT47" s="674"/>
      <c r="CPU47" s="674"/>
      <c r="CPV47" s="674"/>
      <c r="CPW47" s="674"/>
      <c r="CPX47" s="674"/>
      <c r="CPY47" s="674"/>
      <c r="CPZ47" s="674"/>
      <c r="CQA47" s="674"/>
      <c r="CQB47" s="674"/>
      <c r="CQC47" s="674"/>
      <c r="CQD47" s="674"/>
      <c r="CQE47" s="674"/>
      <c r="CQF47" s="674"/>
      <c r="CQG47" s="674"/>
      <c r="CQH47" s="674"/>
      <c r="CQI47" s="674"/>
      <c r="CQJ47" s="674"/>
      <c r="CQK47" s="674"/>
      <c r="CQL47" s="674"/>
      <c r="CQM47" s="674"/>
      <c r="CQN47" s="674"/>
      <c r="CQO47" s="674"/>
      <c r="CQP47" s="674"/>
      <c r="CQQ47" s="674"/>
      <c r="CQR47" s="674"/>
      <c r="CQS47" s="674"/>
      <c r="CQT47" s="674"/>
      <c r="CQU47" s="674"/>
      <c r="CQV47" s="674"/>
      <c r="CQW47" s="674"/>
      <c r="CQX47" s="674"/>
      <c r="CQY47" s="674"/>
      <c r="CQZ47" s="674"/>
      <c r="CRA47" s="674"/>
      <c r="CRB47" s="674"/>
      <c r="CRC47" s="674"/>
      <c r="CRD47" s="674"/>
      <c r="CRE47" s="674"/>
      <c r="CRF47" s="674"/>
      <c r="CRG47" s="674"/>
      <c r="CRH47" s="674"/>
      <c r="CRI47" s="674"/>
      <c r="CRJ47" s="674"/>
      <c r="CRK47" s="674"/>
      <c r="CRL47" s="674"/>
      <c r="CRM47" s="674"/>
      <c r="CRN47" s="674"/>
      <c r="CRO47" s="674"/>
      <c r="CRP47" s="674"/>
      <c r="CRQ47" s="674"/>
      <c r="CRR47" s="674"/>
      <c r="CRS47" s="674"/>
      <c r="CRT47" s="674"/>
      <c r="CRU47" s="674"/>
      <c r="CRV47" s="674"/>
      <c r="CRW47" s="674"/>
      <c r="CRX47" s="674"/>
      <c r="CRY47" s="674"/>
      <c r="CRZ47" s="674"/>
      <c r="CSA47" s="674"/>
      <c r="CSB47" s="674"/>
      <c r="CSC47" s="674"/>
      <c r="CSD47" s="674"/>
      <c r="CSE47" s="674"/>
      <c r="CSF47" s="674"/>
      <c r="CSG47" s="674"/>
      <c r="CSH47" s="674"/>
      <c r="CSI47" s="674"/>
      <c r="CSJ47" s="674"/>
      <c r="CSK47" s="674"/>
      <c r="CSL47" s="674"/>
      <c r="CSM47" s="674"/>
      <c r="CSN47" s="674"/>
      <c r="CSO47" s="674"/>
      <c r="CSP47" s="674"/>
      <c r="CSQ47" s="674"/>
      <c r="CSR47" s="674"/>
      <c r="CSS47" s="674"/>
      <c r="CST47" s="674"/>
      <c r="CSU47" s="674"/>
      <c r="CSV47" s="674"/>
      <c r="CSW47" s="674"/>
      <c r="CSX47" s="674"/>
      <c r="CSY47" s="674"/>
      <c r="CSZ47" s="674"/>
      <c r="CTA47" s="674"/>
      <c r="CTB47" s="674"/>
      <c r="CTC47" s="674"/>
      <c r="CTD47" s="674"/>
      <c r="CTE47" s="674"/>
      <c r="CTF47" s="674"/>
      <c r="CTG47" s="674"/>
      <c r="CTH47" s="674"/>
      <c r="CTI47" s="674"/>
      <c r="CTJ47" s="674"/>
      <c r="CTK47" s="674"/>
      <c r="CTL47" s="674"/>
      <c r="CTM47" s="674"/>
      <c r="CTN47" s="674"/>
      <c r="CTO47" s="674"/>
      <c r="CTP47" s="674"/>
      <c r="CTQ47" s="674"/>
      <c r="CTR47" s="674"/>
      <c r="CTS47" s="674"/>
      <c r="CTT47" s="674"/>
      <c r="CTU47" s="674"/>
      <c r="CTV47" s="674"/>
      <c r="CTW47" s="674"/>
      <c r="CTX47" s="674"/>
      <c r="CTY47" s="674"/>
      <c r="CTZ47" s="674"/>
      <c r="CUA47" s="674"/>
      <c r="CUB47" s="674"/>
      <c r="CUC47" s="674"/>
      <c r="CUD47" s="674"/>
      <c r="CUE47" s="674"/>
      <c r="CUF47" s="674"/>
      <c r="CUG47" s="674"/>
      <c r="CUH47" s="674"/>
      <c r="CUI47" s="674"/>
      <c r="CUJ47" s="674"/>
      <c r="CUK47" s="674"/>
      <c r="CUL47" s="674"/>
      <c r="CUM47" s="674"/>
      <c r="CUN47" s="674"/>
      <c r="CUO47" s="674"/>
      <c r="CUP47" s="674"/>
      <c r="CUQ47" s="674"/>
      <c r="CUR47" s="674"/>
      <c r="CUS47" s="674"/>
      <c r="CUT47" s="674"/>
      <c r="CUU47" s="674"/>
      <c r="CUV47" s="674"/>
      <c r="CUW47" s="674"/>
      <c r="CUX47" s="674"/>
      <c r="CUY47" s="674"/>
      <c r="CUZ47" s="674"/>
      <c r="CVA47" s="674"/>
      <c r="CVB47" s="674"/>
      <c r="CVC47" s="674"/>
      <c r="CVD47" s="674"/>
      <c r="CVE47" s="674"/>
      <c r="CVF47" s="674"/>
      <c r="CVG47" s="674"/>
      <c r="CVH47" s="674"/>
      <c r="CVI47" s="674"/>
      <c r="CVJ47" s="674"/>
      <c r="CVK47" s="674"/>
      <c r="CVL47" s="674"/>
      <c r="CVM47" s="674"/>
      <c r="CVN47" s="674"/>
      <c r="CVO47" s="674"/>
      <c r="CVP47" s="674"/>
      <c r="CVQ47" s="674"/>
      <c r="CVR47" s="674"/>
      <c r="CVS47" s="674"/>
      <c r="CVT47" s="674"/>
      <c r="CVU47" s="674"/>
      <c r="CVV47" s="674"/>
      <c r="CVW47" s="674"/>
      <c r="CVX47" s="674"/>
      <c r="CVY47" s="674"/>
      <c r="CVZ47" s="674"/>
      <c r="CWA47" s="674"/>
      <c r="CWB47" s="674"/>
      <c r="CWC47" s="674"/>
      <c r="CWD47" s="674"/>
      <c r="CWE47" s="674"/>
      <c r="CWF47" s="674"/>
      <c r="CWG47" s="674"/>
      <c r="CWH47" s="674"/>
      <c r="CWI47" s="674"/>
      <c r="CWJ47" s="674"/>
      <c r="CWK47" s="674"/>
      <c r="CWL47" s="674"/>
      <c r="CWM47" s="674"/>
      <c r="CWN47" s="674"/>
      <c r="CWO47" s="674"/>
      <c r="CWP47" s="674"/>
      <c r="CWQ47" s="674"/>
      <c r="CWR47" s="674"/>
      <c r="CWS47" s="674"/>
      <c r="CWT47" s="674"/>
      <c r="CWU47" s="674"/>
      <c r="CWV47" s="674"/>
      <c r="CWW47" s="674"/>
      <c r="CWX47" s="674"/>
      <c r="CWY47" s="674"/>
      <c r="CWZ47" s="674"/>
      <c r="CXA47" s="674"/>
      <c r="CXB47" s="674"/>
      <c r="CXC47" s="674"/>
      <c r="CXD47" s="674"/>
      <c r="CXE47" s="674"/>
      <c r="CXF47" s="674"/>
      <c r="CXG47" s="674"/>
      <c r="CXH47" s="674"/>
      <c r="CXI47" s="674"/>
      <c r="CXJ47" s="674"/>
      <c r="CXK47" s="674"/>
      <c r="CXL47" s="674"/>
      <c r="CXM47" s="674"/>
      <c r="CXN47" s="674"/>
      <c r="CXO47" s="674"/>
      <c r="CXP47" s="674"/>
      <c r="CXQ47" s="674"/>
      <c r="CXR47" s="674"/>
      <c r="CXS47" s="674"/>
      <c r="CXT47" s="674"/>
      <c r="CXU47" s="674"/>
      <c r="CXV47" s="674"/>
      <c r="CXW47" s="674"/>
      <c r="CXX47" s="674"/>
      <c r="CXY47" s="674"/>
      <c r="CXZ47" s="674"/>
      <c r="CYA47" s="674"/>
      <c r="CYB47" s="674"/>
      <c r="CYC47" s="674"/>
      <c r="CYD47" s="674"/>
      <c r="CYE47" s="674"/>
      <c r="CYF47" s="674"/>
      <c r="CYG47" s="674"/>
      <c r="CYH47" s="674"/>
      <c r="CYI47" s="674"/>
      <c r="CYJ47" s="674"/>
      <c r="CYK47" s="674"/>
      <c r="CYL47" s="674"/>
      <c r="CYM47" s="674"/>
      <c r="CYN47" s="674"/>
      <c r="CYO47" s="674"/>
      <c r="CYP47" s="674"/>
      <c r="CYQ47" s="674"/>
      <c r="CYR47" s="674"/>
      <c r="CYS47" s="674"/>
      <c r="CYT47" s="674"/>
      <c r="CYU47" s="674"/>
      <c r="CYV47" s="674"/>
      <c r="CYW47" s="674"/>
      <c r="CYX47" s="674"/>
      <c r="CYY47" s="674"/>
      <c r="CYZ47" s="674"/>
      <c r="CZA47" s="674"/>
      <c r="CZB47" s="674"/>
      <c r="CZC47" s="674"/>
      <c r="CZD47" s="674"/>
      <c r="CZE47" s="674"/>
      <c r="CZF47" s="674"/>
      <c r="CZG47" s="674"/>
      <c r="CZH47" s="674"/>
      <c r="CZI47" s="674"/>
      <c r="CZJ47" s="674"/>
      <c r="CZK47" s="674"/>
      <c r="CZL47" s="674"/>
      <c r="CZM47" s="674"/>
      <c r="CZN47" s="674"/>
      <c r="CZO47" s="674"/>
      <c r="CZP47" s="674"/>
      <c r="CZQ47" s="674"/>
      <c r="CZR47" s="674"/>
      <c r="CZS47" s="674"/>
      <c r="CZT47" s="674"/>
      <c r="CZU47" s="674"/>
      <c r="CZV47" s="674"/>
      <c r="CZW47" s="674"/>
      <c r="CZX47" s="674"/>
      <c r="CZY47" s="674"/>
      <c r="CZZ47" s="674"/>
      <c r="DAA47" s="674"/>
      <c r="DAB47" s="674"/>
      <c r="DAC47" s="674"/>
      <c r="DAD47" s="674"/>
      <c r="DAE47" s="674"/>
      <c r="DAF47" s="674"/>
      <c r="DAG47" s="674"/>
      <c r="DAH47" s="674"/>
      <c r="DAI47" s="674"/>
      <c r="DAJ47" s="674"/>
      <c r="DAK47" s="674"/>
      <c r="DAL47" s="674"/>
      <c r="DAM47" s="674"/>
      <c r="DAN47" s="674"/>
      <c r="DAO47" s="674"/>
      <c r="DAP47" s="674"/>
      <c r="DAQ47" s="674"/>
      <c r="DAR47" s="674"/>
      <c r="DAS47" s="674"/>
      <c r="DAT47" s="674"/>
      <c r="DAU47" s="674"/>
      <c r="DAV47" s="674"/>
      <c r="DAW47" s="674"/>
      <c r="DAX47" s="674"/>
      <c r="DAY47" s="674"/>
      <c r="DAZ47" s="674"/>
      <c r="DBA47" s="674"/>
      <c r="DBB47" s="674"/>
      <c r="DBC47" s="674"/>
      <c r="DBD47" s="674"/>
      <c r="DBE47" s="674"/>
      <c r="DBF47" s="674"/>
      <c r="DBG47" s="674"/>
      <c r="DBH47" s="674"/>
      <c r="DBI47" s="674"/>
      <c r="DBJ47" s="674"/>
      <c r="DBK47" s="674"/>
      <c r="DBL47" s="674"/>
      <c r="DBM47" s="674"/>
      <c r="DBN47" s="674"/>
      <c r="DBO47" s="674"/>
      <c r="DBP47" s="674"/>
      <c r="DBQ47" s="674"/>
      <c r="DBR47" s="674"/>
      <c r="DBS47" s="674"/>
      <c r="DBT47" s="674"/>
      <c r="DBU47" s="674"/>
      <c r="DBV47" s="674"/>
      <c r="DBW47" s="674"/>
      <c r="DBX47" s="674"/>
      <c r="DBY47" s="674"/>
      <c r="DBZ47" s="674"/>
      <c r="DCA47" s="674"/>
      <c r="DCB47" s="674"/>
      <c r="DCC47" s="674"/>
      <c r="DCD47" s="674"/>
      <c r="DCE47" s="674"/>
      <c r="DCF47" s="674"/>
      <c r="DCG47" s="674"/>
      <c r="DCH47" s="674"/>
      <c r="DCI47" s="674"/>
      <c r="DCJ47" s="674"/>
      <c r="DCK47" s="674"/>
      <c r="DCL47" s="674"/>
      <c r="DCM47" s="674"/>
      <c r="DCN47" s="674"/>
      <c r="DCO47" s="674"/>
      <c r="DCP47" s="674"/>
      <c r="DCQ47" s="674"/>
      <c r="DCR47" s="674"/>
      <c r="DCS47" s="674"/>
      <c r="DCT47" s="674"/>
      <c r="DCU47" s="674"/>
      <c r="DCV47" s="674"/>
      <c r="DCW47" s="674"/>
      <c r="DCX47" s="674"/>
      <c r="DCY47" s="674"/>
      <c r="DCZ47" s="674"/>
      <c r="DDA47" s="674"/>
      <c r="DDB47" s="674"/>
      <c r="DDC47" s="674"/>
      <c r="DDD47" s="674"/>
      <c r="DDE47" s="674"/>
      <c r="DDF47" s="674"/>
      <c r="DDG47" s="674"/>
      <c r="DDH47" s="674"/>
      <c r="DDI47" s="674"/>
      <c r="DDJ47" s="674"/>
      <c r="DDK47" s="674"/>
      <c r="DDL47" s="674"/>
      <c r="DDM47" s="674"/>
      <c r="DDN47" s="674"/>
      <c r="DDO47" s="674"/>
      <c r="DDP47" s="674"/>
      <c r="DDQ47" s="674"/>
      <c r="DDR47" s="674"/>
      <c r="DDS47" s="674"/>
      <c r="DDT47" s="674"/>
      <c r="DDU47" s="674"/>
      <c r="DDV47" s="674"/>
      <c r="DDW47" s="674"/>
      <c r="DDX47" s="674"/>
      <c r="DDY47" s="674"/>
      <c r="DDZ47" s="674"/>
      <c r="DEA47" s="674"/>
      <c r="DEB47" s="674"/>
      <c r="DEC47" s="674"/>
      <c r="DED47" s="674"/>
      <c r="DEE47" s="674"/>
      <c r="DEF47" s="674"/>
      <c r="DEG47" s="674"/>
      <c r="DEH47" s="674"/>
      <c r="DEI47" s="674"/>
      <c r="DEJ47" s="674"/>
      <c r="DEK47" s="674"/>
      <c r="DEL47" s="674"/>
      <c r="DEM47" s="674"/>
      <c r="DEN47" s="674"/>
      <c r="DEO47" s="674"/>
      <c r="DEP47" s="674"/>
      <c r="DEQ47" s="674"/>
      <c r="DER47" s="674"/>
      <c r="DES47" s="674"/>
      <c r="DET47" s="674"/>
      <c r="DEU47" s="674"/>
      <c r="DEV47" s="674"/>
      <c r="DEW47" s="674"/>
      <c r="DEX47" s="674"/>
      <c r="DEY47" s="674"/>
      <c r="DEZ47" s="674"/>
      <c r="DFA47" s="674"/>
      <c r="DFB47" s="674"/>
      <c r="DFC47" s="674"/>
      <c r="DFD47" s="674"/>
      <c r="DFE47" s="674"/>
      <c r="DFF47" s="674"/>
      <c r="DFG47" s="674"/>
      <c r="DFH47" s="674"/>
      <c r="DFI47" s="674"/>
      <c r="DFJ47" s="674"/>
      <c r="DFK47" s="674"/>
      <c r="DFL47" s="674"/>
      <c r="DFM47" s="674"/>
      <c r="DFN47" s="674"/>
      <c r="DFO47" s="674"/>
      <c r="DFP47" s="674"/>
      <c r="DFQ47" s="674"/>
      <c r="DFR47" s="674"/>
      <c r="DFS47" s="674"/>
      <c r="DFT47" s="674"/>
      <c r="DFU47" s="674"/>
      <c r="DFV47" s="674"/>
      <c r="DFW47" s="674"/>
      <c r="DFX47" s="674"/>
      <c r="DFY47" s="674"/>
      <c r="DFZ47" s="674"/>
      <c r="DGA47" s="674"/>
      <c r="DGB47" s="674"/>
      <c r="DGC47" s="674"/>
      <c r="DGD47" s="674"/>
      <c r="DGE47" s="674"/>
      <c r="DGF47" s="674"/>
      <c r="DGG47" s="674"/>
      <c r="DGH47" s="674"/>
      <c r="DGI47" s="674"/>
      <c r="DGJ47" s="674"/>
      <c r="DGK47" s="674"/>
      <c r="DGL47" s="674"/>
      <c r="DGM47" s="674"/>
      <c r="DGN47" s="674"/>
      <c r="DGO47" s="674"/>
      <c r="DGP47" s="674"/>
      <c r="DGQ47" s="674"/>
      <c r="DGR47" s="674"/>
      <c r="DGS47" s="674"/>
      <c r="DGT47" s="674"/>
      <c r="DGU47" s="674"/>
      <c r="DGV47" s="674"/>
      <c r="DGW47" s="674"/>
      <c r="DGX47" s="674"/>
      <c r="DGY47" s="674"/>
      <c r="DGZ47" s="674"/>
      <c r="DHA47" s="674"/>
      <c r="DHB47" s="674"/>
      <c r="DHC47" s="674"/>
      <c r="DHD47" s="674"/>
      <c r="DHE47" s="674"/>
      <c r="DHF47" s="674"/>
      <c r="DHG47" s="674"/>
      <c r="DHH47" s="674"/>
      <c r="DHI47" s="674"/>
      <c r="DHJ47" s="674"/>
      <c r="DHK47" s="674"/>
      <c r="DHL47" s="674"/>
      <c r="DHM47" s="674"/>
      <c r="DHN47" s="674"/>
      <c r="DHO47" s="674"/>
      <c r="DHP47" s="674"/>
      <c r="DHQ47" s="674"/>
      <c r="DHR47" s="674"/>
      <c r="DHS47" s="674"/>
      <c r="DHT47" s="674"/>
      <c r="DHU47" s="674"/>
      <c r="DHV47" s="674"/>
      <c r="DHW47" s="674"/>
      <c r="DHX47" s="674"/>
      <c r="DHY47" s="674"/>
      <c r="DHZ47" s="674"/>
      <c r="DIA47" s="674"/>
      <c r="DIB47" s="674"/>
      <c r="DIC47" s="674"/>
      <c r="DID47" s="674"/>
      <c r="DIE47" s="674"/>
      <c r="DIF47" s="674"/>
      <c r="DIG47" s="674"/>
      <c r="DIH47" s="674"/>
      <c r="DII47" s="674"/>
      <c r="DIJ47" s="674"/>
      <c r="DIK47" s="674"/>
      <c r="DIL47" s="674"/>
      <c r="DIM47" s="674"/>
      <c r="DIN47" s="674"/>
      <c r="DIO47" s="674"/>
      <c r="DIP47" s="674"/>
      <c r="DIQ47" s="674"/>
      <c r="DIR47" s="674"/>
      <c r="DIS47" s="674"/>
      <c r="DIT47" s="674"/>
      <c r="DIU47" s="674"/>
      <c r="DIV47" s="674"/>
      <c r="DIW47" s="674"/>
      <c r="DIX47" s="674"/>
      <c r="DIY47" s="674"/>
      <c r="DIZ47" s="674"/>
      <c r="DJA47" s="674"/>
      <c r="DJB47" s="674"/>
      <c r="DJC47" s="674"/>
      <c r="DJD47" s="674"/>
      <c r="DJE47" s="674"/>
      <c r="DJF47" s="674"/>
      <c r="DJG47" s="674"/>
      <c r="DJH47" s="674"/>
      <c r="DJI47" s="674"/>
      <c r="DJJ47" s="674"/>
      <c r="DJK47" s="674"/>
      <c r="DJL47" s="674"/>
      <c r="DJM47" s="674"/>
      <c r="DJN47" s="674"/>
      <c r="DJO47" s="674"/>
      <c r="DJP47" s="674"/>
      <c r="DJQ47" s="674"/>
      <c r="DJR47" s="674"/>
      <c r="DJS47" s="674"/>
      <c r="DJT47" s="674"/>
      <c r="DJU47" s="674"/>
      <c r="DJV47" s="674"/>
      <c r="DJW47" s="674"/>
      <c r="DJX47" s="674"/>
      <c r="DJY47" s="674"/>
      <c r="DJZ47" s="674"/>
      <c r="DKA47" s="674"/>
      <c r="DKB47" s="674"/>
      <c r="DKC47" s="674"/>
      <c r="DKD47" s="674"/>
      <c r="DKE47" s="674"/>
      <c r="DKF47" s="674"/>
      <c r="DKG47" s="674"/>
      <c r="DKH47" s="674"/>
      <c r="DKI47" s="674"/>
      <c r="DKJ47" s="674"/>
      <c r="DKK47" s="674"/>
      <c r="DKL47" s="674"/>
      <c r="DKM47" s="674"/>
      <c r="DKN47" s="674"/>
      <c r="DKO47" s="674"/>
      <c r="DKP47" s="674"/>
      <c r="DKQ47" s="674"/>
      <c r="DKR47" s="674"/>
      <c r="DKS47" s="674"/>
      <c r="DKT47" s="674"/>
      <c r="DKU47" s="674"/>
      <c r="DKV47" s="674"/>
      <c r="DKW47" s="674"/>
      <c r="DKX47" s="674"/>
      <c r="DKY47" s="674"/>
      <c r="DKZ47" s="674"/>
      <c r="DLA47" s="674"/>
      <c r="DLB47" s="674"/>
      <c r="DLC47" s="674"/>
      <c r="DLD47" s="674"/>
      <c r="DLE47" s="674"/>
      <c r="DLF47" s="674"/>
      <c r="DLG47" s="674"/>
      <c r="DLH47" s="674"/>
      <c r="DLI47" s="674"/>
      <c r="DLJ47" s="674"/>
      <c r="DLK47" s="674"/>
      <c r="DLL47" s="674"/>
      <c r="DLM47" s="674"/>
      <c r="DLN47" s="674"/>
      <c r="DLO47" s="674"/>
      <c r="DLP47" s="674"/>
      <c r="DLQ47" s="674"/>
      <c r="DLR47" s="674"/>
      <c r="DLS47" s="674"/>
      <c r="DLT47" s="674"/>
      <c r="DLU47" s="674"/>
      <c r="DLV47" s="674"/>
      <c r="DLW47" s="674"/>
      <c r="DLX47" s="674"/>
      <c r="DLY47" s="674"/>
      <c r="DLZ47" s="674"/>
      <c r="DMA47" s="674"/>
      <c r="DMB47" s="674"/>
      <c r="DMC47" s="674"/>
      <c r="DMD47" s="674"/>
      <c r="DME47" s="674"/>
      <c r="DMF47" s="674"/>
      <c r="DMG47" s="674"/>
      <c r="DMH47" s="674"/>
      <c r="DMI47" s="674"/>
      <c r="DMJ47" s="674"/>
      <c r="DMK47" s="674"/>
      <c r="DML47" s="674"/>
      <c r="DMM47" s="674"/>
      <c r="DMN47" s="674"/>
      <c r="DMO47" s="674"/>
      <c r="DMP47" s="674"/>
      <c r="DMQ47" s="674"/>
      <c r="DMR47" s="674"/>
      <c r="DMS47" s="674"/>
      <c r="DMT47" s="674"/>
      <c r="DMU47" s="674"/>
      <c r="DMV47" s="674"/>
      <c r="DMW47" s="674"/>
      <c r="DMX47" s="674"/>
      <c r="DMY47" s="674"/>
      <c r="DMZ47" s="674"/>
      <c r="DNA47" s="674"/>
      <c r="DNB47" s="674"/>
      <c r="DNC47" s="674"/>
      <c r="DND47" s="674"/>
      <c r="DNE47" s="674"/>
      <c r="DNF47" s="674"/>
      <c r="DNG47" s="674"/>
      <c r="DNH47" s="674"/>
      <c r="DNI47" s="674"/>
      <c r="DNJ47" s="674"/>
      <c r="DNK47" s="674"/>
      <c r="DNL47" s="674"/>
      <c r="DNM47" s="674"/>
      <c r="DNN47" s="674"/>
      <c r="DNO47" s="674"/>
      <c r="DNP47" s="674"/>
      <c r="DNQ47" s="674"/>
      <c r="DNR47" s="674"/>
      <c r="DNS47" s="674"/>
      <c r="DNT47" s="674"/>
      <c r="DNU47" s="674"/>
      <c r="DNV47" s="674"/>
      <c r="DNW47" s="674"/>
      <c r="DNX47" s="674"/>
      <c r="DNY47" s="674"/>
      <c r="DNZ47" s="674"/>
      <c r="DOA47" s="674"/>
      <c r="DOB47" s="674"/>
      <c r="DOC47" s="674"/>
      <c r="DOD47" s="674"/>
      <c r="DOE47" s="674"/>
      <c r="DOF47" s="674"/>
      <c r="DOG47" s="674"/>
      <c r="DOH47" s="674"/>
      <c r="DOI47" s="674"/>
      <c r="DOJ47" s="674"/>
      <c r="DOK47" s="674"/>
      <c r="DOL47" s="674"/>
      <c r="DOM47" s="674"/>
      <c r="DON47" s="674"/>
      <c r="DOO47" s="674"/>
      <c r="DOP47" s="674"/>
      <c r="DOQ47" s="674"/>
      <c r="DOR47" s="674"/>
      <c r="DOS47" s="674"/>
      <c r="DOT47" s="674"/>
      <c r="DOU47" s="674"/>
      <c r="DOV47" s="674"/>
      <c r="DOW47" s="674"/>
      <c r="DOX47" s="674"/>
      <c r="DOY47" s="674"/>
      <c r="DOZ47" s="674"/>
      <c r="DPA47" s="674"/>
      <c r="DPB47" s="674"/>
      <c r="DPC47" s="674"/>
      <c r="DPD47" s="674"/>
      <c r="DPE47" s="674"/>
      <c r="DPF47" s="674"/>
      <c r="DPG47" s="674"/>
      <c r="DPH47" s="674"/>
      <c r="DPI47" s="674"/>
      <c r="DPJ47" s="674"/>
      <c r="DPK47" s="674"/>
      <c r="DPL47" s="674"/>
      <c r="DPM47" s="674"/>
      <c r="DPN47" s="674"/>
      <c r="DPO47" s="674"/>
      <c r="DPP47" s="674"/>
      <c r="DPQ47" s="674"/>
      <c r="DPR47" s="674"/>
      <c r="DPS47" s="674"/>
      <c r="DPT47" s="674"/>
      <c r="DPU47" s="674"/>
      <c r="DPV47" s="674"/>
      <c r="DPW47" s="674"/>
      <c r="DPX47" s="674"/>
      <c r="DPY47" s="674"/>
      <c r="DPZ47" s="674"/>
      <c r="DQA47" s="674"/>
      <c r="DQB47" s="674"/>
      <c r="DQC47" s="674"/>
      <c r="DQD47" s="674"/>
      <c r="DQE47" s="674"/>
      <c r="DQF47" s="674"/>
      <c r="DQG47" s="674"/>
      <c r="DQH47" s="674"/>
      <c r="DQI47" s="674"/>
      <c r="DQJ47" s="674"/>
      <c r="DQK47" s="674"/>
      <c r="DQL47" s="674"/>
      <c r="DQM47" s="674"/>
      <c r="DQN47" s="674"/>
      <c r="DQO47" s="674"/>
      <c r="DQP47" s="674"/>
      <c r="DQQ47" s="674"/>
      <c r="DQR47" s="674"/>
      <c r="DQS47" s="674"/>
      <c r="DQT47" s="674"/>
      <c r="DQU47" s="674"/>
      <c r="DQV47" s="674"/>
      <c r="DQW47" s="674"/>
      <c r="DQX47" s="674"/>
      <c r="DQY47" s="674"/>
      <c r="DQZ47" s="674"/>
      <c r="DRA47" s="674"/>
      <c r="DRB47" s="674"/>
      <c r="DRC47" s="674"/>
      <c r="DRD47" s="674"/>
      <c r="DRE47" s="674"/>
      <c r="DRF47" s="674"/>
      <c r="DRG47" s="674"/>
      <c r="DRH47" s="674"/>
      <c r="DRI47" s="674"/>
      <c r="DRJ47" s="674"/>
      <c r="DRK47" s="674"/>
      <c r="DRL47" s="674"/>
      <c r="DRM47" s="674"/>
      <c r="DRN47" s="674"/>
      <c r="DRO47" s="674"/>
      <c r="DRP47" s="674"/>
      <c r="DRQ47" s="674"/>
      <c r="DRR47" s="674"/>
      <c r="DRS47" s="674"/>
      <c r="DRT47" s="674"/>
      <c r="DRU47" s="674"/>
      <c r="DRV47" s="674"/>
      <c r="DRW47" s="674"/>
      <c r="DRX47" s="674"/>
      <c r="DRY47" s="674"/>
      <c r="DRZ47" s="674"/>
      <c r="DSA47" s="674"/>
      <c r="DSB47" s="674"/>
      <c r="DSC47" s="674"/>
      <c r="DSD47" s="674"/>
      <c r="DSE47" s="674"/>
      <c r="DSF47" s="674"/>
      <c r="DSG47" s="674"/>
      <c r="DSH47" s="674"/>
      <c r="DSI47" s="674"/>
      <c r="DSJ47" s="674"/>
      <c r="DSK47" s="674"/>
      <c r="DSL47" s="674"/>
      <c r="DSM47" s="674"/>
      <c r="DSN47" s="674"/>
      <c r="DSO47" s="674"/>
      <c r="DSP47" s="674"/>
      <c r="DSQ47" s="674"/>
      <c r="DSR47" s="674"/>
      <c r="DSS47" s="674"/>
      <c r="DST47" s="674"/>
      <c r="DSU47" s="674"/>
      <c r="DSV47" s="674"/>
      <c r="DSW47" s="674"/>
      <c r="DSX47" s="674"/>
      <c r="DSY47" s="674"/>
      <c r="DSZ47" s="674"/>
      <c r="DTA47" s="674"/>
      <c r="DTB47" s="674"/>
      <c r="DTC47" s="674"/>
      <c r="DTD47" s="674"/>
      <c r="DTE47" s="674"/>
      <c r="DTF47" s="674"/>
      <c r="DTG47" s="674"/>
      <c r="DTH47" s="674"/>
      <c r="DTI47" s="674"/>
      <c r="DTJ47" s="674"/>
      <c r="DTK47" s="674"/>
      <c r="DTL47" s="674"/>
      <c r="DTM47" s="674"/>
      <c r="DTN47" s="674"/>
      <c r="DTO47" s="674"/>
      <c r="DTP47" s="674"/>
      <c r="DTQ47" s="674"/>
      <c r="DTR47" s="674"/>
      <c r="DTS47" s="674"/>
      <c r="DTT47" s="674"/>
      <c r="DTU47" s="674"/>
      <c r="DTV47" s="674"/>
      <c r="DTW47" s="674"/>
      <c r="DTX47" s="674"/>
      <c r="DTY47" s="674"/>
      <c r="DTZ47" s="674"/>
      <c r="DUA47" s="674"/>
      <c r="DUB47" s="674"/>
      <c r="DUC47" s="674"/>
      <c r="DUD47" s="674"/>
      <c r="DUE47" s="674"/>
      <c r="DUF47" s="674"/>
      <c r="DUG47" s="674"/>
      <c r="DUH47" s="674"/>
      <c r="DUI47" s="674"/>
      <c r="DUJ47" s="674"/>
      <c r="DUK47" s="674"/>
      <c r="DUL47" s="674"/>
      <c r="DUM47" s="674"/>
      <c r="DUN47" s="674"/>
      <c r="DUO47" s="674"/>
      <c r="DUP47" s="674"/>
      <c r="DUQ47" s="674"/>
      <c r="DUR47" s="674"/>
      <c r="DUS47" s="674"/>
      <c r="DUT47" s="674"/>
      <c r="DUU47" s="674"/>
      <c r="DUV47" s="674"/>
      <c r="DUW47" s="674"/>
      <c r="DUX47" s="674"/>
      <c r="DUY47" s="674"/>
      <c r="DUZ47" s="674"/>
      <c r="DVA47" s="674"/>
      <c r="DVB47" s="674"/>
      <c r="DVC47" s="674"/>
      <c r="DVD47" s="674"/>
      <c r="DVE47" s="674"/>
      <c r="DVF47" s="674"/>
      <c r="DVG47" s="674"/>
      <c r="DVH47" s="674"/>
      <c r="DVI47" s="674"/>
      <c r="DVJ47" s="674"/>
      <c r="DVK47" s="674"/>
      <c r="DVL47" s="674"/>
      <c r="DVM47" s="674"/>
      <c r="DVN47" s="674"/>
      <c r="DVO47" s="674"/>
      <c r="DVP47" s="674"/>
      <c r="DVQ47" s="674"/>
      <c r="DVR47" s="674"/>
      <c r="DVS47" s="674"/>
      <c r="DVT47" s="674"/>
      <c r="DVU47" s="674"/>
      <c r="DVV47" s="674"/>
      <c r="DVW47" s="674"/>
      <c r="DVX47" s="674"/>
      <c r="DVY47" s="674"/>
      <c r="DVZ47" s="674"/>
      <c r="DWA47" s="674"/>
      <c r="DWB47" s="674"/>
      <c r="DWC47" s="674"/>
      <c r="DWD47" s="674"/>
      <c r="DWE47" s="674"/>
      <c r="DWF47" s="674"/>
      <c r="DWG47" s="674"/>
      <c r="DWH47" s="674"/>
      <c r="DWI47" s="674"/>
      <c r="DWJ47" s="674"/>
      <c r="DWK47" s="674"/>
      <c r="DWL47" s="674"/>
      <c r="DWM47" s="674"/>
      <c r="DWN47" s="674"/>
      <c r="DWO47" s="674"/>
      <c r="DWP47" s="674"/>
      <c r="DWQ47" s="674"/>
      <c r="DWR47" s="674"/>
      <c r="DWS47" s="674"/>
      <c r="DWT47" s="674"/>
      <c r="DWU47" s="674"/>
      <c r="DWV47" s="674"/>
      <c r="DWW47" s="674"/>
      <c r="DWX47" s="674"/>
      <c r="DWY47" s="674"/>
      <c r="DWZ47" s="674"/>
      <c r="DXA47" s="674"/>
      <c r="DXB47" s="674"/>
      <c r="DXC47" s="674"/>
      <c r="DXD47" s="674"/>
      <c r="DXE47" s="674"/>
      <c r="DXF47" s="674"/>
      <c r="DXG47" s="674"/>
      <c r="DXH47" s="674"/>
      <c r="DXI47" s="674"/>
      <c r="DXJ47" s="674"/>
      <c r="DXK47" s="674"/>
      <c r="DXL47" s="674"/>
      <c r="DXM47" s="674"/>
      <c r="DXN47" s="674"/>
      <c r="DXO47" s="674"/>
      <c r="DXP47" s="674"/>
      <c r="DXQ47" s="674"/>
      <c r="DXR47" s="674"/>
      <c r="DXS47" s="674"/>
      <c r="DXT47" s="674"/>
      <c r="DXU47" s="674"/>
      <c r="DXV47" s="674"/>
      <c r="DXW47" s="674"/>
      <c r="DXX47" s="674"/>
      <c r="DXY47" s="674"/>
      <c r="DXZ47" s="674"/>
      <c r="DYA47" s="674"/>
      <c r="DYB47" s="674"/>
      <c r="DYC47" s="674"/>
      <c r="DYD47" s="674"/>
      <c r="DYE47" s="674"/>
      <c r="DYF47" s="674"/>
      <c r="DYG47" s="674"/>
      <c r="DYH47" s="674"/>
      <c r="DYI47" s="674"/>
      <c r="DYJ47" s="674"/>
      <c r="DYK47" s="674"/>
      <c r="DYL47" s="674"/>
      <c r="DYM47" s="674"/>
      <c r="DYN47" s="674"/>
      <c r="DYO47" s="674"/>
      <c r="DYP47" s="674"/>
      <c r="DYQ47" s="674"/>
      <c r="DYR47" s="674"/>
      <c r="DYS47" s="674"/>
      <c r="DYT47" s="674"/>
      <c r="DYU47" s="674"/>
      <c r="DYV47" s="674"/>
      <c r="DYW47" s="674"/>
      <c r="DYX47" s="674"/>
      <c r="DYY47" s="674"/>
      <c r="DYZ47" s="674"/>
      <c r="DZA47" s="674"/>
      <c r="DZB47" s="674"/>
      <c r="DZC47" s="674"/>
      <c r="DZD47" s="674"/>
      <c r="DZE47" s="674"/>
      <c r="DZF47" s="674"/>
      <c r="DZG47" s="674"/>
      <c r="DZH47" s="674"/>
      <c r="DZI47" s="674"/>
      <c r="DZJ47" s="674"/>
      <c r="DZK47" s="674"/>
      <c r="DZL47" s="674"/>
      <c r="DZM47" s="674"/>
      <c r="DZN47" s="674"/>
      <c r="DZO47" s="674"/>
      <c r="DZP47" s="674"/>
      <c r="DZQ47" s="674"/>
      <c r="DZR47" s="674"/>
      <c r="DZS47" s="674"/>
      <c r="DZT47" s="674"/>
      <c r="DZU47" s="674"/>
      <c r="DZV47" s="674"/>
      <c r="DZW47" s="674"/>
      <c r="DZX47" s="674"/>
      <c r="DZY47" s="674"/>
      <c r="DZZ47" s="674"/>
      <c r="EAA47" s="674"/>
      <c r="EAB47" s="674"/>
      <c r="EAC47" s="674"/>
      <c r="EAD47" s="674"/>
      <c r="EAE47" s="674"/>
      <c r="EAF47" s="674"/>
      <c r="EAG47" s="674"/>
      <c r="EAH47" s="674"/>
      <c r="EAI47" s="674"/>
      <c r="EAJ47" s="674"/>
      <c r="EAK47" s="674"/>
      <c r="EAL47" s="674"/>
      <c r="EAM47" s="674"/>
      <c r="EAN47" s="674"/>
      <c r="EAO47" s="674"/>
      <c r="EAP47" s="674"/>
      <c r="EAQ47" s="674"/>
      <c r="EAR47" s="674"/>
      <c r="EAS47" s="674"/>
      <c r="EAT47" s="674"/>
      <c r="EAU47" s="674"/>
      <c r="EAV47" s="674"/>
      <c r="EAW47" s="674"/>
      <c r="EAX47" s="674"/>
      <c r="EAY47" s="674"/>
      <c r="EAZ47" s="674"/>
      <c r="EBA47" s="674"/>
      <c r="EBB47" s="674"/>
      <c r="EBC47" s="674"/>
      <c r="EBD47" s="674"/>
      <c r="EBE47" s="674"/>
      <c r="EBF47" s="674"/>
      <c r="EBG47" s="674"/>
      <c r="EBH47" s="674"/>
      <c r="EBI47" s="674"/>
      <c r="EBJ47" s="674"/>
      <c r="EBK47" s="674"/>
      <c r="EBL47" s="674"/>
      <c r="EBM47" s="674"/>
      <c r="EBN47" s="674"/>
      <c r="EBO47" s="674"/>
      <c r="EBP47" s="674"/>
      <c r="EBQ47" s="674"/>
      <c r="EBR47" s="674"/>
      <c r="EBS47" s="674"/>
      <c r="EBT47" s="674"/>
      <c r="EBU47" s="674"/>
      <c r="EBV47" s="674"/>
      <c r="EBW47" s="674"/>
      <c r="EBX47" s="674"/>
      <c r="EBY47" s="674"/>
      <c r="EBZ47" s="674"/>
      <c r="ECA47" s="674"/>
      <c r="ECB47" s="674"/>
      <c r="ECC47" s="674"/>
      <c r="ECD47" s="674"/>
      <c r="ECE47" s="674"/>
      <c r="ECF47" s="674"/>
      <c r="ECG47" s="674"/>
      <c r="ECH47" s="674"/>
      <c r="ECI47" s="674"/>
      <c r="ECJ47" s="674"/>
      <c r="ECK47" s="674"/>
      <c r="ECL47" s="674"/>
      <c r="ECM47" s="674"/>
      <c r="ECN47" s="674"/>
      <c r="ECO47" s="674"/>
      <c r="ECP47" s="674"/>
      <c r="ECQ47" s="674"/>
      <c r="ECR47" s="674"/>
      <c r="ECS47" s="674"/>
      <c r="ECT47" s="674"/>
      <c r="ECU47" s="674"/>
      <c r="ECV47" s="674"/>
      <c r="ECW47" s="674"/>
      <c r="ECX47" s="674"/>
      <c r="ECY47" s="674"/>
      <c r="ECZ47" s="674"/>
      <c r="EDA47" s="674"/>
      <c r="EDB47" s="674"/>
      <c r="EDC47" s="674"/>
      <c r="EDD47" s="674"/>
      <c r="EDE47" s="674"/>
      <c r="EDF47" s="674"/>
      <c r="EDG47" s="674"/>
      <c r="EDH47" s="674"/>
      <c r="EDI47" s="674"/>
      <c r="EDJ47" s="674"/>
      <c r="EDK47" s="674"/>
      <c r="EDL47" s="674"/>
      <c r="EDM47" s="674"/>
      <c r="EDN47" s="674"/>
      <c r="EDO47" s="674"/>
      <c r="EDP47" s="674"/>
      <c r="EDQ47" s="674"/>
      <c r="EDR47" s="674"/>
      <c r="EDS47" s="674"/>
      <c r="EDT47" s="674"/>
      <c r="EDU47" s="674"/>
      <c r="EDV47" s="674"/>
      <c r="EDW47" s="674"/>
      <c r="EDX47" s="674"/>
      <c r="EDY47" s="674"/>
      <c r="EDZ47" s="674"/>
      <c r="EEA47" s="674"/>
      <c r="EEB47" s="674"/>
      <c r="EEC47" s="674"/>
      <c r="EED47" s="674"/>
      <c r="EEE47" s="674"/>
      <c r="EEF47" s="674"/>
      <c r="EEG47" s="674"/>
      <c r="EEH47" s="674"/>
      <c r="EEI47" s="674"/>
      <c r="EEJ47" s="674"/>
      <c r="EEK47" s="674"/>
      <c r="EEL47" s="674"/>
      <c r="EEM47" s="674"/>
      <c r="EEN47" s="674"/>
      <c r="EEO47" s="674"/>
      <c r="EEP47" s="674"/>
      <c r="EEQ47" s="674"/>
      <c r="EER47" s="674"/>
      <c r="EES47" s="674"/>
      <c r="EET47" s="674"/>
      <c r="EEU47" s="674"/>
      <c r="EEV47" s="674"/>
      <c r="EEW47" s="674"/>
      <c r="EEX47" s="674"/>
      <c r="EEY47" s="674"/>
      <c r="EEZ47" s="674"/>
      <c r="EFA47" s="674"/>
      <c r="EFB47" s="674"/>
      <c r="EFC47" s="674"/>
      <c r="EFD47" s="674"/>
      <c r="EFE47" s="674"/>
      <c r="EFF47" s="674"/>
      <c r="EFG47" s="674"/>
      <c r="EFH47" s="674"/>
      <c r="EFI47" s="674"/>
      <c r="EFJ47" s="674"/>
      <c r="EFK47" s="674"/>
      <c r="EFL47" s="674"/>
      <c r="EFM47" s="674"/>
      <c r="EFN47" s="674"/>
      <c r="EFO47" s="674"/>
      <c r="EFP47" s="674"/>
      <c r="EFQ47" s="674"/>
      <c r="EFR47" s="674"/>
      <c r="EFS47" s="674"/>
      <c r="EFT47" s="674"/>
      <c r="EFU47" s="674"/>
      <c r="EFV47" s="674"/>
      <c r="EFW47" s="674"/>
      <c r="EFX47" s="674"/>
      <c r="EFY47" s="674"/>
      <c r="EFZ47" s="674"/>
      <c r="EGA47" s="674"/>
      <c r="EGB47" s="674"/>
      <c r="EGC47" s="674"/>
      <c r="EGD47" s="674"/>
      <c r="EGE47" s="674"/>
      <c r="EGF47" s="674"/>
      <c r="EGG47" s="674"/>
      <c r="EGH47" s="674"/>
      <c r="EGI47" s="674"/>
      <c r="EGJ47" s="674"/>
      <c r="EGK47" s="674"/>
      <c r="EGL47" s="674"/>
      <c r="EGM47" s="674"/>
      <c r="EGN47" s="674"/>
      <c r="EGO47" s="674"/>
      <c r="EGP47" s="674"/>
      <c r="EGQ47" s="674"/>
      <c r="EGR47" s="674"/>
      <c r="EGS47" s="674"/>
      <c r="EGT47" s="674"/>
      <c r="EGU47" s="674"/>
      <c r="EGV47" s="674"/>
      <c r="EGW47" s="674"/>
      <c r="EGX47" s="674"/>
      <c r="EGY47" s="674"/>
      <c r="EGZ47" s="674"/>
      <c r="EHA47" s="674"/>
      <c r="EHB47" s="674"/>
      <c r="EHC47" s="674"/>
      <c r="EHD47" s="674"/>
      <c r="EHE47" s="674"/>
      <c r="EHF47" s="674"/>
      <c r="EHG47" s="674"/>
      <c r="EHH47" s="674"/>
      <c r="EHI47" s="674"/>
      <c r="EHJ47" s="674"/>
      <c r="EHK47" s="674"/>
      <c r="EHL47" s="674"/>
      <c r="EHM47" s="674"/>
      <c r="EHN47" s="674"/>
      <c r="EHO47" s="674"/>
      <c r="EHP47" s="674"/>
      <c r="EHQ47" s="674"/>
      <c r="EHR47" s="674"/>
      <c r="EHS47" s="674"/>
      <c r="EHT47" s="674"/>
      <c r="EHU47" s="674"/>
      <c r="EHV47" s="674"/>
      <c r="EHW47" s="674"/>
      <c r="EHX47" s="674"/>
      <c r="EHY47" s="674"/>
      <c r="EHZ47" s="674"/>
      <c r="EIA47" s="674"/>
      <c r="EIB47" s="674"/>
      <c r="EIC47" s="674"/>
      <c r="EID47" s="674"/>
      <c r="EIE47" s="674"/>
      <c r="EIF47" s="674"/>
      <c r="EIG47" s="674"/>
      <c r="EIH47" s="674"/>
      <c r="EII47" s="674"/>
      <c r="EIJ47" s="674"/>
      <c r="EIK47" s="674"/>
      <c r="EIL47" s="674"/>
      <c r="EIM47" s="674"/>
      <c r="EIN47" s="674"/>
      <c r="EIO47" s="674"/>
      <c r="EIP47" s="674"/>
      <c r="EIQ47" s="674"/>
      <c r="EIR47" s="674"/>
      <c r="EIS47" s="674"/>
      <c r="EIT47" s="674"/>
      <c r="EIU47" s="674"/>
      <c r="EIV47" s="674"/>
      <c r="EIW47" s="674"/>
      <c r="EIX47" s="674"/>
      <c r="EIY47" s="674"/>
      <c r="EIZ47" s="674"/>
      <c r="EJA47" s="674"/>
      <c r="EJB47" s="674"/>
      <c r="EJC47" s="674"/>
      <c r="EJD47" s="674"/>
      <c r="EJE47" s="674"/>
      <c r="EJF47" s="674"/>
      <c r="EJG47" s="674"/>
      <c r="EJH47" s="674"/>
      <c r="EJI47" s="674"/>
      <c r="EJJ47" s="674"/>
      <c r="EJK47" s="674"/>
      <c r="EJL47" s="674"/>
      <c r="EJM47" s="674"/>
      <c r="EJN47" s="674"/>
      <c r="EJO47" s="674"/>
      <c r="EJP47" s="674"/>
      <c r="EJQ47" s="674"/>
      <c r="EJR47" s="674"/>
      <c r="EJS47" s="674"/>
      <c r="EJT47" s="674"/>
      <c r="EJU47" s="674"/>
      <c r="EJV47" s="674"/>
      <c r="EJW47" s="674"/>
      <c r="EJX47" s="674"/>
      <c r="EJY47" s="674"/>
      <c r="EJZ47" s="674"/>
      <c r="EKA47" s="674"/>
      <c r="EKB47" s="674"/>
      <c r="EKC47" s="674"/>
      <c r="EKD47" s="674"/>
      <c r="EKE47" s="674"/>
      <c r="EKF47" s="674"/>
      <c r="EKG47" s="674"/>
      <c r="EKH47" s="674"/>
      <c r="EKI47" s="674"/>
      <c r="EKJ47" s="674"/>
      <c r="EKK47" s="674"/>
      <c r="EKL47" s="674"/>
      <c r="EKM47" s="674"/>
      <c r="EKN47" s="674"/>
      <c r="EKO47" s="674"/>
      <c r="EKP47" s="674"/>
      <c r="EKQ47" s="674"/>
      <c r="EKR47" s="674"/>
      <c r="EKS47" s="674"/>
      <c r="EKT47" s="674"/>
      <c r="EKU47" s="674"/>
      <c r="EKV47" s="674"/>
      <c r="EKW47" s="674"/>
      <c r="EKX47" s="674"/>
      <c r="EKY47" s="674"/>
      <c r="EKZ47" s="674"/>
      <c r="ELA47" s="674"/>
      <c r="ELB47" s="674"/>
      <c r="ELC47" s="674"/>
      <c r="ELD47" s="674"/>
      <c r="ELE47" s="674"/>
      <c r="ELF47" s="674"/>
      <c r="ELG47" s="674"/>
      <c r="ELH47" s="674"/>
      <c r="ELI47" s="674"/>
      <c r="ELJ47" s="674"/>
      <c r="ELK47" s="674"/>
      <c r="ELL47" s="674"/>
      <c r="ELM47" s="674"/>
      <c r="ELN47" s="674"/>
      <c r="ELO47" s="674"/>
      <c r="ELP47" s="674"/>
      <c r="ELQ47" s="674"/>
      <c r="ELR47" s="674"/>
      <c r="ELS47" s="674"/>
      <c r="ELT47" s="674"/>
      <c r="ELU47" s="674"/>
      <c r="ELV47" s="674"/>
      <c r="ELW47" s="674"/>
      <c r="ELX47" s="674"/>
      <c r="ELY47" s="674"/>
      <c r="ELZ47" s="674"/>
      <c r="EMA47" s="674"/>
      <c r="EMB47" s="674"/>
      <c r="EMC47" s="674"/>
      <c r="EMD47" s="674"/>
      <c r="EME47" s="674"/>
      <c r="EMF47" s="674"/>
      <c r="EMG47" s="674"/>
      <c r="EMH47" s="674"/>
      <c r="EMI47" s="674"/>
      <c r="EMJ47" s="674"/>
      <c r="EMK47" s="674"/>
      <c r="EML47" s="674"/>
      <c r="EMM47" s="674"/>
      <c r="EMN47" s="674"/>
      <c r="EMO47" s="674"/>
      <c r="EMP47" s="674"/>
      <c r="EMQ47" s="674"/>
      <c r="EMR47" s="674"/>
      <c r="EMS47" s="674"/>
      <c r="EMT47" s="674"/>
      <c r="EMU47" s="674"/>
      <c r="EMV47" s="674"/>
      <c r="EMW47" s="674"/>
      <c r="EMX47" s="674"/>
      <c r="EMY47" s="674"/>
      <c r="EMZ47" s="674"/>
      <c r="ENA47" s="674"/>
      <c r="ENB47" s="674"/>
      <c r="ENC47" s="674"/>
      <c r="END47" s="674"/>
      <c r="ENE47" s="674"/>
      <c r="ENF47" s="674"/>
      <c r="ENG47" s="674"/>
      <c r="ENH47" s="674"/>
      <c r="ENI47" s="674"/>
      <c r="ENJ47" s="674"/>
      <c r="ENK47" s="674"/>
      <c r="ENL47" s="674"/>
      <c r="ENM47" s="674"/>
      <c r="ENN47" s="674"/>
      <c r="ENO47" s="674"/>
      <c r="ENP47" s="674"/>
      <c r="ENQ47" s="674"/>
      <c r="ENR47" s="674"/>
      <c r="ENS47" s="674"/>
      <c r="ENT47" s="674"/>
      <c r="ENU47" s="674"/>
      <c r="ENV47" s="674"/>
      <c r="ENW47" s="674"/>
      <c r="ENX47" s="674"/>
      <c r="ENY47" s="674"/>
      <c r="ENZ47" s="674"/>
      <c r="EOA47" s="674"/>
      <c r="EOB47" s="674"/>
      <c r="EOC47" s="674"/>
      <c r="EOD47" s="674"/>
      <c r="EOE47" s="674"/>
      <c r="EOF47" s="674"/>
      <c r="EOG47" s="674"/>
      <c r="EOH47" s="674"/>
      <c r="EOI47" s="674"/>
      <c r="EOJ47" s="674"/>
      <c r="EOK47" s="674"/>
      <c r="EOL47" s="674"/>
      <c r="EOM47" s="674"/>
      <c r="EON47" s="674"/>
      <c r="EOO47" s="674"/>
      <c r="EOP47" s="674"/>
      <c r="EOQ47" s="674"/>
      <c r="EOR47" s="674"/>
      <c r="EOS47" s="674"/>
      <c r="EOT47" s="674"/>
      <c r="EOU47" s="674"/>
      <c r="EOV47" s="674"/>
      <c r="EOW47" s="674"/>
      <c r="EOX47" s="674"/>
      <c r="EOY47" s="674"/>
      <c r="EOZ47" s="674"/>
      <c r="EPA47" s="674"/>
      <c r="EPB47" s="674"/>
      <c r="EPC47" s="674"/>
      <c r="EPD47" s="674"/>
      <c r="EPE47" s="674"/>
      <c r="EPF47" s="674"/>
      <c r="EPG47" s="674"/>
      <c r="EPH47" s="674"/>
      <c r="EPI47" s="674"/>
      <c r="EPJ47" s="674"/>
      <c r="EPK47" s="674"/>
      <c r="EPL47" s="674"/>
      <c r="EPM47" s="674"/>
      <c r="EPN47" s="674"/>
      <c r="EPO47" s="674"/>
      <c r="EPP47" s="674"/>
      <c r="EPQ47" s="674"/>
      <c r="EPR47" s="674"/>
      <c r="EPS47" s="674"/>
      <c r="EPT47" s="674"/>
      <c r="EPU47" s="674"/>
      <c r="EPV47" s="674"/>
      <c r="EPW47" s="674"/>
      <c r="EPX47" s="674"/>
      <c r="EPY47" s="674"/>
      <c r="EPZ47" s="674"/>
      <c r="EQA47" s="674"/>
      <c r="EQB47" s="674"/>
      <c r="EQC47" s="674"/>
      <c r="EQD47" s="674"/>
      <c r="EQE47" s="674"/>
      <c r="EQF47" s="674"/>
      <c r="EQG47" s="674"/>
      <c r="EQH47" s="674"/>
      <c r="EQI47" s="674"/>
      <c r="EQJ47" s="674"/>
      <c r="EQK47" s="674"/>
      <c r="EQL47" s="674"/>
      <c r="EQM47" s="674"/>
      <c r="EQN47" s="674"/>
      <c r="EQO47" s="674"/>
      <c r="EQP47" s="674"/>
      <c r="EQQ47" s="674"/>
      <c r="EQR47" s="674"/>
      <c r="EQS47" s="674"/>
      <c r="EQT47" s="674"/>
      <c r="EQU47" s="674"/>
      <c r="EQV47" s="674"/>
      <c r="EQW47" s="674"/>
      <c r="EQX47" s="674"/>
      <c r="EQY47" s="674"/>
      <c r="EQZ47" s="674"/>
      <c r="ERA47" s="674"/>
      <c r="ERB47" s="674"/>
      <c r="ERC47" s="674"/>
      <c r="ERD47" s="674"/>
      <c r="ERE47" s="674"/>
      <c r="ERF47" s="674"/>
      <c r="ERG47" s="674"/>
      <c r="ERH47" s="674"/>
      <c r="ERI47" s="674"/>
      <c r="ERJ47" s="674"/>
      <c r="ERK47" s="674"/>
      <c r="ERL47" s="674"/>
      <c r="ERM47" s="674"/>
      <c r="ERN47" s="674"/>
      <c r="ERO47" s="674"/>
      <c r="ERP47" s="674"/>
      <c r="ERQ47" s="674"/>
      <c r="ERR47" s="674"/>
      <c r="ERS47" s="674"/>
      <c r="ERT47" s="674"/>
      <c r="ERU47" s="674"/>
      <c r="ERV47" s="674"/>
      <c r="ERW47" s="674"/>
      <c r="ERX47" s="674"/>
      <c r="ERY47" s="674"/>
      <c r="ERZ47" s="674"/>
      <c r="ESA47" s="674"/>
      <c r="ESB47" s="674"/>
      <c r="ESC47" s="674"/>
      <c r="ESD47" s="674"/>
      <c r="ESE47" s="674"/>
      <c r="ESF47" s="674"/>
      <c r="ESG47" s="674"/>
      <c r="ESH47" s="674"/>
      <c r="ESI47" s="674"/>
      <c r="ESJ47" s="674"/>
      <c r="ESK47" s="674"/>
      <c r="ESL47" s="674"/>
      <c r="ESM47" s="674"/>
      <c r="ESN47" s="674"/>
      <c r="ESO47" s="674"/>
      <c r="ESP47" s="674"/>
      <c r="ESQ47" s="674"/>
      <c r="ESR47" s="674"/>
      <c r="ESS47" s="674"/>
      <c r="EST47" s="674"/>
      <c r="ESU47" s="674"/>
      <c r="ESV47" s="674"/>
      <c r="ESW47" s="674"/>
      <c r="ESX47" s="674"/>
      <c r="ESY47" s="674"/>
      <c r="ESZ47" s="674"/>
      <c r="ETA47" s="674"/>
      <c r="ETB47" s="674"/>
      <c r="ETC47" s="674"/>
      <c r="ETD47" s="674"/>
      <c r="ETE47" s="674"/>
      <c r="ETF47" s="674"/>
      <c r="ETG47" s="674"/>
      <c r="ETH47" s="674"/>
      <c r="ETI47" s="674"/>
      <c r="ETJ47" s="674"/>
      <c r="ETK47" s="674"/>
      <c r="ETL47" s="674"/>
      <c r="ETM47" s="674"/>
      <c r="ETN47" s="674"/>
      <c r="ETO47" s="674"/>
      <c r="ETP47" s="674"/>
      <c r="ETQ47" s="674"/>
      <c r="ETR47" s="674"/>
      <c r="ETS47" s="674"/>
      <c r="ETT47" s="674"/>
      <c r="ETU47" s="674"/>
      <c r="ETV47" s="674"/>
      <c r="ETW47" s="674"/>
      <c r="ETX47" s="674"/>
      <c r="ETY47" s="674"/>
      <c r="ETZ47" s="674"/>
      <c r="EUA47" s="674"/>
      <c r="EUB47" s="674"/>
      <c r="EUC47" s="674"/>
      <c r="EUD47" s="674"/>
      <c r="EUE47" s="674"/>
      <c r="EUF47" s="674"/>
      <c r="EUG47" s="674"/>
      <c r="EUH47" s="674"/>
      <c r="EUI47" s="674"/>
      <c r="EUJ47" s="674"/>
      <c r="EUK47" s="674"/>
      <c r="EUL47" s="674"/>
      <c r="EUM47" s="674"/>
      <c r="EUN47" s="674"/>
      <c r="EUO47" s="674"/>
      <c r="EUP47" s="674"/>
      <c r="EUQ47" s="674"/>
      <c r="EUR47" s="674"/>
      <c r="EUS47" s="674"/>
      <c r="EUT47" s="674"/>
      <c r="EUU47" s="674"/>
      <c r="EUV47" s="674"/>
      <c r="EUW47" s="674"/>
      <c r="EUX47" s="674"/>
      <c r="EUY47" s="674"/>
      <c r="EUZ47" s="674"/>
      <c r="EVA47" s="674"/>
      <c r="EVB47" s="674"/>
      <c r="EVC47" s="674"/>
      <c r="EVD47" s="674"/>
      <c r="EVE47" s="674"/>
      <c r="EVF47" s="674"/>
      <c r="EVG47" s="674"/>
      <c r="EVH47" s="674"/>
      <c r="EVI47" s="674"/>
      <c r="EVJ47" s="674"/>
      <c r="EVK47" s="674"/>
      <c r="EVL47" s="674"/>
      <c r="EVM47" s="674"/>
      <c r="EVN47" s="674"/>
      <c r="EVO47" s="674"/>
      <c r="EVP47" s="674"/>
      <c r="EVQ47" s="674"/>
      <c r="EVR47" s="674"/>
      <c r="EVS47" s="674"/>
      <c r="EVT47" s="674"/>
      <c r="EVU47" s="674"/>
      <c r="EVV47" s="674"/>
      <c r="EVW47" s="674"/>
      <c r="EVX47" s="674"/>
      <c r="EVY47" s="674"/>
      <c r="EVZ47" s="674"/>
      <c r="EWA47" s="674"/>
      <c r="EWB47" s="674"/>
      <c r="EWC47" s="674"/>
      <c r="EWD47" s="674"/>
      <c r="EWE47" s="674"/>
      <c r="EWF47" s="674"/>
      <c r="EWG47" s="674"/>
      <c r="EWH47" s="674"/>
      <c r="EWI47" s="674"/>
      <c r="EWJ47" s="674"/>
      <c r="EWK47" s="674"/>
      <c r="EWL47" s="674"/>
      <c r="EWM47" s="674"/>
      <c r="EWN47" s="674"/>
      <c r="EWO47" s="674"/>
      <c r="EWP47" s="674"/>
      <c r="EWQ47" s="674"/>
      <c r="EWR47" s="674"/>
      <c r="EWS47" s="674"/>
      <c r="EWT47" s="674"/>
      <c r="EWU47" s="674"/>
      <c r="EWV47" s="674"/>
      <c r="EWW47" s="674"/>
      <c r="EWX47" s="674"/>
      <c r="EWY47" s="674"/>
      <c r="EWZ47" s="674"/>
      <c r="EXA47" s="674"/>
      <c r="EXB47" s="674"/>
      <c r="EXC47" s="674"/>
      <c r="EXD47" s="674"/>
      <c r="EXE47" s="674"/>
      <c r="EXF47" s="674"/>
      <c r="EXG47" s="674"/>
      <c r="EXH47" s="674"/>
      <c r="EXI47" s="674"/>
      <c r="EXJ47" s="674"/>
      <c r="EXK47" s="674"/>
      <c r="EXL47" s="674"/>
      <c r="EXM47" s="674"/>
      <c r="EXN47" s="674"/>
      <c r="EXO47" s="674"/>
      <c r="EXP47" s="674"/>
      <c r="EXQ47" s="674"/>
      <c r="EXR47" s="674"/>
      <c r="EXS47" s="674"/>
      <c r="EXT47" s="674"/>
      <c r="EXU47" s="674"/>
      <c r="EXV47" s="674"/>
      <c r="EXW47" s="674"/>
      <c r="EXX47" s="674"/>
      <c r="EXY47" s="674"/>
      <c r="EXZ47" s="674"/>
      <c r="EYA47" s="674"/>
      <c r="EYB47" s="674"/>
      <c r="EYC47" s="674"/>
      <c r="EYD47" s="674"/>
      <c r="EYE47" s="674"/>
      <c r="EYF47" s="674"/>
      <c r="EYG47" s="674"/>
      <c r="EYH47" s="674"/>
      <c r="EYI47" s="674"/>
      <c r="EYJ47" s="674"/>
      <c r="EYK47" s="674"/>
      <c r="EYL47" s="674"/>
      <c r="EYM47" s="674"/>
      <c r="EYN47" s="674"/>
      <c r="EYO47" s="674"/>
      <c r="EYP47" s="674"/>
      <c r="EYQ47" s="674"/>
      <c r="EYR47" s="674"/>
      <c r="EYS47" s="674"/>
      <c r="EYT47" s="674"/>
      <c r="EYU47" s="674"/>
      <c r="EYV47" s="674"/>
      <c r="EYW47" s="674"/>
      <c r="EYX47" s="674"/>
      <c r="EYY47" s="674"/>
      <c r="EYZ47" s="674"/>
      <c r="EZA47" s="674"/>
      <c r="EZB47" s="674"/>
      <c r="EZC47" s="674"/>
      <c r="EZD47" s="674"/>
      <c r="EZE47" s="674"/>
      <c r="EZF47" s="674"/>
      <c r="EZG47" s="674"/>
      <c r="EZH47" s="674"/>
      <c r="EZI47" s="674"/>
      <c r="EZJ47" s="674"/>
      <c r="EZK47" s="674"/>
      <c r="EZL47" s="674"/>
      <c r="EZM47" s="674"/>
      <c r="EZN47" s="674"/>
      <c r="EZO47" s="674"/>
      <c r="EZP47" s="674"/>
      <c r="EZQ47" s="674"/>
      <c r="EZR47" s="674"/>
      <c r="EZS47" s="674"/>
      <c r="EZT47" s="674"/>
      <c r="EZU47" s="674"/>
      <c r="EZV47" s="674"/>
      <c r="EZW47" s="674"/>
      <c r="EZX47" s="674"/>
      <c r="EZY47" s="674"/>
      <c r="EZZ47" s="674"/>
      <c r="FAA47" s="674"/>
      <c r="FAB47" s="674"/>
      <c r="FAC47" s="674"/>
      <c r="FAD47" s="674"/>
      <c r="FAE47" s="674"/>
      <c r="FAF47" s="674"/>
      <c r="FAG47" s="674"/>
      <c r="FAH47" s="674"/>
      <c r="FAI47" s="674"/>
      <c r="FAJ47" s="674"/>
      <c r="FAK47" s="674"/>
      <c r="FAL47" s="674"/>
      <c r="FAM47" s="674"/>
      <c r="FAN47" s="674"/>
      <c r="FAO47" s="674"/>
      <c r="FAP47" s="674"/>
      <c r="FAQ47" s="674"/>
      <c r="FAR47" s="674"/>
      <c r="FAS47" s="674"/>
      <c r="FAT47" s="674"/>
      <c r="FAU47" s="674"/>
      <c r="FAV47" s="674"/>
      <c r="FAW47" s="674"/>
      <c r="FAX47" s="674"/>
      <c r="FAY47" s="674"/>
      <c r="FAZ47" s="674"/>
      <c r="FBA47" s="674"/>
      <c r="FBB47" s="674"/>
      <c r="FBC47" s="674"/>
      <c r="FBD47" s="674"/>
      <c r="FBE47" s="674"/>
      <c r="FBF47" s="674"/>
      <c r="FBG47" s="674"/>
      <c r="FBH47" s="674"/>
      <c r="FBI47" s="674"/>
      <c r="FBJ47" s="674"/>
      <c r="FBK47" s="674"/>
      <c r="FBL47" s="674"/>
      <c r="FBM47" s="674"/>
      <c r="FBN47" s="674"/>
      <c r="FBO47" s="674"/>
      <c r="FBP47" s="674"/>
      <c r="FBQ47" s="674"/>
      <c r="FBR47" s="674"/>
      <c r="FBS47" s="674"/>
      <c r="FBT47" s="674"/>
      <c r="FBU47" s="674"/>
      <c r="FBV47" s="674"/>
      <c r="FBW47" s="674"/>
      <c r="FBX47" s="674"/>
      <c r="FBY47" s="674"/>
      <c r="FBZ47" s="674"/>
      <c r="FCA47" s="674"/>
      <c r="FCB47" s="674"/>
      <c r="FCC47" s="674"/>
      <c r="FCD47" s="674"/>
      <c r="FCE47" s="674"/>
      <c r="FCF47" s="674"/>
      <c r="FCG47" s="674"/>
      <c r="FCH47" s="674"/>
      <c r="FCI47" s="674"/>
      <c r="FCJ47" s="674"/>
      <c r="FCK47" s="674"/>
      <c r="FCL47" s="674"/>
      <c r="FCM47" s="674"/>
      <c r="FCN47" s="674"/>
      <c r="FCO47" s="674"/>
      <c r="FCP47" s="674"/>
      <c r="FCQ47" s="674"/>
      <c r="FCR47" s="674"/>
      <c r="FCS47" s="674"/>
      <c r="FCT47" s="674"/>
      <c r="FCU47" s="674"/>
      <c r="FCV47" s="674"/>
      <c r="FCW47" s="674"/>
      <c r="FCX47" s="674"/>
      <c r="FCY47" s="674"/>
      <c r="FCZ47" s="674"/>
      <c r="FDA47" s="674"/>
      <c r="FDB47" s="674"/>
      <c r="FDC47" s="674"/>
      <c r="FDD47" s="674"/>
      <c r="FDE47" s="674"/>
      <c r="FDF47" s="674"/>
      <c r="FDG47" s="674"/>
      <c r="FDH47" s="674"/>
      <c r="FDI47" s="674"/>
      <c r="FDJ47" s="674"/>
      <c r="FDK47" s="674"/>
      <c r="FDL47" s="674"/>
      <c r="FDM47" s="674"/>
      <c r="FDN47" s="674"/>
      <c r="FDO47" s="674"/>
      <c r="FDP47" s="674"/>
      <c r="FDQ47" s="674"/>
      <c r="FDR47" s="674"/>
      <c r="FDS47" s="674"/>
      <c r="FDT47" s="674"/>
      <c r="FDU47" s="674"/>
      <c r="FDV47" s="674"/>
      <c r="FDW47" s="674"/>
      <c r="FDX47" s="674"/>
      <c r="FDY47" s="674"/>
      <c r="FDZ47" s="674"/>
      <c r="FEA47" s="674"/>
      <c r="FEB47" s="674"/>
      <c r="FEC47" s="674"/>
      <c r="FED47" s="674"/>
      <c r="FEE47" s="674"/>
      <c r="FEF47" s="674"/>
      <c r="FEG47" s="674"/>
      <c r="FEH47" s="674"/>
      <c r="FEI47" s="674"/>
      <c r="FEJ47" s="674"/>
      <c r="FEK47" s="674"/>
      <c r="FEL47" s="674"/>
      <c r="FEM47" s="674"/>
      <c r="FEN47" s="674"/>
      <c r="FEO47" s="674"/>
      <c r="FEP47" s="674"/>
      <c r="FEQ47" s="674"/>
      <c r="FER47" s="674"/>
      <c r="FES47" s="674"/>
      <c r="FET47" s="674"/>
      <c r="FEU47" s="674"/>
      <c r="FEV47" s="674"/>
      <c r="FEW47" s="674"/>
      <c r="FEX47" s="674"/>
      <c r="FEY47" s="674"/>
      <c r="FEZ47" s="674"/>
      <c r="FFA47" s="674"/>
      <c r="FFB47" s="674"/>
      <c r="FFC47" s="674"/>
      <c r="FFD47" s="674"/>
      <c r="FFE47" s="674"/>
      <c r="FFF47" s="674"/>
      <c r="FFG47" s="674"/>
      <c r="FFH47" s="674"/>
      <c r="FFI47" s="674"/>
      <c r="FFJ47" s="674"/>
      <c r="FFK47" s="674"/>
      <c r="FFL47" s="674"/>
      <c r="FFM47" s="674"/>
      <c r="FFN47" s="674"/>
      <c r="FFO47" s="674"/>
      <c r="FFP47" s="674"/>
      <c r="FFQ47" s="674"/>
      <c r="FFR47" s="674"/>
      <c r="FFS47" s="674"/>
      <c r="FFT47" s="674"/>
      <c r="FFU47" s="674"/>
      <c r="FFV47" s="674"/>
      <c r="FFW47" s="674"/>
      <c r="FFX47" s="674"/>
      <c r="FFY47" s="674"/>
      <c r="FFZ47" s="674"/>
      <c r="FGA47" s="674"/>
      <c r="FGB47" s="674"/>
      <c r="FGC47" s="674"/>
      <c r="FGD47" s="674"/>
      <c r="FGE47" s="674"/>
      <c r="FGF47" s="674"/>
      <c r="FGG47" s="674"/>
      <c r="FGH47" s="674"/>
      <c r="FGI47" s="674"/>
      <c r="FGJ47" s="674"/>
      <c r="FGK47" s="674"/>
      <c r="FGL47" s="674"/>
      <c r="FGM47" s="674"/>
      <c r="FGN47" s="674"/>
      <c r="FGO47" s="674"/>
      <c r="FGP47" s="674"/>
      <c r="FGQ47" s="674"/>
      <c r="FGR47" s="674"/>
      <c r="FGS47" s="674"/>
      <c r="FGT47" s="674"/>
      <c r="FGU47" s="674"/>
      <c r="FGV47" s="674"/>
      <c r="FGW47" s="674"/>
      <c r="FGX47" s="674"/>
      <c r="FGY47" s="674"/>
      <c r="FGZ47" s="674"/>
      <c r="FHA47" s="674"/>
      <c r="FHB47" s="674"/>
      <c r="FHC47" s="674"/>
      <c r="FHD47" s="674"/>
      <c r="FHE47" s="674"/>
      <c r="FHF47" s="674"/>
      <c r="FHG47" s="674"/>
      <c r="FHH47" s="674"/>
      <c r="FHI47" s="674"/>
      <c r="FHJ47" s="674"/>
      <c r="FHK47" s="674"/>
      <c r="FHL47" s="674"/>
      <c r="FHM47" s="674"/>
      <c r="FHN47" s="674"/>
      <c r="FHO47" s="674"/>
      <c r="FHP47" s="674"/>
      <c r="FHQ47" s="674"/>
      <c r="FHR47" s="674"/>
      <c r="FHS47" s="674"/>
      <c r="FHT47" s="674"/>
      <c r="FHU47" s="674"/>
      <c r="FHV47" s="674"/>
      <c r="FHW47" s="674"/>
      <c r="FHX47" s="674"/>
      <c r="FHY47" s="674"/>
      <c r="FHZ47" s="674"/>
      <c r="FIA47" s="674"/>
      <c r="FIB47" s="674"/>
      <c r="FIC47" s="674"/>
      <c r="FID47" s="674"/>
      <c r="FIE47" s="674"/>
      <c r="FIF47" s="674"/>
      <c r="FIG47" s="674"/>
      <c r="FIH47" s="674"/>
      <c r="FII47" s="674"/>
      <c r="FIJ47" s="674"/>
      <c r="FIK47" s="674"/>
      <c r="FIL47" s="674"/>
      <c r="FIM47" s="674"/>
      <c r="FIN47" s="674"/>
      <c r="FIO47" s="674"/>
      <c r="FIP47" s="674"/>
      <c r="FIQ47" s="674"/>
      <c r="FIR47" s="674"/>
      <c r="FIS47" s="674"/>
      <c r="FIT47" s="674"/>
      <c r="FIU47" s="674"/>
      <c r="FIV47" s="674"/>
      <c r="FIW47" s="674"/>
      <c r="FIX47" s="674"/>
      <c r="FIY47" s="674"/>
      <c r="FIZ47" s="674"/>
      <c r="FJA47" s="674"/>
      <c r="FJB47" s="674"/>
      <c r="FJC47" s="674"/>
      <c r="FJD47" s="674"/>
      <c r="FJE47" s="674"/>
      <c r="FJF47" s="674"/>
      <c r="FJG47" s="674"/>
      <c r="FJH47" s="674"/>
      <c r="FJI47" s="674"/>
      <c r="FJJ47" s="674"/>
      <c r="FJK47" s="674"/>
      <c r="FJL47" s="674"/>
      <c r="FJM47" s="674"/>
      <c r="FJN47" s="674"/>
      <c r="FJO47" s="674"/>
      <c r="FJP47" s="674"/>
      <c r="FJQ47" s="674"/>
      <c r="FJR47" s="674"/>
      <c r="FJS47" s="674"/>
      <c r="FJT47" s="674"/>
      <c r="FJU47" s="674"/>
      <c r="FJV47" s="674"/>
      <c r="FJW47" s="674"/>
      <c r="FJX47" s="674"/>
      <c r="FJY47" s="674"/>
      <c r="FJZ47" s="674"/>
      <c r="FKA47" s="674"/>
      <c r="FKB47" s="674"/>
      <c r="FKC47" s="674"/>
      <c r="FKD47" s="674"/>
      <c r="FKE47" s="674"/>
      <c r="FKF47" s="674"/>
      <c r="FKG47" s="674"/>
      <c r="FKH47" s="674"/>
      <c r="FKI47" s="674"/>
      <c r="FKJ47" s="674"/>
      <c r="FKK47" s="674"/>
      <c r="FKL47" s="674"/>
      <c r="FKM47" s="674"/>
      <c r="FKN47" s="674"/>
      <c r="FKO47" s="674"/>
      <c r="FKP47" s="674"/>
      <c r="FKQ47" s="674"/>
      <c r="FKR47" s="674"/>
      <c r="FKS47" s="674"/>
      <c r="FKT47" s="674"/>
      <c r="FKU47" s="674"/>
      <c r="FKV47" s="674"/>
      <c r="FKW47" s="674"/>
      <c r="FKX47" s="674"/>
      <c r="FKY47" s="674"/>
      <c r="FKZ47" s="674"/>
      <c r="FLA47" s="674"/>
      <c r="FLB47" s="674"/>
      <c r="FLC47" s="674"/>
      <c r="FLD47" s="674"/>
      <c r="FLE47" s="674"/>
      <c r="FLF47" s="674"/>
      <c r="FLG47" s="674"/>
      <c r="FLH47" s="674"/>
      <c r="FLI47" s="674"/>
      <c r="FLJ47" s="674"/>
      <c r="FLK47" s="674"/>
      <c r="FLL47" s="674"/>
      <c r="FLM47" s="674"/>
      <c r="FLN47" s="674"/>
      <c r="FLO47" s="674"/>
      <c r="FLP47" s="674"/>
      <c r="FLQ47" s="674"/>
      <c r="FLR47" s="674"/>
      <c r="FLS47" s="674"/>
      <c r="FLT47" s="674"/>
      <c r="FLU47" s="674"/>
      <c r="FLV47" s="674"/>
      <c r="FLW47" s="674"/>
      <c r="FLX47" s="674"/>
      <c r="FLY47" s="674"/>
      <c r="FLZ47" s="674"/>
      <c r="FMA47" s="674"/>
      <c r="FMB47" s="674"/>
      <c r="FMC47" s="674"/>
      <c r="FMD47" s="674"/>
      <c r="FME47" s="674"/>
      <c r="FMF47" s="674"/>
      <c r="FMG47" s="674"/>
      <c r="FMH47" s="674"/>
      <c r="FMI47" s="674"/>
      <c r="FMJ47" s="674"/>
      <c r="FMK47" s="674"/>
      <c r="FML47" s="674"/>
      <c r="FMM47" s="674"/>
      <c r="FMN47" s="674"/>
      <c r="FMO47" s="674"/>
      <c r="FMP47" s="674"/>
      <c r="FMQ47" s="674"/>
      <c r="FMR47" s="674"/>
      <c r="FMS47" s="674"/>
      <c r="FMT47" s="674"/>
      <c r="FMU47" s="674"/>
      <c r="FMV47" s="674"/>
      <c r="FMW47" s="674"/>
      <c r="FMX47" s="674"/>
      <c r="FMY47" s="674"/>
      <c r="FMZ47" s="674"/>
      <c r="FNA47" s="674"/>
      <c r="FNB47" s="674"/>
      <c r="FNC47" s="674"/>
      <c r="FND47" s="674"/>
      <c r="FNE47" s="674"/>
      <c r="FNF47" s="674"/>
      <c r="FNG47" s="674"/>
      <c r="FNH47" s="674"/>
      <c r="FNI47" s="674"/>
      <c r="FNJ47" s="674"/>
      <c r="FNK47" s="674"/>
      <c r="FNL47" s="674"/>
      <c r="FNM47" s="674"/>
      <c r="FNN47" s="674"/>
      <c r="FNO47" s="674"/>
      <c r="FNP47" s="674"/>
      <c r="FNQ47" s="674"/>
      <c r="FNR47" s="674"/>
      <c r="FNS47" s="674"/>
      <c r="FNT47" s="674"/>
      <c r="FNU47" s="674"/>
      <c r="FNV47" s="674"/>
      <c r="FNW47" s="674"/>
      <c r="FNX47" s="674"/>
      <c r="FNY47" s="674"/>
      <c r="FNZ47" s="674"/>
      <c r="FOA47" s="674"/>
      <c r="FOB47" s="674"/>
      <c r="FOC47" s="674"/>
      <c r="FOD47" s="674"/>
      <c r="FOE47" s="674"/>
      <c r="FOF47" s="674"/>
      <c r="FOG47" s="674"/>
      <c r="FOH47" s="674"/>
      <c r="FOI47" s="674"/>
      <c r="FOJ47" s="674"/>
      <c r="FOK47" s="674"/>
      <c r="FOL47" s="674"/>
      <c r="FOM47" s="674"/>
      <c r="FON47" s="674"/>
      <c r="FOO47" s="674"/>
      <c r="FOP47" s="674"/>
      <c r="FOQ47" s="674"/>
      <c r="FOR47" s="674"/>
      <c r="FOS47" s="674"/>
      <c r="FOT47" s="674"/>
      <c r="FOU47" s="674"/>
      <c r="FOV47" s="674"/>
      <c r="FOW47" s="674"/>
      <c r="FOX47" s="674"/>
      <c r="FOY47" s="674"/>
      <c r="FOZ47" s="674"/>
      <c r="FPA47" s="674"/>
      <c r="FPB47" s="674"/>
      <c r="FPC47" s="674"/>
      <c r="FPD47" s="674"/>
      <c r="FPE47" s="674"/>
      <c r="FPF47" s="674"/>
      <c r="FPG47" s="674"/>
      <c r="FPH47" s="674"/>
      <c r="FPI47" s="674"/>
      <c r="FPJ47" s="674"/>
      <c r="FPK47" s="674"/>
      <c r="FPL47" s="674"/>
      <c r="FPM47" s="674"/>
      <c r="FPN47" s="674"/>
      <c r="FPO47" s="674"/>
      <c r="FPP47" s="674"/>
      <c r="FPQ47" s="674"/>
      <c r="FPR47" s="674"/>
      <c r="FPS47" s="674"/>
      <c r="FPT47" s="674"/>
      <c r="FPU47" s="674"/>
      <c r="FPV47" s="674"/>
      <c r="FPW47" s="674"/>
      <c r="FPX47" s="674"/>
      <c r="FPY47" s="674"/>
      <c r="FPZ47" s="674"/>
      <c r="FQA47" s="674"/>
      <c r="FQB47" s="674"/>
      <c r="FQC47" s="674"/>
      <c r="FQD47" s="674"/>
      <c r="FQE47" s="674"/>
      <c r="FQF47" s="674"/>
      <c r="FQG47" s="674"/>
      <c r="FQH47" s="674"/>
      <c r="FQI47" s="674"/>
      <c r="FQJ47" s="674"/>
      <c r="FQK47" s="674"/>
      <c r="FQL47" s="674"/>
      <c r="FQM47" s="674"/>
      <c r="FQN47" s="674"/>
      <c r="FQO47" s="674"/>
      <c r="FQP47" s="674"/>
      <c r="FQQ47" s="674"/>
      <c r="FQR47" s="674"/>
      <c r="FQS47" s="674"/>
      <c r="FQT47" s="674"/>
      <c r="FQU47" s="674"/>
      <c r="FQV47" s="674"/>
      <c r="FQW47" s="674"/>
      <c r="FQX47" s="674"/>
      <c r="FQY47" s="674"/>
      <c r="FQZ47" s="674"/>
      <c r="FRA47" s="674"/>
      <c r="FRB47" s="674"/>
      <c r="FRC47" s="674"/>
      <c r="FRD47" s="674"/>
      <c r="FRE47" s="674"/>
      <c r="FRF47" s="674"/>
      <c r="FRG47" s="674"/>
      <c r="FRH47" s="674"/>
      <c r="FRI47" s="674"/>
      <c r="FRJ47" s="674"/>
      <c r="FRK47" s="674"/>
      <c r="FRL47" s="674"/>
      <c r="FRM47" s="674"/>
      <c r="FRN47" s="674"/>
      <c r="FRO47" s="674"/>
      <c r="FRP47" s="674"/>
      <c r="FRQ47" s="674"/>
      <c r="FRR47" s="674"/>
      <c r="FRS47" s="674"/>
      <c r="FRT47" s="674"/>
      <c r="FRU47" s="674"/>
      <c r="FRV47" s="674"/>
      <c r="FRW47" s="674"/>
      <c r="FRX47" s="674"/>
      <c r="FRY47" s="674"/>
      <c r="FRZ47" s="674"/>
      <c r="FSA47" s="674"/>
      <c r="FSB47" s="674"/>
      <c r="FSC47" s="674"/>
      <c r="FSD47" s="674"/>
      <c r="FSE47" s="674"/>
      <c r="FSF47" s="674"/>
      <c r="FSG47" s="674"/>
      <c r="FSH47" s="674"/>
      <c r="FSI47" s="674"/>
      <c r="FSJ47" s="674"/>
      <c r="FSK47" s="674"/>
      <c r="FSL47" s="674"/>
      <c r="FSM47" s="674"/>
      <c r="FSN47" s="674"/>
      <c r="FSO47" s="674"/>
      <c r="FSP47" s="674"/>
      <c r="FSQ47" s="674"/>
      <c r="FSR47" s="674"/>
      <c r="FSS47" s="674"/>
      <c r="FST47" s="674"/>
      <c r="FSU47" s="674"/>
      <c r="FSV47" s="674"/>
      <c r="FSW47" s="674"/>
      <c r="FSX47" s="674"/>
      <c r="FSY47" s="674"/>
      <c r="FSZ47" s="674"/>
      <c r="FTA47" s="674"/>
      <c r="FTB47" s="674"/>
      <c r="FTC47" s="674"/>
      <c r="FTD47" s="674"/>
      <c r="FTE47" s="674"/>
      <c r="FTF47" s="674"/>
      <c r="FTG47" s="674"/>
      <c r="FTH47" s="674"/>
      <c r="FTI47" s="674"/>
      <c r="FTJ47" s="674"/>
      <c r="FTK47" s="674"/>
      <c r="FTL47" s="674"/>
      <c r="FTM47" s="674"/>
      <c r="FTN47" s="674"/>
      <c r="FTO47" s="674"/>
      <c r="FTP47" s="674"/>
      <c r="FTQ47" s="674"/>
      <c r="FTR47" s="674"/>
      <c r="FTS47" s="674"/>
      <c r="FTT47" s="674"/>
      <c r="FTU47" s="674"/>
      <c r="FTV47" s="674"/>
      <c r="FTW47" s="674"/>
      <c r="FTX47" s="674"/>
      <c r="FTY47" s="674"/>
      <c r="FTZ47" s="674"/>
      <c r="FUA47" s="674"/>
      <c r="FUB47" s="674"/>
      <c r="FUC47" s="674"/>
      <c r="FUD47" s="674"/>
      <c r="FUE47" s="674"/>
      <c r="FUF47" s="674"/>
      <c r="FUG47" s="674"/>
      <c r="FUH47" s="674"/>
      <c r="FUI47" s="674"/>
      <c r="FUJ47" s="674"/>
      <c r="FUK47" s="674"/>
      <c r="FUL47" s="674"/>
      <c r="FUM47" s="674"/>
      <c r="FUN47" s="674"/>
      <c r="FUO47" s="674"/>
      <c r="FUP47" s="674"/>
      <c r="FUQ47" s="674"/>
      <c r="FUR47" s="674"/>
      <c r="FUS47" s="674"/>
      <c r="FUT47" s="674"/>
      <c r="FUU47" s="674"/>
      <c r="FUV47" s="674"/>
      <c r="FUW47" s="674"/>
      <c r="FUX47" s="674"/>
      <c r="FUY47" s="674"/>
      <c r="FUZ47" s="674"/>
      <c r="FVA47" s="674"/>
      <c r="FVB47" s="674"/>
      <c r="FVC47" s="674"/>
      <c r="FVD47" s="674"/>
      <c r="FVE47" s="674"/>
      <c r="FVF47" s="674"/>
      <c r="FVG47" s="674"/>
      <c r="FVH47" s="674"/>
      <c r="FVI47" s="674"/>
      <c r="FVJ47" s="674"/>
      <c r="FVK47" s="674"/>
      <c r="FVL47" s="674"/>
      <c r="FVM47" s="674"/>
      <c r="FVN47" s="674"/>
      <c r="FVO47" s="674"/>
      <c r="FVP47" s="674"/>
      <c r="FVQ47" s="674"/>
      <c r="FVR47" s="674"/>
      <c r="FVS47" s="674"/>
      <c r="FVT47" s="674"/>
      <c r="FVU47" s="674"/>
      <c r="FVV47" s="674"/>
      <c r="FVW47" s="674"/>
      <c r="FVX47" s="674"/>
      <c r="FVY47" s="674"/>
      <c r="FVZ47" s="674"/>
      <c r="FWA47" s="674"/>
      <c r="FWB47" s="674"/>
      <c r="FWC47" s="674"/>
      <c r="FWD47" s="674"/>
      <c r="FWE47" s="674"/>
      <c r="FWF47" s="674"/>
      <c r="FWG47" s="674"/>
      <c r="FWH47" s="674"/>
      <c r="FWI47" s="674"/>
      <c r="FWJ47" s="674"/>
      <c r="FWK47" s="674"/>
      <c r="FWL47" s="674"/>
      <c r="FWM47" s="674"/>
      <c r="FWN47" s="674"/>
      <c r="FWO47" s="674"/>
      <c r="FWP47" s="674"/>
      <c r="FWQ47" s="674"/>
      <c r="FWR47" s="674"/>
      <c r="FWS47" s="674"/>
      <c r="FWT47" s="674"/>
      <c r="FWU47" s="674"/>
      <c r="FWV47" s="674"/>
      <c r="FWW47" s="674"/>
      <c r="FWX47" s="674"/>
      <c r="FWY47" s="674"/>
      <c r="FWZ47" s="674"/>
      <c r="FXA47" s="674"/>
      <c r="FXB47" s="674"/>
      <c r="FXC47" s="674"/>
      <c r="FXD47" s="674"/>
      <c r="FXE47" s="674"/>
      <c r="FXF47" s="674"/>
      <c r="FXG47" s="674"/>
      <c r="FXH47" s="674"/>
      <c r="FXI47" s="674"/>
      <c r="FXJ47" s="674"/>
      <c r="FXK47" s="674"/>
      <c r="FXL47" s="674"/>
      <c r="FXM47" s="674"/>
      <c r="FXN47" s="674"/>
      <c r="FXO47" s="674"/>
      <c r="FXP47" s="674"/>
      <c r="FXQ47" s="674"/>
      <c r="FXR47" s="674"/>
      <c r="FXS47" s="674"/>
      <c r="FXT47" s="674"/>
      <c r="FXU47" s="674"/>
      <c r="FXV47" s="674"/>
      <c r="FXW47" s="674"/>
      <c r="FXX47" s="674"/>
      <c r="FXY47" s="674"/>
      <c r="FXZ47" s="674"/>
      <c r="FYA47" s="674"/>
      <c r="FYB47" s="674"/>
      <c r="FYC47" s="674"/>
      <c r="FYD47" s="674"/>
      <c r="FYE47" s="674"/>
      <c r="FYF47" s="674"/>
      <c r="FYG47" s="674"/>
      <c r="FYH47" s="674"/>
      <c r="FYI47" s="674"/>
      <c r="FYJ47" s="674"/>
      <c r="FYK47" s="674"/>
      <c r="FYL47" s="674"/>
      <c r="FYM47" s="674"/>
      <c r="FYN47" s="674"/>
      <c r="FYO47" s="674"/>
      <c r="FYP47" s="674"/>
      <c r="FYQ47" s="674"/>
      <c r="FYR47" s="674"/>
      <c r="FYS47" s="674"/>
      <c r="FYT47" s="674"/>
      <c r="FYU47" s="674"/>
      <c r="FYV47" s="674"/>
      <c r="FYW47" s="674"/>
      <c r="FYX47" s="674"/>
      <c r="FYY47" s="674"/>
      <c r="FYZ47" s="674"/>
      <c r="FZA47" s="674"/>
      <c r="FZB47" s="674"/>
      <c r="FZC47" s="674"/>
      <c r="FZD47" s="674"/>
      <c r="FZE47" s="674"/>
      <c r="FZF47" s="674"/>
      <c r="FZG47" s="674"/>
      <c r="FZH47" s="674"/>
      <c r="FZI47" s="674"/>
      <c r="FZJ47" s="674"/>
      <c r="FZK47" s="674"/>
      <c r="FZL47" s="674"/>
      <c r="FZM47" s="674"/>
      <c r="FZN47" s="674"/>
      <c r="FZO47" s="674"/>
      <c r="FZP47" s="674"/>
      <c r="FZQ47" s="674"/>
      <c r="FZR47" s="674"/>
      <c r="FZS47" s="674"/>
      <c r="FZT47" s="674"/>
      <c r="FZU47" s="674"/>
      <c r="FZV47" s="674"/>
      <c r="FZW47" s="674"/>
      <c r="FZX47" s="674"/>
      <c r="FZY47" s="674"/>
      <c r="FZZ47" s="674"/>
      <c r="GAA47" s="674"/>
      <c r="GAB47" s="674"/>
      <c r="GAC47" s="674"/>
      <c r="GAD47" s="674"/>
      <c r="GAE47" s="674"/>
      <c r="GAF47" s="674"/>
      <c r="GAG47" s="674"/>
      <c r="GAH47" s="674"/>
      <c r="GAI47" s="674"/>
      <c r="GAJ47" s="674"/>
      <c r="GAK47" s="674"/>
      <c r="GAL47" s="674"/>
      <c r="GAM47" s="674"/>
      <c r="GAN47" s="674"/>
      <c r="GAO47" s="674"/>
      <c r="GAP47" s="674"/>
      <c r="GAQ47" s="674"/>
      <c r="GAR47" s="674"/>
      <c r="GAS47" s="674"/>
      <c r="GAT47" s="674"/>
      <c r="GAU47" s="674"/>
      <c r="GAV47" s="674"/>
      <c r="GAW47" s="674"/>
      <c r="GAX47" s="674"/>
      <c r="GAY47" s="674"/>
      <c r="GAZ47" s="674"/>
      <c r="GBA47" s="674"/>
      <c r="GBB47" s="674"/>
      <c r="GBC47" s="674"/>
      <c r="GBD47" s="674"/>
      <c r="GBE47" s="674"/>
      <c r="GBF47" s="674"/>
      <c r="GBG47" s="674"/>
      <c r="GBH47" s="674"/>
      <c r="GBI47" s="674"/>
      <c r="GBJ47" s="674"/>
      <c r="GBK47" s="674"/>
      <c r="GBL47" s="674"/>
      <c r="GBM47" s="674"/>
      <c r="GBN47" s="674"/>
      <c r="GBO47" s="674"/>
      <c r="GBP47" s="674"/>
      <c r="GBQ47" s="674"/>
      <c r="GBR47" s="674"/>
      <c r="GBS47" s="674"/>
      <c r="GBT47" s="674"/>
      <c r="GBU47" s="674"/>
      <c r="GBV47" s="674"/>
      <c r="GBW47" s="674"/>
      <c r="GBX47" s="674"/>
      <c r="GBY47" s="674"/>
      <c r="GBZ47" s="674"/>
      <c r="GCA47" s="674"/>
      <c r="GCB47" s="674"/>
      <c r="GCC47" s="674"/>
      <c r="GCD47" s="674"/>
      <c r="GCE47" s="674"/>
      <c r="GCF47" s="674"/>
      <c r="GCG47" s="674"/>
      <c r="GCH47" s="674"/>
      <c r="GCI47" s="674"/>
      <c r="GCJ47" s="674"/>
      <c r="GCK47" s="674"/>
      <c r="GCL47" s="674"/>
      <c r="GCM47" s="674"/>
      <c r="GCN47" s="674"/>
      <c r="GCO47" s="674"/>
      <c r="GCP47" s="674"/>
      <c r="GCQ47" s="674"/>
      <c r="GCR47" s="674"/>
      <c r="GCS47" s="674"/>
      <c r="GCT47" s="674"/>
      <c r="GCU47" s="674"/>
      <c r="GCV47" s="674"/>
      <c r="GCW47" s="674"/>
      <c r="GCX47" s="674"/>
      <c r="GCY47" s="674"/>
      <c r="GCZ47" s="674"/>
      <c r="GDA47" s="674"/>
      <c r="GDB47" s="674"/>
      <c r="GDC47" s="674"/>
      <c r="GDD47" s="674"/>
      <c r="GDE47" s="674"/>
      <c r="GDF47" s="674"/>
      <c r="GDG47" s="674"/>
      <c r="GDH47" s="674"/>
      <c r="GDI47" s="674"/>
      <c r="GDJ47" s="674"/>
      <c r="GDK47" s="674"/>
      <c r="GDL47" s="674"/>
      <c r="GDM47" s="674"/>
      <c r="GDN47" s="674"/>
      <c r="GDO47" s="674"/>
      <c r="GDP47" s="674"/>
      <c r="GDQ47" s="674"/>
      <c r="GDR47" s="674"/>
      <c r="GDS47" s="674"/>
      <c r="GDT47" s="674"/>
      <c r="GDU47" s="674"/>
      <c r="GDV47" s="674"/>
      <c r="GDW47" s="674"/>
      <c r="GDX47" s="674"/>
      <c r="GDY47" s="674"/>
      <c r="GDZ47" s="674"/>
      <c r="GEA47" s="674"/>
      <c r="GEB47" s="674"/>
      <c r="GEC47" s="674"/>
      <c r="GED47" s="674"/>
      <c r="GEE47" s="674"/>
      <c r="GEF47" s="674"/>
      <c r="GEG47" s="674"/>
      <c r="GEH47" s="674"/>
      <c r="GEI47" s="674"/>
      <c r="GEJ47" s="674"/>
      <c r="GEK47" s="674"/>
      <c r="GEL47" s="674"/>
      <c r="GEM47" s="674"/>
      <c r="GEN47" s="674"/>
      <c r="GEO47" s="674"/>
      <c r="GEP47" s="674"/>
      <c r="GEQ47" s="674"/>
      <c r="GER47" s="674"/>
      <c r="GES47" s="674"/>
      <c r="GET47" s="674"/>
      <c r="GEU47" s="674"/>
      <c r="GEV47" s="674"/>
      <c r="GEW47" s="674"/>
      <c r="GEX47" s="674"/>
      <c r="GEY47" s="674"/>
      <c r="GEZ47" s="674"/>
      <c r="GFA47" s="674"/>
      <c r="GFB47" s="674"/>
      <c r="GFC47" s="674"/>
      <c r="GFD47" s="674"/>
      <c r="GFE47" s="674"/>
      <c r="GFF47" s="674"/>
      <c r="GFG47" s="674"/>
      <c r="GFH47" s="674"/>
      <c r="GFI47" s="674"/>
      <c r="GFJ47" s="674"/>
      <c r="GFK47" s="674"/>
      <c r="GFL47" s="674"/>
      <c r="GFM47" s="674"/>
      <c r="GFN47" s="674"/>
      <c r="GFO47" s="674"/>
      <c r="GFP47" s="674"/>
      <c r="GFQ47" s="674"/>
      <c r="GFR47" s="674"/>
      <c r="GFS47" s="674"/>
      <c r="GFT47" s="674"/>
      <c r="GFU47" s="674"/>
      <c r="GFV47" s="674"/>
      <c r="GFW47" s="674"/>
      <c r="GFX47" s="674"/>
      <c r="GFY47" s="674"/>
      <c r="GFZ47" s="674"/>
      <c r="GGA47" s="674"/>
      <c r="GGB47" s="674"/>
      <c r="GGC47" s="674"/>
      <c r="GGD47" s="674"/>
      <c r="GGE47" s="674"/>
      <c r="GGF47" s="674"/>
      <c r="GGG47" s="674"/>
      <c r="GGH47" s="674"/>
      <c r="GGI47" s="674"/>
      <c r="GGJ47" s="674"/>
      <c r="GGK47" s="674"/>
      <c r="GGL47" s="674"/>
      <c r="GGM47" s="674"/>
      <c r="GGN47" s="674"/>
      <c r="GGO47" s="674"/>
      <c r="GGP47" s="674"/>
      <c r="GGQ47" s="674"/>
      <c r="GGR47" s="674"/>
      <c r="GGS47" s="674"/>
      <c r="GGT47" s="674"/>
      <c r="GGU47" s="674"/>
      <c r="GGV47" s="674"/>
      <c r="GGW47" s="674"/>
      <c r="GGX47" s="674"/>
      <c r="GGY47" s="674"/>
      <c r="GGZ47" s="674"/>
      <c r="GHA47" s="674"/>
      <c r="GHB47" s="674"/>
      <c r="GHC47" s="674"/>
      <c r="GHD47" s="674"/>
      <c r="GHE47" s="674"/>
      <c r="GHF47" s="674"/>
      <c r="GHG47" s="674"/>
      <c r="GHH47" s="674"/>
      <c r="GHI47" s="674"/>
      <c r="GHJ47" s="674"/>
      <c r="GHK47" s="674"/>
      <c r="GHL47" s="674"/>
      <c r="GHM47" s="674"/>
      <c r="GHN47" s="674"/>
      <c r="GHO47" s="674"/>
      <c r="GHP47" s="674"/>
      <c r="GHQ47" s="674"/>
      <c r="GHR47" s="674"/>
      <c r="GHS47" s="674"/>
      <c r="GHT47" s="674"/>
      <c r="GHU47" s="674"/>
      <c r="GHV47" s="674"/>
      <c r="GHW47" s="674"/>
      <c r="GHX47" s="674"/>
      <c r="GHY47" s="674"/>
      <c r="GHZ47" s="674"/>
      <c r="GIA47" s="674"/>
      <c r="GIB47" s="674"/>
      <c r="GIC47" s="674"/>
      <c r="GID47" s="674"/>
      <c r="GIE47" s="674"/>
      <c r="GIF47" s="674"/>
      <c r="GIG47" s="674"/>
      <c r="GIH47" s="674"/>
      <c r="GII47" s="674"/>
      <c r="GIJ47" s="674"/>
      <c r="GIK47" s="674"/>
      <c r="GIL47" s="674"/>
      <c r="GIM47" s="674"/>
      <c r="GIN47" s="674"/>
      <c r="GIO47" s="674"/>
      <c r="GIP47" s="674"/>
      <c r="GIQ47" s="674"/>
      <c r="GIR47" s="674"/>
      <c r="GIS47" s="674"/>
      <c r="GIT47" s="674"/>
      <c r="GIU47" s="674"/>
      <c r="GIV47" s="674"/>
      <c r="GIW47" s="674"/>
      <c r="GIX47" s="674"/>
      <c r="GIY47" s="674"/>
      <c r="GIZ47" s="674"/>
      <c r="GJA47" s="674"/>
      <c r="GJB47" s="674"/>
      <c r="GJC47" s="674"/>
      <c r="GJD47" s="674"/>
      <c r="GJE47" s="674"/>
      <c r="GJF47" s="674"/>
      <c r="GJG47" s="674"/>
      <c r="GJH47" s="674"/>
      <c r="GJI47" s="674"/>
      <c r="GJJ47" s="674"/>
      <c r="GJK47" s="674"/>
      <c r="GJL47" s="674"/>
      <c r="GJM47" s="674"/>
      <c r="GJN47" s="674"/>
      <c r="GJO47" s="674"/>
      <c r="GJP47" s="674"/>
      <c r="GJQ47" s="674"/>
      <c r="GJR47" s="674"/>
      <c r="GJS47" s="674"/>
      <c r="GJT47" s="674"/>
      <c r="GJU47" s="674"/>
      <c r="GJV47" s="674"/>
      <c r="GJW47" s="674"/>
      <c r="GJX47" s="674"/>
      <c r="GJY47" s="674"/>
      <c r="GJZ47" s="674"/>
      <c r="GKA47" s="674"/>
      <c r="GKB47" s="674"/>
      <c r="GKC47" s="674"/>
      <c r="GKD47" s="674"/>
      <c r="GKE47" s="674"/>
      <c r="GKF47" s="674"/>
      <c r="GKG47" s="674"/>
      <c r="GKH47" s="674"/>
      <c r="GKI47" s="674"/>
      <c r="GKJ47" s="674"/>
      <c r="GKK47" s="674"/>
      <c r="GKL47" s="674"/>
      <c r="GKM47" s="674"/>
      <c r="GKN47" s="674"/>
      <c r="GKO47" s="674"/>
      <c r="GKP47" s="674"/>
      <c r="GKQ47" s="674"/>
      <c r="GKR47" s="674"/>
      <c r="GKS47" s="674"/>
      <c r="GKT47" s="674"/>
      <c r="GKU47" s="674"/>
      <c r="GKV47" s="674"/>
      <c r="GKW47" s="674"/>
      <c r="GKX47" s="674"/>
      <c r="GKY47" s="674"/>
      <c r="GKZ47" s="674"/>
      <c r="GLA47" s="674"/>
      <c r="GLB47" s="674"/>
      <c r="GLC47" s="674"/>
      <c r="GLD47" s="674"/>
      <c r="GLE47" s="674"/>
      <c r="GLF47" s="674"/>
      <c r="GLG47" s="674"/>
      <c r="GLH47" s="674"/>
      <c r="GLI47" s="674"/>
      <c r="GLJ47" s="674"/>
      <c r="GLK47" s="674"/>
      <c r="GLL47" s="674"/>
      <c r="GLM47" s="674"/>
      <c r="GLN47" s="674"/>
      <c r="GLO47" s="674"/>
      <c r="GLP47" s="674"/>
      <c r="GLQ47" s="674"/>
      <c r="GLR47" s="674"/>
      <c r="GLS47" s="674"/>
      <c r="GLT47" s="674"/>
      <c r="GLU47" s="674"/>
      <c r="GLV47" s="674"/>
      <c r="GLW47" s="674"/>
      <c r="GLX47" s="674"/>
      <c r="GLY47" s="674"/>
      <c r="GLZ47" s="674"/>
      <c r="GMA47" s="674"/>
      <c r="GMB47" s="674"/>
      <c r="GMC47" s="674"/>
      <c r="GMD47" s="674"/>
      <c r="GME47" s="674"/>
      <c r="GMF47" s="674"/>
      <c r="GMG47" s="674"/>
      <c r="GMH47" s="674"/>
      <c r="GMI47" s="674"/>
      <c r="GMJ47" s="674"/>
      <c r="GMK47" s="674"/>
      <c r="GML47" s="674"/>
      <c r="GMM47" s="674"/>
      <c r="GMN47" s="674"/>
      <c r="GMO47" s="674"/>
      <c r="GMP47" s="674"/>
      <c r="GMQ47" s="674"/>
      <c r="GMR47" s="674"/>
      <c r="GMS47" s="674"/>
      <c r="GMT47" s="674"/>
      <c r="GMU47" s="674"/>
      <c r="GMV47" s="674"/>
      <c r="GMW47" s="674"/>
      <c r="GMX47" s="674"/>
      <c r="GMY47" s="674"/>
      <c r="GMZ47" s="674"/>
      <c r="GNA47" s="674"/>
      <c r="GNB47" s="674"/>
      <c r="GNC47" s="674"/>
      <c r="GND47" s="674"/>
      <c r="GNE47" s="674"/>
      <c r="GNF47" s="674"/>
      <c r="GNG47" s="674"/>
      <c r="GNH47" s="674"/>
      <c r="GNI47" s="674"/>
      <c r="GNJ47" s="674"/>
      <c r="GNK47" s="674"/>
      <c r="GNL47" s="674"/>
      <c r="GNM47" s="674"/>
      <c r="GNN47" s="674"/>
      <c r="GNO47" s="674"/>
      <c r="GNP47" s="674"/>
      <c r="GNQ47" s="674"/>
      <c r="GNR47" s="674"/>
      <c r="GNS47" s="674"/>
      <c r="GNT47" s="674"/>
      <c r="GNU47" s="674"/>
      <c r="GNV47" s="674"/>
      <c r="GNW47" s="674"/>
      <c r="GNX47" s="674"/>
      <c r="GNY47" s="674"/>
      <c r="GNZ47" s="674"/>
      <c r="GOA47" s="674"/>
      <c r="GOB47" s="674"/>
      <c r="GOC47" s="674"/>
      <c r="GOD47" s="674"/>
      <c r="GOE47" s="674"/>
      <c r="GOF47" s="674"/>
      <c r="GOG47" s="674"/>
      <c r="GOH47" s="674"/>
      <c r="GOI47" s="674"/>
      <c r="GOJ47" s="674"/>
      <c r="GOK47" s="674"/>
      <c r="GOL47" s="674"/>
      <c r="GOM47" s="674"/>
      <c r="GON47" s="674"/>
      <c r="GOO47" s="674"/>
      <c r="GOP47" s="674"/>
      <c r="GOQ47" s="674"/>
      <c r="GOR47" s="674"/>
      <c r="GOS47" s="674"/>
      <c r="GOT47" s="674"/>
      <c r="GOU47" s="674"/>
      <c r="GOV47" s="674"/>
      <c r="GOW47" s="674"/>
      <c r="GOX47" s="674"/>
      <c r="GOY47" s="674"/>
      <c r="GOZ47" s="674"/>
      <c r="GPA47" s="674"/>
      <c r="GPB47" s="674"/>
      <c r="GPC47" s="674"/>
      <c r="GPD47" s="674"/>
      <c r="GPE47" s="674"/>
      <c r="GPF47" s="674"/>
      <c r="GPG47" s="674"/>
      <c r="GPH47" s="674"/>
      <c r="GPI47" s="674"/>
      <c r="GPJ47" s="674"/>
      <c r="GPK47" s="674"/>
      <c r="GPL47" s="674"/>
      <c r="GPM47" s="674"/>
      <c r="GPN47" s="674"/>
      <c r="GPO47" s="674"/>
      <c r="GPP47" s="674"/>
      <c r="GPQ47" s="674"/>
      <c r="GPR47" s="674"/>
      <c r="GPS47" s="674"/>
      <c r="GPT47" s="674"/>
      <c r="GPU47" s="674"/>
      <c r="GPV47" s="674"/>
      <c r="GPW47" s="674"/>
      <c r="GPX47" s="674"/>
      <c r="GPY47" s="674"/>
      <c r="GPZ47" s="674"/>
      <c r="GQA47" s="674"/>
      <c r="GQB47" s="674"/>
      <c r="GQC47" s="674"/>
      <c r="GQD47" s="674"/>
      <c r="GQE47" s="674"/>
      <c r="GQF47" s="674"/>
      <c r="GQG47" s="674"/>
      <c r="GQH47" s="674"/>
      <c r="GQI47" s="674"/>
      <c r="GQJ47" s="674"/>
      <c r="GQK47" s="674"/>
      <c r="GQL47" s="674"/>
      <c r="GQM47" s="674"/>
      <c r="GQN47" s="674"/>
      <c r="GQO47" s="674"/>
      <c r="GQP47" s="674"/>
      <c r="GQQ47" s="674"/>
      <c r="GQR47" s="674"/>
      <c r="GQS47" s="674"/>
      <c r="GQT47" s="674"/>
      <c r="GQU47" s="674"/>
      <c r="GQV47" s="674"/>
      <c r="GQW47" s="674"/>
      <c r="GQX47" s="674"/>
      <c r="GQY47" s="674"/>
      <c r="GQZ47" s="674"/>
      <c r="GRA47" s="674"/>
      <c r="GRB47" s="674"/>
      <c r="GRC47" s="674"/>
      <c r="GRD47" s="674"/>
      <c r="GRE47" s="674"/>
      <c r="GRF47" s="674"/>
      <c r="GRG47" s="674"/>
      <c r="GRH47" s="674"/>
      <c r="GRI47" s="674"/>
      <c r="GRJ47" s="674"/>
      <c r="GRK47" s="674"/>
      <c r="GRL47" s="674"/>
      <c r="GRM47" s="674"/>
      <c r="GRN47" s="674"/>
      <c r="GRO47" s="674"/>
      <c r="GRP47" s="674"/>
      <c r="GRQ47" s="674"/>
      <c r="GRR47" s="674"/>
      <c r="GRS47" s="674"/>
      <c r="GRT47" s="674"/>
      <c r="GRU47" s="674"/>
      <c r="GRV47" s="674"/>
      <c r="GRW47" s="674"/>
      <c r="GRX47" s="674"/>
      <c r="GRY47" s="674"/>
      <c r="GRZ47" s="674"/>
      <c r="GSA47" s="674"/>
      <c r="GSB47" s="674"/>
      <c r="GSC47" s="674"/>
      <c r="GSD47" s="674"/>
      <c r="GSE47" s="674"/>
      <c r="GSF47" s="674"/>
      <c r="GSG47" s="674"/>
      <c r="GSH47" s="674"/>
      <c r="GSI47" s="674"/>
      <c r="GSJ47" s="674"/>
      <c r="GSK47" s="674"/>
      <c r="GSL47" s="674"/>
      <c r="GSM47" s="674"/>
      <c r="GSN47" s="674"/>
      <c r="GSO47" s="674"/>
      <c r="GSP47" s="674"/>
      <c r="GSQ47" s="674"/>
      <c r="GSR47" s="674"/>
      <c r="GSS47" s="674"/>
      <c r="GST47" s="674"/>
      <c r="GSU47" s="674"/>
      <c r="GSV47" s="674"/>
      <c r="GSW47" s="674"/>
      <c r="GSX47" s="674"/>
      <c r="GSY47" s="674"/>
      <c r="GSZ47" s="674"/>
      <c r="GTA47" s="674"/>
      <c r="GTB47" s="674"/>
      <c r="GTC47" s="674"/>
      <c r="GTD47" s="674"/>
      <c r="GTE47" s="674"/>
      <c r="GTF47" s="674"/>
      <c r="GTG47" s="674"/>
      <c r="GTH47" s="674"/>
      <c r="GTI47" s="674"/>
      <c r="GTJ47" s="674"/>
      <c r="GTK47" s="674"/>
      <c r="GTL47" s="674"/>
      <c r="GTM47" s="674"/>
      <c r="GTN47" s="674"/>
      <c r="GTO47" s="674"/>
      <c r="GTP47" s="674"/>
      <c r="GTQ47" s="674"/>
      <c r="GTR47" s="674"/>
      <c r="GTS47" s="674"/>
      <c r="GTT47" s="674"/>
      <c r="GTU47" s="674"/>
      <c r="GTV47" s="674"/>
      <c r="GTW47" s="674"/>
      <c r="GTX47" s="674"/>
      <c r="GTY47" s="674"/>
      <c r="GTZ47" s="674"/>
      <c r="GUA47" s="674"/>
      <c r="GUB47" s="674"/>
      <c r="GUC47" s="674"/>
      <c r="GUD47" s="674"/>
      <c r="GUE47" s="674"/>
      <c r="GUF47" s="674"/>
      <c r="GUG47" s="674"/>
      <c r="GUH47" s="674"/>
      <c r="GUI47" s="674"/>
      <c r="GUJ47" s="674"/>
      <c r="GUK47" s="674"/>
      <c r="GUL47" s="674"/>
      <c r="GUM47" s="674"/>
      <c r="GUN47" s="674"/>
      <c r="GUO47" s="674"/>
      <c r="GUP47" s="674"/>
      <c r="GUQ47" s="674"/>
      <c r="GUR47" s="674"/>
      <c r="GUS47" s="674"/>
      <c r="GUT47" s="674"/>
      <c r="GUU47" s="674"/>
      <c r="GUV47" s="674"/>
      <c r="GUW47" s="674"/>
      <c r="GUX47" s="674"/>
      <c r="GUY47" s="674"/>
      <c r="GUZ47" s="674"/>
      <c r="GVA47" s="674"/>
      <c r="GVB47" s="674"/>
      <c r="GVC47" s="674"/>
      <c r="GVD47" s="674"/>
      <c r="GVE47" s="674"/>
      <c r="GVF47" s="674"/>
      <c r="GVG47" s="674"/>
      <c r="GVH47" s="674"/>
      <c r="GVI47" s="674"/>
      <c r="GVJ47" s="674"/>
      <c r="GVK47" s="674"/>
      <c r="GVL47" s="674"/>
      <c r="GVM47" s="674"/>
      <c r="GVN47" s="674"/>
      <c r="GVO47" s="674"/>
      <c r="GVP47" s="674"/>
      <c r="GVQ47" s="674"/>
      <c r="GVR47" s="674"/>
      <c r="GVS47" s="674"/>
      <c r="GVT47" s="674"/>
      <c r="GVU47" s="674"/>
      <c r="GVV47" s="674"/>
      <c r="GVW47" s="674"/>
      <c r="GVX47" s="674"/>
      <c r="GVY47" s="674"/>
      <c r="GVZ47" s="674"/>
      <c r="GWA47" s="674"/>
      <c r="GWB47" s="674"/>
      <c r="GWC47" s="674"/>
      <c r="GWD47" s="674"/>
      <c r="GWE47" s="674"/>
      <c r="GWF47" s="674"/>
      <c r="GWG47" s="674"/>
      <c r="GWH47" s="674"/>
      <c r="GWI47" s="674"/>
      <c r="GWJ47" s="674"/>
      <c r="GWK47" s="674"/>
      <c r="GWL47" s="674"/>
      <c r="GWM47" s="674"/>
      <c r="GWN47" s="674"/>
      <c r="GWO47" s="674"/>
      <c r="GWP47" s="674"/>
      <c r="GWQ47" s="674"/>
      <c r="GWR47" s="674"/>
      <c r="GWS47" s="674"/>
      <c r="GWT47" s="674"/>
      <c r="GWU47" s="674"/>
      <c r="GWV47" s="674"/>
      <c r="GWW47" s="674"/>
      <c r="GWX47" s="674"/>
      <c r="GWY47" s="674"/>
      <c r="GWZ47" s="674"/>
      <c r="GXA47" s="674"/>
      <c r="GXB47" s="674"/>
      <c r="GXC47" s="674"/>
      <c r="GXD47" s="674"/>
      <c r="GXE47" s="674"/>
      <c r="GXF47" s="674"/>
      <c r="GXG47" s="674"/>
      <c r="GXH47" s="674"/>
      <c r="GXI47" s="674"/>
      <c r="GXJ47" s="674"/>
      <c r="GXK47" s="674"/>
      <c r="GXL47" s="674"/>
      <c r="GXM47" s="674"/>
      <c r="GXN47" s="674"/>
      <c r="GXO47" s="674"/>
      <c r="GXP47" s="674"/>
      <c r="GXQ47" s="674"/>
      <c r="GXR47" s="674"/>
      <c r="GXS47" s="674"/>
      <c r="GXT47" s="674"/>
      <c r="GXU47" s="674"/>
      <c r="GXV47" s="674"/>
      <c r="GXW47" s="674"/>
      <c r="GXX47" s="674"/>
      <c r="GXY47" s="674"/>
      <c r="GXZ47" s="674"/>
      <c r="GYA47" s="674"/>
      <c r="GYB47" s="674"/>
      <c r="GYC47" s="674"/>
      <c r="GYD47" s="674"/>
      <c r="GYE47" s="674"/>
      <c r="GYF47" s="674"/>
      <c r="GYG47" s="674"/>
      <c r="GYH47" s="674"/>
      <c r="GYI47" s="674"/>
      <c r="GYJ47" s="674"/>
      <c r="GYK47" s="674"/>
      <c r="GYL47" s="674"/>
      <c r="GYM47" s="674"/>
      <c r="GYN47" s="674"/>
      <c r="GYO47" s="674"/>
      <c r="GYP47" s="674"/>
      <c r="GYQ47" s="674"/>
      <c r="GYR47" s="674"/>
      <c r="GYS47" s="674"/>
      <c r="GYT47" s="674"/>
      <c r="GYU47" s="674"/>
      <c r="GYV47" s="674"/>
      <c r="GYW47" s="674"/>
      <c r="GYX47" s="674"/>
      <c r="GYY47" s="674"/>
      <c r="GYZ47" s="674"/>
      <c r="GZA47" s="674"/>
      <c r="GZB47" s="674"/>
      <c r="GZC47" s="674"/>
      <c r="GZD47" s="674"/>
      <c r="GZE47" s="674"/>
      <c r="GZF47" s="674"/>
      <c r="GZG47" s="674"/>
      <c r="GZH47" s="674"/>
      <c r="GZI47" s="674"/>
      <c r="GZJ47" s="674"/>
      <c r="GZK47" s="674"/>
      <c r="GZL47" s="674"/>
      <c r="GZM47" s="674"/>
      <c r="GZN47" s="674"/>
      <c r="GZO47" s="674"/>
      <c r="GZP47" s="674"/>
      <c r="GZQ47" s="674"/>
      <c r="GZR47" s="674"/>
      <c r="GZS47" s="674"/>
      <c r="GZT47" s="674"/>
      <c r="GZU47" s="674"/>
      <c r="GZV47" s="674"/>
      <c r="GZW47" s="674"/>
      <c r="GZX47" s="674"/>
      <c r="GZY47" s="674"/>
      <c r="GZZ47" s="674"/>
      <c r="HAA47" s="674"/>
      <c r="HAB47" s="674"/>
      <c r="HAC47" s="674"/>
      <c r="HAD47" s="674"/>
      <c r="HAE47" s="674"/>
      <c r="HAF47" s="674"/>
      <c r="HAG47" s="674"/>
      <c r="HAH47" s="674"/>
      <c r="HAI47" s="674"/>
      <c r="HAJ47" s="674"/>
      <c r="HAK47" s="674"/>
      <c r="HAL47" s="674"/>
      <c r="HAM47" s="674"/>
      <c r="HAN47" s="674"/>
      <c r="HAO47" s="674"/>
      <c r="HAP47" s="674"/>
      <c r="HAQ47" s="674"/>
      <c r="HAR47" s="674"/>
      <c r="HAS47" s="674"/>
      <c r="HAT47" s="674"/>
      <c r="HAU47" s="674"/>
      <c r="HAV47" s="674"/>
      <c r="HAW47" s="674"/>
      <c r="HAX47" s="674"/>
      <c r="HAY47" s="674"/>
      <c r="HAZ47" s="674"/>
      <c r="HBA47" s="674"/>
      <c r="HBB47" s="674"/>
      <c r="HBC47" s="674"/>
      <c r="HBD47" s="674"/>
      <c r="HBE47" s="674"/>
      <c r="HBF47" s="674"/>
      <c r="HBG47" s="674"/>
      <c r="HBH47" s="674"/>
      <c r="HBI47" s="674"/>
      <c r="HBJ47" s="674"/>
      <c r="HBK47" s="674"/>
      <c r="HBL47" s="674"/>
      <c r="HBM47" s="674"/>
      <c r="HBN47" s="674"/>
      <c r="HBO47" s="674"/>
      <c r="HBP47" s="674"/>
      <c r="HBQ47" s="674"/>
      <c r="HBR47" s="674"/>
      <c r="HBS47" s="674"/>
      <c r="HBT47" s="674"/>
      <c r="HBU47" s="674"/>
      <c r="HBV47" s="674"/>
      <c r="HBW47" s="674"/>
      <c r="HBX47" s="674"/>
      <c r="HBY47" s="674"/>
      <c r="HBZ47" s="674"/>
      <c r="HCA47" s="674"/>
      <c r="HCB47" s="674"/>
      <c r="HCC47" s="674"/>
      <c r="HCD47" s="674"/>
      <c r="HCE47" s="674"/>
      <c r="HCF47" s="674"/>
      <c r="HCG47" s="674"/>
      <c r="HCH47" s="674"/>
      <c r="HCI47" s="674"/>
      <c r="HCJ47" s="674"/>
      <c r="HCK47" s="674"/>
      <c r="HCL47" s="674"/>
      <c r="HCM47" s="674"/>
      <c r="HCN47" s="674"/>
      <c r="HCO47" s="674"/>
      <c r="HCP47" s="674"/>
      <c r="HCQ47" s="674"/>
      <c r="HCR47" s="674"/>
      <c r="HCS47" s="674"/>
      <c r="HCT47" s="674"/>
      <c r="HCU47" s="674"/>
      <c r="HCV47" s="674"/>
      <c r="HCW47" s="674"/>
      <c r="HCX47" s="674"/>
      <c r="HCY47" s="674"/>
      <c r="HCZ47" s="674"/>
      <c r="HDA47" s="674"/>
      <c r="HDB47" s="674"/>
      <c r="HDC47" s="674"/>
      <c r="HDD47" s="674"/>
      <c r="HDE47" s="674"/>
      <c r="HDF47" s="674"/>
      <c r="HDG47" s="674"/>
      <c r="HDH47" s="674"/>
      <c r="HDI47" s="674"/>
      <c r="HDJ47" s="674"/>
      <c r="HDK47" s="674"/>
      <c r="HDL47" s="674"/>
      <c r="HDM47" s="674"/>
      <c r="HDN47" s="674"/>
      <c r="HDO47" s="674"/>
      <c r="HDP47" s="674"/>
      <c r="HDQ47" s="674"/>
      <c r="HDR47" s="674"/>
      <c r="HDS47" s="674"/>
      <c r="HDT47" s="674"/>
      <c r="HDU47" s="674"/>
      <c r="HDV47" s="674"/>
      <c r="HDW47" s="674"/>
      <c r="HDX47" s="674"/>
      <c r="HDY47" s="674"/>
      <c r="HDZ47" s="674"/>
      <c r="HEA47" s="674"/>
      <c r="HEB47" s="674"/>
      <c r="HEC47" s="674"/>
      <c r="HED47" s="674"/>
      <c r="HEE47" s="674"/>
      <c r="HEF47" s="674"/>
      <c r="HEG47" s="674"/>
      <c r="HEH47" s="674"/>
      <c r="HEI47" s="674"/>
      <c r="HEJ47" s="674"/>
      <c r="HEK47" s="674"/>
      <c r="HEL47" s="674"/>
      <c r="HEM47" s="674"/>
      <c r="HEN47" s="674"/>
      <c r="HEO47" s="674"/>
      <c r="HEP47" s="674"/>
      <c r="HEQ47" s="674"/>
      <c r="HER47" s="674"/>
      <c r="HES47" s="674"/>
      <c r="HET47" s="674"/>
      <c r="HEU47" s="674"/>
      <c r="HEV47" s="674"/>
      <c r="HEW47" s="674"/>
      <c r="HEX47" s="674"/>
      <c r="HEY47" s="674"/>
      <c r="HEZ47" s="674"/>
      <c r="HFA47" s="674"/>
      <c r="HFB47" s="674"/>
      <c r="HFC47" s="674"/>
      <c r="HFD47" s="674"/>
      <c r="HFE47" s="674"/>
      <c r="HFF47" s="674"/>
      <c r="HFG47" s="674"/>
      <c r="HFH47" s="674"/>
      <c r="HFI47" s="674"/>
      <c r="HFJ47" s="674"/>
      <c r="HFK47" s="674"/>
      <c r="HFL47" s="674"/>
      <c r="HFM47" s="674"/>
      <c r="HFN47" s="674"/>
      <c r="HFO47" s="674"/>
      <c r="HFP47" s="674"/>
      <c r="HFQ47" s="674"/>
      <c r="HFR47" s="674"/>
      <c r="HFS47" s="674"/>
      <c r="HFT47" s="674"/>
      <c r="HFU47" s="674"/>
      <c r="HFV47" s="674"/>
      <c r="HFW47" s="674"/>
      <c r="HFX47" s="674"/>
      <c r="HFY47" s="674"/>
      <c r="HFZ47" s="674"/>
      <c r="HGA47" s="674"/>
      <c r="HGB47" s="674"/>
      <c r="HGC47" s="674"/>
      <c r="HGD47" s="674"/>
      <c r="HGE47" s="674"/>
      <c r="HGF47" s="674"/>
      <c r="HGG47" s="674"/>
      <c r="HGH47" s="674"/>
      <c r="HGI47" s="674"/>
      <c r="HGJ47" s="674"/>
      <c r="HGK47" s="674"/>
      <c r="HGL47" s="674"/>
      <c r="HGM47" s="674"/>
      <c r="HGN47" s="674"/>
      <c r="HGO47" s="674"/>
      <c r="HGP47" s="674"/>
      <c r="HGQ47" s="674"/>
      <c r="HGR47" s="674"/>
      <c r="HGS47" s="674"/>
      <c r="HGT47" s="674"/>
      <c r="HGU47" s="674"/>
      <c r="HGV47" s="674"/>
      <c r="HGW47" s="674"/>
      <c r="HGX47" s="674"/>
      <c r="HGY47" s="674"/>
      <c r="HGZ47" s="674"/>
      <c r="HHA47" s="674"/>
      <c r="HHB47" s="674"/>
      <c r="HHC47" s="674"/>
      <c r="HHD47" s="674"/>
      <c r="HHE47" s="674"/>
      <c r="HHF47" s="674"/>
      <c r="HHG47" s="674"/>
      <c r="HHH47" s="674"/>
      <c r="HHI47" s="674"/>
      <c r="HHJ47" s="674"/>
      <c r="HHK47" s="674"/>
      <c r="HHL47" s="674"/>
      <c r="HHM47" s="674"/>
      <c r="HHN47" s="674"/>
      <c r="HHO47" s="674"/>
      <c r="HHP47" s="674"/>
      <c r="HHQ47" s="674"/>
      <c r="HHR47" s="674"/>
      <c r="HHS47" s="674"/>
      <c r="HHT47" s="674"/>
      <c r="HHU47" s="674"/>
      <c r="HHV47" s="674"/>
      <c r="HHW47" s="674"/>
      <c r="HHX47" s="674"/>
      <c r="HHY47" s="674"/>
      <c r="HHZ47" s="674"/>
      <c r="HIA47" s="674"/>
      <c r="HIB47" s="674"/>
      <c r="HIC47" s="674"/>
      <c r="HID47" s="674"/>
      <c r="HIE47" s="674"/>
      <c r="HIF47" s="674"/>
      <c r="HIG47" s="674"/>
      <c r="HIH47" s="674"/>
      <c r="HII47" s="674"/>
      <c r="HIJ47" s="674"/>
      <c r="HIK47" s="674"/>
      <c r="HIL47" s="674"/>
      <c r="HIM47" s="674"/>
      <c r="HIN47" s="674"/>
      <c r="HIO47" s="674"/>
      <c r="HIP47" s="674"/>
      <c r="HIQ47" s="674"/>
      <c r="HIR47" s="674"/>
      <c r="HIS47" s="674"/>
      <c r="HIT47" s="674"/>
      <c r="HIU47" s="674"/>
      <c r="HIV47" s="674"/>
      <c r="HIW47" s="674"/>
      <c r="HIX47" s="674"/>
      <c r="HIY47" s="674"/>
      <c r="HIZ47" s="674"/>
      <c r="HJA47" s="674"/>
      <c r="HJB47" s="674"/>
      <c r="HJC47" s="674"/>
      <c r="HJD47" s="674"/>
      <c r="HJE47" s="674"/>
      <c r="HJF47" s="674"/>
      <c r="HJG47" s="674"/>
      <c r="HJH47" s="674"/>
      <c r="HJI47" s="674"/>
      <c r="HJJ47" s="674"/>
      <c r="HJK47" s="674"/>
      <c r="HJL47" s="674"/>
      <c r="HJM47" s="674"/>
      <c r="HJN47" s="674"/>
      <c r="HJO47" s="674"/>
      <c r="HJP47" s="674"/>
      <c r="HJQ47" s="674"/>
      <c r="HJR47" s="674"/>
      <c r="HJS47" s="674"/>
      <c r="HJT47" s="674"/>
      <c r="HJU47" s="674"/>
      <c r="HJV47" s="674"/>
      <c r="HJW47" s="674"/>
      <c r="HJX47" s="674"/>
      <c r="HJY47" s="674"/>
      <c r="HJZ47" s="674"/>
      <c r="HKA47" s="674"/>
      <c r="HKB47" s="674"/>
      <c r="HKC47" s="674"/>
      <c r="HKD47" s="674"/>
      <c r="HKE47" s="674"/>
      <c r="HKF47" s="674"/>
      <c r="HKG47" s="674"/>
      <c r="HKH47" s="674"/>
      <c r="HKI47" s="674"/>
      <c r="HKJ47" s="674"/>
      <c r="HKK47" s="674"/>
      <c r="HKL47" s="674"/>
      <c r="HKM47" s="674"/>
      <c r="HKN47" s="674"/>
      <c r="HKO47" s="674"/>
      <c r="HKP47" s="674"/>
      <c r="HKQ47" s="674"/>
      <c r="HKR47" s="674"/>
      <c r="HKS47" s="674"/>
      <c r="HKT47" s="674"/>
      <c r="HKU47" s="674"/>
      <c r="HKV47" s="674"/>
      <c r="HKW47" s="674"/>
      <c r="HKX47" s="674"/>
      <c r="HKY47" s="674"/>
      <c r="HKZ47" s="674"/>
      <c r="HLA47" s="674"/>
      <c r="HLB47" s="674"/>
      <c r="HLC47" s="674"/>
      <c r="HLD47" s="674"/>
      <c r="HLE47" s="674"/>
      <c r="HLF47" s="674"/>
      <c r="HLG47" s="674"/>
      <c r="HLH47" s="674"/>
      <c r="HLI47" s="674"/>
      <c r="HLJ47" s="674"/>
      <c r="HLK47" s="674"/>
      <c r="HLL47" s="674"/>
      <c r="HLM47" s="674"/>
      <c r="HLN47" s="674"/>
      <c r="HLO47" s="674"/>
      <c r="HLP47" s="674"/>
      <c r="HLQ47" s="674"/>
      <c r="HLR47" s="674"/>
      <c r="HLS47" s="674"/>
      <c r="HLT47" s="674"/>
      <c r="HLU47" s="674"/>
      <c r="HLV47" s="674"/>
      <c r="HLW47" s="674"/>
      <c r="HLX47" s="674"/>
      <c r="HLY47" s="674"/>
      <c r="HLZ47" s="674"/>
      <c r="HMA47" s="674"/>
      <c r="HMB47" s="674"/>
      <c r="HMC47" s="674"/>
      <c r="HMD47" s="674"/>
      <c r="HME47" s="674"/>
      <c r="HMF47" s="674"/>
      <c r="HMG47" s="674"/>
      <c r="HMH47" s="674"/>
      <c r="HMI47" s="674"/>
      <c r="HMJ47" s="674"/>
      <c r="HMK47" s="674"/>
      <c r="HML47" s="674"/>
      <c r="HMM47" s="674"/>
      <c r="HMN47" s="674"/>
      <c r="HMO47" s="674"/>
      <c r="HMP47" s="674"/>
      <c r="HMQ47" s="674"/>
      <c r="HMR47" s="674"/>
      <c r="HMS47" s="674"/>
      <c r="HMT47" s="674"/>
      <c r="HMU47" s="674"/>
      <c r="HMV47" s="674"/>
      <c r="HMW47" s="674"/>
      <c r="HMX47" s="674"/>
      <c r="HMY47" s="674"/>
      <c r="HMZ47" s="674"/>
      <c r="HNA47" s="674"/>
      <c r="HNB47" s="674"/>
      <c r="HNC47" s="674"/>
      <c r="HND47" s="674"/>
      <c r="HNE47" s="674"/>
      <c r="HNF47" s="674"/>
      <c r="HNG47" s="674"/>
      <c r="HNH47" s="674"/>
      <c r="HNI47" s="674"/>
      <c r="HNJ47" s="674"/>
      <c r="HNK47" s="674"/>
      <c r="HNL47" s="674"/>
      <c r="HNM47" s="674"/>
      <c r="HNN47" s="674"/>
      <c r="HNO47" s="674"/>
      <c r="HNP47" s="674"/>
      <c r="HNQ47" s="674"/>
      <c r="HNR47" s="674"/>
      <c r="HNS47" s="674"/>
      <c r="HNT47" s="674"/>
      <c r="HNU47" s="674"/>
      <c r="HNV47" s="674"/>
      <c r="HNW47" s="674"/>
      <c r="HNX47" s="674"/>
      <c r="HNY47" s="674"/>
      <c r="HNZ47" s="674"/>
      <c r="HOA47" s="674"/>
      <c r="HOB47" s="674"/>
      <c r="HOC47" s="674"/>
      <c r="HOD47" s="674"/>
      <c r="HOE47" s="674"/>
      <c r="HOF47" s="674"/>
      <c r="HOG47" s="674"/>
      <c r="HOH47" s="674"/>
      <c r="HOI47" s="674"/>
      <c r="HOJ47" s="674"/>
      <c r="HOK47" s="674"/>
      <c r="HOL47" s="674"/>
      <c r="HOM47" s="674"/>
      <c r="HON47" s="674"/>
      <c r="HOO47" s="674"/>
      <c r="HOP47" s="674"/>
      <c r="HOQ47" s="674"/>
      <c r="HOR47" s="674"/>
      <c r="HOS47" s="674"/>
      <c r="HOT47" s="674"/>
      <c r="HOU47" s="674"/>
      <c r="HOV47" s="674"/>
      <c r="HOW47" s="674"/>
      <c r="HOX47" s="674"/>
      <c r="HOY47" s="674"/>
      <c r="HOZ47" s="674"/>
      <c r="HPA47" s="674"/>
      <c r="HPB47" s="674"/>
      <c r="HPC47" s="674"/>
      <c r="HPD47" s="674"/>
      <c r="HPE47" s="674"/>
      <c r="HPF47" s="674"/>
      <c r="HPG47" s="674"/>
      <c r="HPH47" s="674"/>
      <c r="HPI47" s="674"/>
      <c r="HPJ47" s="674"/>
      <c r="HPK47" s="674"/>
      <c r="HPL47" s="674"/>
      <c r="HPM47" s="674"/>
      <c r="HPN47" s="674"/>
      <c r="HPO47" s="674"/>
      <c r="HPP47" s="674"/>
      <c r="HPQ47" s="674"/>
      <c r="HPR47" s="674"/>
      <c r="HPS47" s="674"/>
      <c r="HPT47" s="674"/>
      <c r="HPU47" s="674"/>
      <c r="HPV47" s="674"/>
      <c r="HPW47" s="674"/>
      <c r="HPX47" s="674"/>
      <c r="HPY47" s="674"/>
      <c r="HPZ47" s="674"/>
      <c r="HQA47" s="674"/>
      <c r="HQB47" s="674"/>
      <c r="HQC47" s="674"/>
      <c r="HQD47" s="674"/>
      <c r="HQE47" s="674"/>
      <c r="HQF47" s="674"/>
      <c r="HQG47" s="674"/>
      <c r="HQH47" s="674"/>
      <c r="HQI47" s="674"/>
      <c r="HQJ47" s="674"/>
      <c r="HQK47" s="674"/>
      <c r="HQL47" s="674"/>
      <c r="HQM47" s="674"/>
      <c r="HQN47" s="674"/>
      <c r="HQO47" s="674"/>
      <c r="HQP47" s="674"/>
      <c r="HQQ47" s="674"/>
      <c r="HQR47" s="674"/>
      <c r="HQS47" s="674"/>
      <c r="HQT47" s="674"/>
      <c r="HQU47" s="674"/>
      <c r="HQV47" s="674"/>
      <c r="HQW47" s="674"/>
      <c r="HQX47" s="674"/>
      <c r="HQY47" s="674"/>
      <c r="HQZ47" s="674"/>
      <c r="HRA47" s="674"/>
      <c r="HRB47" s="674"/>
      <c r="HRC47" s="674"/>
      <c r="HRD47" s="674"/>
      <c r="HRE47" s="674"/>
      <c r="HRF47" s="674"/>
      <c r="HRG47" s="674"/>
      <c r="HRH47" s="674"/>
      <c r="HRI47" s="674"/>
      <c r="HRJ47" s="674"/>
      <c r="HRK47" s="674"/>
      <c r="HRL47" s="674"/>
      <c r="HRM47" s="674"/>
      <c r="HRN47" s="674"/>
      <c r="HRO47" s="674"/>
      <c r="HRP47" s="674"/>
      <c r="HRQ47" s="674"/>
      <c r="HRR47" s="674"/>
      <c r="HRS47" s="674"/>
      <c r="HRT47" s="674"/>
      <c r="HRU47" s="674"/>
      <c r="HRV47" s="674"/>
      <c r="HRW47" s="674"/>
      <c r="HRX47" s="674"/>
      <c r="HRY47" s="674"/>
      <c r="HRZ47" s="674"/>
      <c r="HSA47" s="674"/>
      <c r="HSB47" s="674"/>
      <c r="HSC47" s="674"/>
      <c r="HSD47" s="674"/>
      <c r="HSE47" s="674"/>
      <c r="HSF47" s="674"/>
      <c r="HSG47" s="674"/>
      <c r="HSH47" s="674"/>
      <c r="HSI47" s="674"/>
      <c r="HSJ47" s="674"/>
      <c r="HSK47" s="674"/>
      <c r="HSL47" s="674"/>
      <c r="HSM47" s="674"/>
      <c r="HSN47" s="674"/>
      <c r="HSO47" s="674"/>
      <c r="HSP47" s="674"/>
      <c r="HSQ47" s="674"/>
      <c r="HSR47" s="674"/>
      <c r="HSS47" s="674"/>
      <c r="HST47" s="674"/>
      <c r="HSU47" s="674"/>
      <c r="HSV47" s="674"/>
      <c r="HSW47" s="674"/>
      <c r="HSX47" s="674"/>
      <c r="HSY47" s="674"/>
      <c r="HSZ47" s="674"/>
      <c r="HTA47" s="674"/>
      <c r="HTB47" s="674"/>
      <c r="HTC47" s="674"/>
      <c r="HTD47" s="674"/>
      <c r="HTE47" s="674"/>
      <c r="HTF47" s="674"/>
      <c r="HTG47" s="674"/>
      <c r="HTH47" s="674"/>
      <c r="HTI47" s="674"/>
      <c r="HTJ47" s="674"/>
      <c r="HTK47" s="674"/>
      <c r="HTL47" s="674"/>
      <c r="HTM47" s="674"/>
      <c r="HTN47" s="674"/>
      <c r="HTO47" s="674"/>
      <c r="HTP47" s="674"/>
      <c r="HTQ47" s="674"/>
      <c r="HTR47" s="674"/>
      <c r="HTS47" s="674"/>
      <c r="HTT47" s="674"/>
      <c r="HTU47" s="674"/>
      <c r="HTV47" s="674"/>
      <c r="HTW47" s="674"/>
      <c r="HTX47" s="674"/>
      <c r="HTY47" s="674"/>
      <c r="HTZ47" s="674"/>
      <c r="HUA47" s="674"/>
      <c r="HUB47" s="674"/>
      <c r="HUC47" s="674"/>
      <c r="HUD47" s="674"/>
      <c r="HUE47" s="674"/>
      <c r="HUF47" s="674"/>
      <c r="HUG47" s="674"/>
      <c r="HUH47" s="674"/>
      <c r="HUI47" s="674"/>
      <c r="HUJ47" s="674"/>
      <c r="HUK47" s="674"/>
      <c r="HUL47" s="674"/>
      <c r="HUM47" s="674"/>
      <c r="HUN47" s="674"/>
      <c r="HUO47" s="674"/>
      <c r="HUP47" s="674"/>
      <c r="HUQ47" s="674"/>
      <c r="HUR47" s="674"/>
      <c r="HUS47" s="674"/>
      <c r="HUT47" s="674"/>
      <c r="HUU47" s="674"/>
      <c r="HUV47" s="674"/>
      <c r="HUW47" s="674"/>
      <c r="HUX47" s="674"/>
      <c r="HUY47" s="674"/>
      <c r="HUZ47" s="674"/>
      <c r="HVA47" s="674"/>
      <c r="HVB47" s="674"/>
      <c r="HVC47" s="674"/>
      <c r="HVD47" s="674"/>
      <c r="HVE47" s="674"/>
      <c r="HVF47" s="674"/>
      <c r="HVG47" s="674"/>
      <c r="HVH47" s="674"/>
      <c r="HVI47" s="674"/>
      <c r="HVJ47" s="674"/>
      <c r="HVK47" s="674"/>
      <c r="HVL47" s="674"/>
      <c r="HVM47" s="674"/>
      <c r="HVN47" s="674"/>
      <c r="HVO47" s="674"/>
      <c r="HVP47" s="674"/>
      <c r="HVQ47" s="674"/>
      <c r="HVR47" s="674"/>
      <c r="HVS47" s="674"/>
      <c r="HVT47" s="674"/>
      <c r="HVU47" s="674"/>
      <c r="HVV47" s="674"/>
      <c r="HVW47" s="674"/>
      <c r="HVX47" s="674"/>
      <c r="HVY47" s="674"/>
      <c r="HVZ47" s="674"/>
      <c r="HWA47" s="674"/>
      <c r="HWB47" s="674"/>
      <c r="HWC47" s="674"/>
      <c r="HWD47" s="674"/>
      <c r="HWE47" s="674"/>
      <c r="HWF47" s="674"/>
      <c r="HWG47" s="674"/>
      <c r="HWH47" s="674"/>
      <c r="HWI47" s="674"/>
      <c r="HWJ47" s="674"/>
      <c r="HWK47" s="674"/>
      <c r="HWL47" s="674"/>
      <c r="HWM47" s="674"/>
      <c r="HWN47" s="674"/>
      <c r="HWO47" s="674"/>
      <c r="HWP47" s="674"/>
      <c r="HWQ47" s="674"/>
      <c r="HWR47" s="674"/>
      <c r="HWS47" s="674"/>
      <c r="HWT47" s="674"/>
      <c r="HWU47" s="674"/>
      <c r="HWV47" s="674"/>
      <c r="HWW47" s="674"/>
      <c r="HWX47" s="674"/>
      <c r="HWY47" s="674"/>
      <c r="HWZ47" s="674"/>
      <c r="HXA47" s="674"/>
      <c r="HXB47" s="674"/>
      <c r="HXC47" s="674"/>
      <c r="HXD47" s="674"/>
      <c r="HXE47" s="674"/>
      <c r="HXF47" s="674"/>
      <c r="HXG47" s="674"/>
      <c r="HXH47" s="674"/>
      <c r="HXI47" s="674"/>
      <c r="HXJ47" s="674"/>
      <c r="HXK47" s="674"/>
      <c r="HXL47" s="674"/>
      <c r="HXM47" s="674"/>
      <c r="HXN47" s="674"/>
      <c r="HXO47" s="674"/>
      <c r="HXP47" s="674"/>
      <c r="HXQ47" s="674"/>
      <c r="HXR47" s="674"/>
      <c r="HXS47" s="674"/>
      <c r="HXT47" s="674"/>
      <c r="HXU47" s="674"/>
      <c r="HXV47" s="674"/>
      <c r="HXW47" s="674"/>
      <c r="HXX47" s="674"/>
      <c r="HXY47" s="674"/>
      <c r="HXZ47" s="674"/>
      <c r="HYA47" s="674"/>
      <c r="HYB47" s="674"/>
      <c r="HYC47" s="674"/>
      <c r="HYD47" s="674"/>
      <c r="HYE47" s="674"/>
      <c r="HYF47" s="674"/>
      <c r="HYG47" s="674"/>
      <c r="HYH47" s="674"/>
      <c r="HYI47" s="674"/>
      <c r="HYJ47" s="674"/>
      <c r="HYK47" s="674"/>
      <c r="HYL47" s="674"/>
      <c r="HYM47" s="674"/>
      <c r="HYN47" s="674"/>
      <c r="HYO47" s="674"/>
      <c r="HYP47" s="674"/>
      <c r="HYQ47" s="674"/>
      <c r="HYR47" s="674"/>
      <c r="HYS47" s="674"/>
      <c r="HYT47" s="674"/>
      <c r="HYU47" s="674"/>
      <c r="HYV47" s="674"/>
      <c r="HYW47" s="674"/>
      <c r="HYX47" s="674"/>
      <c r="HYY47" s="674"/>
      <c r="HYZ47" s="674"/>
      <c r="HZA47" s="674"/>
      <c r="HZB47" s="674"/>
      <c r="HZC47" s="674"/>
      <c r="HZD47" s="674"/>
      <c r="HZE47" s="674"/>
      <c r="HZF47" s="674"/>
      <c r="HZG47" s="674"/>
      <c r="HZH47" s="674"/>
      <c r="HZI47" s="674"/>
      <c r="HZJ47" s="674"/>
      <c r="HZK47" s="674"/>
      <c r="HZL47" s="674"/>
      <c r="HZM47" s="674"/>
      <c r="HZN47" s="674"/>
      <c r="HZO47" s="674"/>
      <c r="HZP47" s="674"/>
      <c r="HZQ47" s="674"/>
      <c r="HZR47" s="674"/>
      <c r="HZS47" s="674"/>
      <c r="HZT47" s="674"/>
      <c r="HZU47" s="674"/>
      <c r="HZV47" s="674"/>
      <c r="HZW47" s="674"/>
      <c r="HZX47" s="674"/>
      <c r="HZY47" s="674"/>
      <c r="HZZ47" s="674"/>
      <c r="IAA47" s="674"/>
      <c r="IAB47" s="674"/>
      <c r="IAC47" s="674"/>
      <c r="IAD47" s="674"/>
      <c r="IAE47" s="674"/>
      <c r="IAF47" s="674"/>
      <c r="IAG47" s="674"/>
      <c r="IAH47" s="674"/>
      <c r="IAI47" s="674"/>
      <c r="IAJ47" s="674"/>
      <c r="IAK47" s="674"/>
      <c r="IAL47" s="674"/>
      <c r="IAM47" s="674"/>
      <c r="IAN47" s="674"/>
      <c r="IAO47" s="674"/>
      <c r="IAP47" s="674"/>
      <c r="IAQ47" s="674"/>
      <c r="IAR47" s="674"/>
      <c r="IAS47" s="674"/>
      <c r="IAT47" s="674"/>
      <c r="IAU47" s="674"/>
      <c r="IAV47" s="674"/>
      <c r="IAW47" s="674"/>
      <c r="IAX47" s="674"/>
      <c r="IAY47" s="674"/>
      <c r="IAZ47" s="674"/>
      <c r="IBA47" s="674"/>
      <c r="IBB47" s="674"/>
      <c r="IBC47" s="674"/>
      <c r="IBD47" s="674"/>
      <c r="IBE47" s="674"/>
      <c r="IBF47" s="674"/>
      <c r="IBG47" s="674"/>
      <c r="IBH47" s="674"/>
      <c r="IBI47" s="674"/>
      <c r="IBJ47" s="674"/>
      <c r="IBK47" s="674"/>
      <c r="IBL47" s="674"/>
      <c r="IBM47" s="674"/>
      <c r="IBN47" s="674"/>
      <c r="IBO47" s="674"/>
      <c r="IBP47" s="674"/>
      <c r="IBQ47" s="674"/>
      <c r="IBR47" s="674"/>
      <c r="IBS47" s="674"/>
      <c r="IBT47" s="674"/>
      <c r="IBU47" s="674"/>
      <c r="IBV47" s="674"/>
      <c r="IBW47" s="674"/>
      <c r="IBX47" s="674"/>
      <c r="IBY47" s="674"/>
      <c r="IBZ47" s="674"/>
      <c r="ICA47" s="674"/>
      <c r="ICB47" s="674"/>
      <c r="ICC47" s="674"/>
      <c r="ICD47" s="674"/>
      <c r="ICE47" s="674"/>
      <c r="ICF47" s="674"/>
      <c r="ICG47" s="674"/>
      <c r="ICH47" s="674"/>
      <c r="ICI47" s="674"/>
      <c r="ICJ47" s="674"/>
      <c r="ICK47" s="674"/>
      <c r="ICL47" s="674"/>
      <c r="ICM47" s="674"/>
      <c r="ICN47" s="674"/>
      <c r="ICO47" s="674"/>
      <c r="ICP47" s="674"/>
      <c r="ICQ47" s="674"/>
      <c r="ICR47" s="674"/>
      <c r="ICS47" s="674"/>
      <c r="ICT47" s="674"/>
      <c r="ICU47" s="674"/>
      <c r="ICV47" s="674"/>
      <c r="ICW47" s="674"/>
      <c r="ICX47" s="674"/>
      <c r="ICY47" s="674"/>
      <c r="ICZ47" s="674"/>
      <c r="IDA47" s="674"/>
      <c r="IDB47" s="674"/>
      <c r="IDC47" s="674"/>
      <c r="IDD47" s="674"/>
      <c r="IDE47" s="674"/>
      <c r="IDF47" s="674"/>
      <c r="IDG47" s="674"/>
      <c r="IDH47" s="674"/>
      <c r="IDI47" s="674"/>
      <c r="IDJ47" s="674"/>
      <c r="IDK47" s="674"/>
      <c r="IDL47" s="674"/>
      <c r="IDM47" s="674"/>
      <c r="IDN47" s="674"/>
      <c r="IDO47" s="674"/>
      <c r="IDP47" s="674"/>
      <c r="IDQ47" s="674"/>
      <c r="IDR47" s="674"/>
      <c r="IDS47" s="674"/>
      <c r="IDT47" s="674"/>
      <c r="IDU47" s="674"/>
      <c r="IDV47" s="674"/>
      <c r="IDW47" s="674"/>
      <c r="IDX47" s="674"/>
      <c r="IDY47" s="674"/>
      <c r="IDZ47" s="674"/>
      <c r="IEA47" s="674"/>
      <c r="IEB47" s="674"/>
      <c r="IEC47" s="674"/>
      <c r="IED47" s="674"/>
      <c r="IEE47" s="674"/>
      <c r="IEF47" s="674"/>
      <c r="IEG47" s="674"/>
      <c r="IEH47" s="674"/>
      <c r="IEI47" s="674"/>
      <c r="IEJ47" s="674"/>
      <c r="IEK47" s="674"/>
      <c r="IEL47" s="674"/>
      <c r="IEM47" s="674"/>
      <c r="IEN47" s="674"/>
      <c r="IEO47" s="674"/>
      <c r="IEP47" s="674"/>
      <c r="IEQ47" s="674"/>
      <c r="IER47" s="674"/>
      <c r="IES47" s="674"/>
      <c r="IET47" s="674"/>
      <c r="IEU47" s="674"/>
      <c r="IEV47" s="674"/>
      <c r="IEW47" s="674"/>
      <c r="IEX47" s="674"/>
      <c r="IEY47" s="674"/>
      <c r="IEZ47" s="674"/>
      <c r="IFA47" s="674"/>
      <c r="IFB47" s="674"/>
      <c r="IFC47" s="674"/>
      <c r="IFD47" s="674"/>
      <c r="IFE47" s="674"/>
      <c r="IFF47" s="674"/>
      <c r="IFG47" s="674"/>
      <c r="IFH47" s="674"/>
      <c r="IFI47" s="674"/>
      <c r="IFJ47" s="674"/>
      <c r="IFK47" s="674"/>
      <c r="IFL47" s="674"/>
      <c r="IFM47" s="674"/>
      <c r="IFN47" s="674"/>
      <c r="IFO47" s="674"/>
      <c r="IFP47" s="674"/>
      <c r="IFQ47" s="674"/>
      <c r="IFR47" s="674"/>
      <c r="IFS47" s="674"/>
      <c r="IFT47" s="674"/>
      <c r="IFU47" s="674"/>
      <c r="IFV47" s="674"/>
      <c r="IFW47" s="674"/>
      <c r="IFX47" s="674"/>
      <c r="IFY47" s="674"/>
      <c r="IFZ47" s="674"/>
      <c r="IGA47" s="674"/>
      <c r="IGB47" s="674"/>
      <c r="IGC47" s="674"/>
      <c r="IGD47" s="674"/>
      <c r="IGE47" s="674"/>
      <c r="IGF47" s="674"/>
      <c r="IGG47" s="674"/>
      <c r="IGH47" s="674"/>
      <c r="IGI47" s="674"/>
      <c r="IGJ47" s="674"/>
      <c r="IGK47" s="674"/>
      <c r="IGL47" s="674"/>
      <c r="IGM47" s="674"/>
      <c r="IGN47" s="674"/>
      <c r="IGO47" s="674"/>
      <c r="IGP47" s="674"/>
      <c r="IGQ47" s="674"/>
      <c r="IGR47" s="674"/>
      <c r="IGS47" s="674"/>
      <c r="IGT47" s="674"/>
      <c r="IGU47" s="674"/>
      <c r="IGV47" s="674"/>
      <c r="IGW47" s="674"/>
      <c r="IGX47" s="674"/>
      <c r="IGY47" s="674"/>
      <c r="IGZ47" s="674"/>
      <c r="IHA47" s="674"/>
      <c r="IHB47" s="674"/>
      <c r="IHC47" s="674"/>
      <c r="IHD47" s="674"/>
      <c r="IHE47" s="674"/>
      <c r="IHF47" s="674"/>
      <c r="IHG47" s="674"/>
      <c r="IHH47" s="674"/>
      <c r="IHI47" s="674"/>
      <c r="IHJ47" s="674"/>
      <c r="IHK47" s="674"/>
      <c r="IHL47" s="674"/>
      <c r="IHM47" s="674"/>
      <c r="IHN47" s="674"/>
      <c r="IHO47" s="674"/>
      <c r="IHP47" s="674"/>
      <c r="IHQ47" s="674"/>
      <c r="IHR47" s="674"/>
      <c r="IHS47" s="674"/>
      <c r="IHT47" s="674"/>
      <c r="IHU47" s="674"/>
      <c r="IHV47" s="674"/>
      <c r="IHW47" s="674"/>
      <c r="IHX47" s="674"/>
      <c r="IHY47" s="674"/>
      <c r="IHZ47" s="674"/>
      <c r="IIA47" s="674"/>
      <c r="IIB47" s="674"/>
      <c r="IIC47" s="674"/>
      <c r="IID47" s="674"/>
      <c r="IIE47" s="674"/>
      <c r="IIF47" s="674"/>
      <c r="IIG47" s="674"/>
      <c r="IIH47" s="674"/>
      <c r="III47" s="674"/>
      <c r="IIJ47" s="674"/>
      <c r="IIK47" s="674"/>
      <c r="IIL47" s="674"/>
      <c r="IIM47" s="674"/>
      <c r="IIN47" s="674"/>
      <c r="IIO47" s="674"/>
      <c r="IIP47" s="674"/>
      <c r="IIQ47" s="674"/>
      <c r="IIR47" s="674"/>
      <c r="IIS47" s="674"/>
      <c r="IIT47" s="674"/>
      <c r="IIU47" s="674"/>
      <c r="IIV47" s="674"/>
      <c r="IIW47" s="674"/>
      <c r="IIX47" s="674"/>
      <c r="IIY47" s="674"/>
      <c r="IIZ47" s="674"/>
      <c r="IJA47" s="674"/>
      <c r="IJB47" s="674"/>
      <c r="IJC47" s="674"/>
      <c r="IJD47" s="674"/>
      <c r="IJE47" s="674"/>
      <c r="IJF47" s="674"/>
      <c r="IJG47" s="674"/>
      <c r="IJH47" s="674"/>
      <c r="IJI47" s="674"/>
      <c r="IJJ47" s="674"/>
      <c r="IJK47" s="674"/>
      <c r="IJL47" s="674"/>
      <c r="IJM47" s="674"/>
      <c r="IJN47" s="674"/>
      <c r="IJO47" s="674"/>
      <c r="IJP47" s="674"/>
      <c r="IJQ47" s="674"/>
      <c r="IJR47" s="674"/>
      <c r="IJS47" s="674"/>
      <c r="IJT47" s="674"/>
      <c r="IJU47" s="674"/>
      <c r="IJV47" s="674"/>
      <c r="IJW47" s="674"/>
      <c r="IJX47" s="674"/>
      <c r="IJY47" s="674"/>
      <c r="IJZ47" s="674"/>
      <c r="IKA47" s="674"/>
      <c r="IKB47" s="674"/>
      <c r="IKC47" s="674"/>
      <c r="IKD47" s="674"/>
      <c r="IKE47" s="674"/>
      <c r="IKF47" s="674"/>
      <c r="IKG47" s="674"/>
      <c r="IKH47" s="674"/>
      <c r="IKI47" s="674"/>
      <c r="IKJ47" s="674"/>
      <c r="IKK47" s="674"/>
      <c r="IKL47" s="674"/>
      <c r="IKM47" s="674"/>
      <c r="IKN47" s="674"/>
      <c r="IKO47" s="674"/>
      <c r="IKP47" s="674"/>
      <c r="IKQ47" s="674"/>
      <c r="IKR47" s="674"/>
      <c r="IKS47" s="674"/>
      <c r="IKT47" s="674"/>
      <c r="IKU47" s="674"/>
      <c r="IKV47" s="674"/>
      <c r="IKW47" s="674"/>
      <c r="IKX47" s="674"/>
      <c r="IKY47" s="674"/>
      <c r="IKZ47" s="674"/>
      <c r="ILA47" s="674"/>
      <c r="ILB47" s="674"/>
      <c r="ILC47" s="674"/>
      <c r="ILD47" s="674"/>
      <c r="ILE47" s="674"/>
      <c r="ILF47" s="674"/>
      <c r="ILG47" s="674"/>
      <c r="ILH47" s="674"/>
      <c r="ILI47" s="674"/>
      <c r="ILJ47" s="674"/>
      <c r="ILK47" s="674"/>
      <c r="ILL47" s="674"/>
      <c r="ILM47" s="674"/>
      <c r="ILN47" s="674"/>
      <c r="ILO47" s="674"/>
      <c r="ILP47" s="674"/>
      <c r="ILQ47" s="674"/>
      <c r="ILR47" s="674"/>
      <c r="ILS47" s="674"/>
      <c r="ILT47" s="674"/>
      <c r="ILU47" s="674"/>
      <c r="ILV47" s="674"/>
      <c r="ILW47" s="674"/>
      <c r="ILX47" s="674"/>
      <c r="ILY47" s="674"/>
      <c r="ILZ47" s="674"/>
      <c r="IMA47" s="674"/>
      <c r="IMB47" s="674"/>
      <c r="IMC47" s="674"/>
      <c r="IMD47" s="674"/>
      <c r="IME47" s="674"/>
      <c r="IMF47" s="674"/>
      <c r="IMG47" s="674"/>
      <c r="IMH47" s="674"/>
      <c r="IMI47" s="674"/>
      <c r="IMJ47" s="674"/>
      <c r="IMK47" s="674"/>
      <c r="IML47" s="674"/>
      <c r="IMM47" s="674"/>
      <c r="IMN47" s="674"/>
      <c r="IMO47" s="674"/>
      <c r="IMP47" s="674"/>
      <c r="IMQ47" s="674"/>
      <c r="IMR47" s="674"/>
      <c r="IMS47" s="674"/>
      <c r="IMT47" s="674"/>
      <c r="IMU47" s="674"/>
      <c r="IMV47" s="674"/>
      <c r="IMW47" s="674"/>
      <c r="IMX47" s="674"/>
      <c r="IMY47" s="674"/>
      <c r="IMZ47" s="674"/>
      <c r="INA47" s="674"/>
      <c r="INB47" s="674"/>
      <c r="INC47" s="674"/>
      <c r="IND47" s="674"/>
      <c r="INE47" s="674"/>
      <c r="INF47" s="674"/>
      <c r="ING47" s="674"/>
      <c r="INH47" s="674"/>
      <c r="INI47" s="674"/>
      <c r="INJ47" s="674"/>
      <c r="INK47" s="674"/>
      <c r="INL47" s="674"/>
      <c r="INM47" s="674"/>
      <c r="INN47" s="674"/>
      <c r="INO47" s="674"/>
      <c r="INP47" s="674"/>
      <c r="INQ47" s="674"/>
      <c r="INR47" s="674"/>
      <c r="INS47" s="674"/>
      <c r="INT47" s="674"/>
      <c r="INU47" s="674"/>
      <c r="INV47" s="674"/>
      <c r="INW47" s="674"/>
      <c r="INX47" s="674"/>
      <c r="INY47" s="674"/>
      <c r="INZ47" s="674"/>
      <c r="IOA47" s="674"/>
      <c r="IOB47" s="674"/>
      <c r="IOC47" s="674"/>
      <c r="IOD47" s="674"/>
      <c r="IOE47" s="674"/>
      <c r="IOF47" s="674"/>
      <c r="IOG47" s="674"/>
      <c r="IOH47" s="674"/>
      <c r="IOI47" s="674"/>
      <c r="IOJ47" s="674"/>
      <c r="IOK47" s="674"/>
      <c r="IOL47" s="674"/>
      <c r="IOM47" s="674"/>
      <c r="ION47" s="674"/>
      <c r="IOO47" s="674"/>
      <c r="IOP47" s="674"/>
      <c r="IOQ47" s="674"/>
      <c r="IOR47" s="674"/>
      <c r="IOS47" s="674"/>
      <c r="IOT47" s="674"/>
      <c r="IOU47" s="674"/>
      <c r="IOV47" s="674"/>
      <c r="IOW47" s="674"/>
      <c r="IOX47" s="674"/>
      <c r="IOY47" s="674"/>
      <c r="IOZ47" s="674"/>
      <c r="IPA47" s="674"/>
      <c r="IPB47" s="674"/>
      <c r="IPC47" s="674"/>
      <c r="IPD47" s="674"/>
      <c r="IPE47" s="674"/>
      <c r="IPF47" s="674"/>
      <c r="IPG47" s="674"/>
      <c r="IPH47" s="674"/>
      <c r="IPI47" s="674"/>
      <c r="IPJ47" s="674"/>
      <c r="IPK47" s="674"/>
      <c r="IPL47" s="674"/>
      <c r="IPM47" s="674"/>
      <c r="IPN47" s="674"/>
      <c r="IPO47" s="674"/>
      <c r="IPP47" s="674"/>
      <c r="IPQ47" s="674"/>
      <c r="IPR47" s="674"/>
      <c r="IPS47" s="674"/>
      <c r="IPT47" s="674"/>
      <c r="IPU47" s="674"/>
      <c r="IPV47" s="674"/>
      <c r="IPW47" s="674"/>
      <c r="IPX47" s="674"/>
      <c r="IPY47" s="674"/>
      <c r="IPZ47" s="674"/>
      <c r="IQA47" s="674"/>
      <c r="IQB47" s="674"/>
      <c r="IQC47" s="674"/>
      <c r="IQD47" s="674"/>
      <c r="IQE47" s="674"/>
      <c r="IQF47" s="674"/>
      <c r="IQG47" s="674"/>
      <c r="IQH47" s="674"/>
      <c r="IQI47" s="674"/>
      <c r="IQJ47" s="674"/>
      <c r="IQK47" s="674"/>
      <c r="IQL47" s="674"/>
      <c r="IQM47" s="674"/>
      <c r="IQN47" s="674"/>
      <c r="IQO47" s="674"/>
      <c r="IQP47" s="674"/>
      <c r="IQQ47" s="674"/>
      <c r="IQR47" s="674"/>
      <c r="IQS47" s="674"/>
      <c r="IQT47" s="674"/>
      <c r="IQU47" s="674"/>
      <c r="IQV47" s="674"/>
      <c r="IQW47" s="674"/>
      <c r="IQX47" s="674"/>
      <c r="IQY47" s="674"/>
      <c r="IQZ47" s="674"/>
      <c r="IRA47" s="674"/>
      <c r="IRB47" s="674"/>
      <c r="IRC47" s="674"/>
      <c r="IRD47" s="674"/>
      <c r="IRE47" s="674"/>
      <c r="IRF47" s="674"/>
      <c r="IRG47" s="674"/>
      <c r="IRH47" s="674"/>
      <c r="IRI47" s="674"/>
      <c r="IRJ47" s="674"/>
      <c r="IRK47" s="674"/>
      <c r="IRL47" s="674"/>
      <c r="IRM47" s="674"/>
      <c r="IRN47" s="674"/>
      <c r="IRO47" s="674"/>
      <c r="IRP47" s="674"/>
      <c r="IRQ47" s="674"/>
      <c r="IRR47" s="674"/>
      <c r="IRS47" s="674"/>
      <c r="IRT47" s="674"/>
      <c r="IRU47" s="674"/>
      <c r="IRV47" s="674"/>
      <c r="IRW47" s="674"/>
      <c r="IRX47" s="674"/>
      <c r="IRY47" s="674"/>
      <c r="IRZ47" s="674"/>
      <c r="ISA47" s="674"/>
      <c r="ISB47" s="674"/>
      <c r="ISC47" s="674"/>
      <c r="ISD47" s="674"/>
      <c r="ISE47" s="674"/>
      <c r="ISF47" s="674"/>
      <c r="ISG47" s="674"/>
      <c r="ISH47" s="674"/>
      <c r="ISI47" s="674"/>
      <c r="ISJ47" s="674"/>
      <c r="ISK47" s="674"/>
      <c r="ISL47" s="674"/>
      <c r="ISM47" s="674"/>
      <c r="ISN47" s="674"/>
      <c r="ISO47" s="674"/>
      <c r="ISP47" s="674"/>
      <c r="ISQ47" s="674"/>
      <c r="ISR47" s="674"/>
      <c r="ISS47" s="674"/>
      <c r="IST47" s="674"/>
      <c r="ISU47" s="674"/>
      <c r="ISV47" s="674"/>
      <c r="ISW47" s="674"/>
      <c r="ISX47" s="674"/>
      <c r="ISY47" s="674"/>
      <c r="ISZ47" s="674"/>
      <c r="ITA47" s="674"/>
      <c r="ITB47" s="674"/>
      <c r="ITC47" s="674"/>
      <c r="ITD47" s="674"/>
      <c r="ITE47" s="674"/>
      <c r="ITF47" s="674"/>
      <c r="ITG47" s="674"/>
      <c r="ITH47" s="674"/>
      <c r="ITI47" s="674"/>
      <c r="ITJ47" s="674"/>
      <c r="ITK47" s="674"/>
      <c r="ITL47" s="674"/>
      <c r="ITM47" s="674"/>
      <c r="ITN47" s="674"/>
      <c r="ITO47" s="674"/>
      <c r="ITP47" s="674"/>
      <c r="ITQ47" s="674"/>
      <c r="ITR47" s="674"/>
      <c r="ITS47" s="674"/>
      <c r="ITT47" s="674"/>
      <c r="ITU47" s="674"/>
      <c r="ITV47" s="674"/>
      <c r="ITW47" s="674"/>
      <c r="ITX47" s="674"/>
      <c r="ITY47" s="674"/>
      <c r="ITZ47" s="674"/>
      <c r="IUA47" s="674"/>
      <c r="IUB47" s="674"/>
      <c r="IUC47" s="674"/>
      <c r="IUD47" s="674"/>
      <c r="IUE47" s="674"/>
      <c r="IUF47" s="674"/>
      <c r="IUG47" s="674"/>
      <c r="IUH47" s="674"/>
      <c r="IUI47" s="674"/>
      <c r="IUJ47" s="674"/>
      <c r="IUK47" s="674"/>
      <c r="IUL47" s="674"/>
      <c r="IUM47" s="674"/>
      <c r="IUN47" s="674"/>
      <c r="IUO47" s="674"/>
      <c r="IUP47" s="674"/>
      <c r="IUQ47" s="674"/>
      <c r="IUR47" s="674"/>
      <c r="IUS47" s="674"/>
      <c r="IUT47" s="674"/>
      <c r="IUU47" s="674"/>
      <c r="IUV47" s="674"/>
      <c r="IUW47" s="674"/>
      <c r="IUX47" s="674"/>
      <c r="IUY47" s="674"/>
      <c r="IUZ47" s="674"/>
      <c r="IVA47" s="674"/>
      <c r="IVB47" s="674"/>
      <c r="IVC47" s="674"/>
      <c r="IVD47" s="674"/>
      <c r="IVE47" s="674"/>
      <c r="IVF47" s="674"/>
      <c r="IVG47" s="674"/>
      <c r="IVH47" s="674"/>
      <c r="IVI47" s="674"/>
      <c r="IVJ47" s="674"/>
      <c r="IVK47" s="674"/>
      <c r="IVL47" s="674"/>
      <c r="IVM47" s="674"/>
      <c r="IVN47" s="674"/>
      <c r="IVO47" s="674"/>
      <c r="IVP47" s="674"/>
      <c r="IVQ47" s="674"/>
      <c r="IVR47" s="674"/>
      <c r="IVS47" s="674"/>
      <c r="IVT47" s="674"/>
      <c r="IVU47" s="674"/>
      <c r="IVV47" s="674"/>
      <c r="IVW47" s="674"/>
      <c r="IVX47" s="674"/>
      <c r="IVY47" s="674"/>
      <c r="IVZ47" s="674"/>
      <c r="IWA47" s="674"/>
      <c r="IWB47" s="674"/>
      <c r="IWC47" s="674"/>
      <c r="IWD47" s="674"/>
      <c r="IWE47" s="674"/>
      <c r="IWF47" s="674"/>
      <c r="IWG47" s="674"/>
      <c r="IWH47" s="674"/>
      <c r="IWI47" s="674"/>
      <c r="IWJ47" s="674"/>
      <c r="IWK47" s="674"/>
      <c r="IWL47" s="674"/>
      <c r="IWM47" s="674"/>
      <c r="IWN47" s="674"/>
      <c r="IWO47" s="674"/>
      <c r="IWP47" s="674"/>
      <c r="IWQ47" s="674"/>
      <c r="IWR47" s="674"/>
      <c r="IWS47" s="674"/>
      <c r="IWT47" s="674"/>
      <c r="IWU47" s="674"/>
      <c r="IWV47" s="674"/>
      <c r="IWW47" s="674"/>
      <c r="IWX47" s="674"/>
      <c r="IWY47" s="674"/>
      <c r="IWZ47" s="674"/>
      <c r="IXA47" s="674"/>
      <c r="IXB47" s="674"/>
      <c r="IXC47" s="674"/>
      <c r="IXD47" s="674"/>
      <c r="IXE47" s="674"/>
      <c r="IXF47" s="674"/>
      <c r="IXG47" s="674"/>
      <c r="IXH47" s="674"/>
      <c r="IXI47" s="674"/>
      <c r="IXJ47" s="674"/>
      <c r="IXK47" s="674"/>
      <c r="IXL47" s="674"/>
      <c r="IXM47" s="674"/>
      <c r="IXN47" s="674"/>
      <c r="IXO47" s="674"/>
      <c r="IXP47" s="674"/>
      <c r="IXQ47" s="674"/>
      <c r="IXR47" s="674"/>
      <c r="IXS47" s="674"/>
      <c r="IXT47" s="674"/>
      <c r="IXU47" s="674"/>
      <c r="IXV47" s="674"/>
      <c r="IXW47" s="674"/>
      <c r="IXX47" s="674"/>
      <c r="IXY47" s="674"/>
      <c r="IXZ47" s="674"/>
      <c r="IYA47" s="674"/>
      <c r="IYB47" s="674"/>
      <c r="IYC47" s="674"/>
      <c r="IYD47" s="674"/>
      <c r="IYE47" s="674"/>
      <c r="IYF47" s="674"/>
      <c r="IYG47" s="674"/>
      <c r="IYH47" s="674"/>
      <c r="IYI47" s="674"/>
      <c r="IYJ47" s="674"/>
      <c r="IYK47" s="674"/>
      <c r="IYL47" s="674"/>
      <c r="IYM47" s="674"/>
      <c r="IYN47" s="674"/>
      <c r="IYO47" s="674"/>
      <c r="IYP47" s="674"/>
      <c r="IYQ47" s="674"/>
      <c r="IYR47" s="674"/>
      <c r="IYS47" s="674"/>
      <c r="IYT47" s="674"/>
      <c r="IYU47" s="674"/>
      <c r="IYV47" s="674"/>
      <c r="IYW47" s="674"/>
      <c r="IYX47" s="674"/>
      <c r="IYY47" s="674"/>
      <c r="IYZ47" s="674"/>
      <c r="IZA47" s="674"/>
      <c r="IZB47" s="674"/>
      <c r="IZC47" s="674"/>
      <c r="IZD47" s="674"/>
      <c r="IZE47" s="674"/>
      <c r="IZF47" s="674"/>
      <c r="IZG47" s="674"/>
      <c r="IZH47" s="674"/>
      <c r="IZI47" s="674"/>
      <c r="IZJ47" s="674"/>
      <c r="IZK47" s="674"/>
      <c r="IZL47" s="674"/>
      <c r="IZM47" s="674"/>
      <c r="IZN47" s="674"/>
      <c r="IZO47" s="674"/>
      <c r="IZP47" s="674"/>
      <c r="IZQ47" s="674"/>
      <c r="IZR47" s="674"/>
      <c r="IZS47" s="674"/>
      <c r="IZT47" s="674"/>
      <c r="IZU47" s="674"/>
      <c r="IZV47" s="674"/>
      <c r="IZW47" s="674"/>
      <c r="IZX47" s="674"/>
      <c r="IZY47" s="674"/>
      <c r="IZZ47" s="674"/>
      <c r="JAA47" s="674"/>
      <c r="JAB47" s="674"/>
      <c r="JAC47" s="674"/>
      <c r="JAD47" s="674"/>
      <c r="JAE47" s="674"/>
      <c r="JAF47" s="674"/>
      <c r="JAG47" s="674"/>
      <c r="JAH47" s="674"/>
      <c r="JAI47" s="674"/>
      <c r="JAJ47" s="674"/>
      <c r="JAK47" s="674"/>
      <c r="JAL47" s="674"/>
      <c r="JAM47" s="674"/>
      <c r="JAN47" s="674"/>
      <c r="JAO47" s="674"/>
      <c r="JAP47" s="674"/>
      <c r="JAQ47" s="674"/>
      <c r="JAR47" s="674"/>
      <c r="JAS47" s="674"/>
      <c r="JAT47" s="674"/>
      <c r="JAU47" s="674"/>
      <c r="JAV47" s="674"/>
      <c r="JAW47" s="674"/>
      <c r="JAX47" s="674"/>
      <c r="JAY47" s="674"/>
      <c r="JAZ47" s="674"/>
      <c r="JBA47" s="674"/>
      <c r="JBB47" s="674"/>
      <c r="JBC47" s="674"/>
      <c r="JBD47" s="674"/>
      <c r="JBE47" s="674"/>
      <c r="JBF47" s="674"/>
      <c r="JBG47" s="674"/>
      <c r="JBH47" s="674"/>
      <c r="JBI47" s="674"/>
      <c r="JBJ47" s="674"/>
      <c r="JBK47" s="674"/>
      <c r="JBL47" s="674"/>
      <c r="JBM47" s="674"/>
      <c r="JBN47" s="674"/>
      <c r="JBO47" s="674"/>
      <c r="JBP47" s="674"/>
      <c r="JBQ47" s="674"/>
      <c r="JBR47" s="674"/>
      <c r="JBS47" s="674"/>
      <c r="JBT47" s="674"/>
      <c r="JBU47" s="674"/>
      <c r="JBV47" s="674"/>
      <c r="JBW47" s="674"/>
      <c r="JBX47" s="674"/>
      <c r="JBY47" s="674"/>
      <c r="JBZ47" s="674"/>
      <c r="JCA47" s="674"/>
      <c r="JCB47" s="674"/>
      <c r="JCC47" s="674"/>
      <c r="JCD47" s="674"/>
      <c r="JCE47" s="674"/>
      <c r="JCF47" s="674"/>
      <c r="JCG47" s="674"/>
      <c r="JCH47" s="674"/>
      <c r="JCI47" s="674"/>
      <c r="JCJ47" s="674"/>
      <c r="JCK47" s="674"/>
      <c r="JCL47" s="674"/>
      <c r="JCM47" s="674"/>
      <c r="JCN47" s="674"/>
      <c r="JCO47" s="674"/>
      <c r="JCP47" s="674"/>
      <c r="JCQ47" s="674"/>
      <c r="JCR47" s="674"/>
      <c r="JCS47" s="674"/>
      <c r="JCT47" s="674"/>
      <c r="JCU47" s="674"/>
      <c r="JCV47" s="674"/>
      <c r="JCW47" s="674"/>
      <c r="JCX47" s="674"/>
      <c r="JCY47" s="674"/>
      <c r="JCZ47" s="674"/>
      <c r="JDA47" s="674"/>
      <c r="JDB47" s="674"/>
      <c r="JDC47" s="674"/>
      <c r="JDD47" s="674"/>
      <c r="JDE47" s="674"/>
      <c r="JDF47" s="674"/>
      <c r="JDG47" s="674"/>
      <c r="JDH47" s="674"/>
      <c r="JDI47" s="674"/>
      <c r="JDJ47" s="674"/>
      <c r="JDK47" s="674"/>
      <c r="JDL47" s="674"/>
      <c r="JDM47" s="674"/>
      <c r="JDN47" s="674"/>
      <c r="JDO47" s="674"/>
      <c r="JDP47" s="674"/>
      <c r="JDQ47" s="674"/>
      <c r="JDR47" s="674"/>
      <c r="JDS47" s="674"/>
      <c r="JDT47" s="674"/>
      <c r="JDU47" s="674"/>
      <c r="JDV47" s="674"/>
      <c r="JDW47" s="674"/>
      <c r="JDX47" s="674"/>
      <c r="JDY47" s="674"/>
      <c r="JDZ47" s="674"/>
      <c r="JEA47" s="674"/>
      <c r="JEB47" s="674"/>
      <c r="JEC47" s="674"/>
      <c r="JED47" s="674"/>
      <c r="JEE47" s="674"/>
      <c r="JEF47" s="674"/>
      <c r="JEG47" s="674"/>
      <c r="JEH47" s="674"/>
      <c r="JEI47" s="674"/>
      <c r="JEJ47" s="674"/>
      <c r="JEK47" s="674"/>
      <c r="JEL47" s="674"/>
      <c r="JEM47" s="674"/>
      <c r="JEN47" s="674"/>
      <c r="JEO47" s="674"/>
      <c r="JEP47" s="674"/>
      <c r="JEQ47" s="674"/>
      <c r="JER47" s="674"/>
      <c r="JES47" s="674"/>
      <c r="JET47" s="674"/>
      <c r="JEU47" s="674"/>
      <c r="JEV47" s="674"/>
      <c r="JEW47" s="674"/>
      <c r="JEX47" s="674"/>
      <c r="JEY47" s="674"/>
      <c r="JEZ47" s="674"/>
      <c r="JFA47" s="674"/>
      <c r="JFB47" s="674"/>
      <c r="JFC47" s="674"/>
      <c r="JFD47" s="674"/>
      <c r="JFE47" s="674"/>
      <c r="JFF47" s="674"/>
      <c r="JFG47" s="674"/>
      <c r="JFH47" s="674"/>
      <c r="JFI47" s="674"/>
      <c r="JFJ47" s="674"/>
      <c r="JFK47" s="674"/>
      <c r="JFL47" s="674"/>
      <c r="JFM47" s="674"/>
      <c r="JFN47" s="674"/>
      <c r="JFO47" s="674"/>
      <c r="JFP47" s="674"/>
      <c r="JFQ47" s="674"/>
      <c r="JFR47" s="674"/>
      <c r="JFS47" s="674"/>
      <c r="JFT47" s="674"/>
      <c r="JFU47" s="674"/>
      <c r="JFV47" s="674"/>
      <c r="JFW47" s="674"/>
      <c r="JFX47" s="674"/>
      <c r="JFY47" s="674"/>
      <c r="JFZ47" s="674"/>
      <c r="JGA47" s="674"/>
      <c r="JGB47" s="674"/>
      <c r="JGC47" s="674"/>
      <c r="JGD47" s="674"/>
      <c r="JGE47" s="674"/>
      <c r="JGF47" s="674"/>
      <c r="JGG47" s="674"/>
      <c r="JGH47" s="674"/>
      <c r="JGI47" s="674"/>
      <c r="JGJ47" s="674"/>
      <c r="JGK47" s="674"/>
      <c r="JGL47" s="674"/>
      <c r="JGM47" s="674"/>
      <c r="JGN47" s="674"/>
      <c r="JGO47" s="674"/>
      <c r="JGP47" s="674"/>
      <c r="JGQ47" s="674"/>
      <c r="JGR47" s="674"/>
      <c r="JGS47" s="674"/>
      <c r="JGT47" s="674"/>
      <c r="JGU47" s="674"/>
      <c r="JGV47" s="674"/>
      <c r="JGW47" s="674"/>
      <c r="JGX47" s="674"/>
      <c r="JGY47" s="674"/>
      <c r="JGZ47" s="674"/>
      <c r="JHA47" s="674"/>
      <c r="JHB47" s="674"/>
      <c r="JHC47" s="674"/>
      <c r="JHD47" s="674"/>
      <c r="JHE47" s="674"/>
      <c r="JHF47" s="674"/>
      <c r="JHG47" s="674"/>
      <c r="JHH47" s="674"/>
      <c r="JHI47" s="674"/>
      <c r="JHJ47" s="674"/>
      <c r="JHK47" s="674"/>
      <c r="JHL47" s="674"/>
      <c r="JHM47" s="674"/>
      <c r="JHN47" s="674"/>
      <c r="JHO47" s="674"/>
      <c r="JHP47" s="674"/>
      <c r="JHQ47" s="674"/>
      <c r="JHR47" s="674"/>
      <c r="JHS47" s="674"/>
      <c r="JHT47" s="674"/>
      <c r="JHU47" s="674"/>
      <c r="JHV47" s="674"/>
      <c r="JHW47" s="674"/>
      <c r="JHX47" s="674"/>
      <c r="JHY47" s="674"/>
      <c r="JHZ47" s="674"/>
      <c r="JIA47" s="674"/>
      <c r="JIB47" s="674"/>
      <c r="JIC47" s="674"/>
      <c r="JID47" s="674"/>
      <c r="JIE47" s="674"/>
      <c r="JIF47" s="674"/>
      <c r="JIG47" s="674"/>
      <c r="JIH47" s="674"/>
      <c r="JII47" s="674"/>
      <c r="JIJ47" s="674"/>
      <c r="JIK47" s="674"/>
      <c r="JIL47" s="674"/>
      <c r="JIM47" s="674"/>
      <c r="JIN47" s="674"/>
      <c r="JIO47" s="674"/>
      <c r="JIP47" s="674"/>
      <c r="JIQ47" s="674"/>
      <c r="JIR47" s="674"/>
      <c r="JIS47" s="674"/>
      <c r="JIT47" s="674"/>
      <c r="JIU47" s="674"/>
      <c r="JIV47" s="674"/>
      <c r="JIW47" s="674"/>
      <c r="JIX47" s="674"/>
      <c r="JIY47" s="674"/>
      <c r="JIZ47" s="674"/>
      <c r="JJA47" s="674"/>
      <c r="JJB47" s="674"/>
      <c r="JJC47" s="674"/>
      <c r="JJD47" s="674"/>
      <c r="JJE47" s="674"/>
      <c r="JJF47" s="674"/>
      <c r="JJG47" s="674"/>
      <c r="JJH47" s="674"/>
      <c r="JJI47" s="674"/>
      <c r="JJJ47" s="674"/>
      <c r="JJK47" s="674"/>
      <c r="JJL47" s="674"/>
      <c r="JJM47" s="674"/>
      <c r="JJN47" s="674"/>
      <c r="JJO47" s="674"/>
      <c r="JJP47" s="674"/>
      <c r="JJQ47" s="674"/>
      <c r="JJR47" s="674"/>
      <c r="JJS47" s="674"/>
      <c r="JJT47" s="674"/>
      <c r="JJU47" s="674"/>
      <c r="JJV47" s="674"/>
      <c r="JJW47" s="674"/>
      <c r="JJX47" s="674"/>
      <c r="JJY47" s="674"/>
      <c r="JJZ47" s="674"/>
      <c r="JKA47" s="674"/>
      <c r="JKB47" s="674"/>
      <c r="JKC47" s="674"/>
      <c r="JKD47" s="674"/>
      <c r="JKE47" s="674"/>
      <c r="JKF47" s="674"/>
      <c r="JKG47" s="674"/>
      <c r="JKH47" s="674"/>
      <c r="JKI47" s="674"/>
      <c r="JKJ47" s="674"/>
      <c r="JKK47" s="674"/>
      <c r="JKL47" s="674"/>
      <c r="JKM47" s="674"/>
      <c r="JKN47" s="674"/>
      <c r="JKO47" s="674"/>
      <c r="JKP47" s="674"/>
      <c r="JKQ47" s="674"/>
      <c r="JKR47" s="674"/>
      <c r="JKS47" s="674"/>
      <c r="JKT47" s="674"/>
      <c r="JKU47" s="674"/>
      <c r="JKV47" s="674"/>
      <c r="JKW47" s="674"/>
      <c r="JKX47" s="674"/>
      <c r="JKY47" s="674"/>
      <c r="JKZ47" s="674"/>
      <c r="JLA47" s="674"/>
      <c r="JLB47" s="674"/>
      <c r="JLC47" s="674"/>
      <c r="JLD47" s="674"/>
      <c r="JLE47" s="674"/>
      <c r="JLF47" s="674"/>
      <c r="JLG47" s="674"/>
      <c r="JLH47" s="674"/>
      <c r="JLI47" s="674"/>
      <c r="JLJ47" s="674"/>
      <c r="JLK47" s="674"/>
      <c r="JLL47" s="674"/>
      <c r="JLM47" s="674"/>
      <c r="JLN47" s="674"/>
      <c r="JLO47" s="674"/>
      <c r="JLP47" s="674"/>
      <c r="JLQ47" s="674"/>
      <c r="JLR47" s="674"/>
      <c r="JLS47" s="674"/>
      <c r="JLT47" s="674"/>
      <c r="JLU47" s="674"/>
      <c r="JLV47" s="674"/>
      <c r="JLW47" s="674"/>
      <c r="JLX47" s="674"/>
      <c r="JLY47" s="674"/>
      <c r="JLZ47" s="674"/>
      <c r="JMA47" s="674"/>
      <c r="JMB47" s="674"/>
      <c r="JMC47" s="674"/>
      <c r="JMD47" s="674"/>
      <c r="JME47" s="674"/>
      <c r="JMF47" s="674"/>
      <c r="JMG47" s="674"/>
      <c r="JMH47" s="674"/>
      <c r="JMI47" s="674"/>
      <c r="JMJ47" s="674"/>
      <c r="JMK47" s="674"/>
      <c r="JML47" s="674"/>
      <c r="JMM47" s="674"/>
      <c r="JMN47" s="674"/>
      <c r="JMO47" s="674"/>
      <c r="JMP47" s="674"/>
      <c r="JMQ47" s="674"/>
      <c r="JMR47" s="674"/>
      <c r="JMS47" s="674"/>
      <c r="JMT47" s="674"/>
      <c r="JMU47" s="674"/>
      <c r="JMV47" s="674"/>
      <c r="JMW47" s="674"/>
      <c r="JMX47" s="674"/>
      <c r="JMY47" s="674"/>
      <c r="JMZ47" s="674"/>
      <c r="JNA47" s="674"/>
      <c r="JNB47" s="674"/>
      <c r="JNC47" s="674"/>
      <c r="JND47" s="674"/>
      <c r="JNE47" s="674"/>
      <c r="JNF47" s="674"/>
      <c r="JNG47" s="674"/>
      <c r="JNH47" s="674"/>
      <c r="JNI47" s="674"/>
      <c r="JNJ47" s="674"/>
      <c r="JNK47" s="674"/>
      <c r="JNL47" s="674"/>
      <c r="JNM47" s="674"/>
      <c r="JNN47" s="674"/>
      <c r="JNO47" s="674"/>
      <c r="JNP47" s="674"/>
      <c r="JNQ47" s="674"/>
      <c r="JNR47" s="674"/>
      <c r="JNS47" s="674"/>
      <c r="JNT47" s="674"/>
      <c r="JNU47" s="674"/>
      <c r="JNV47" s="674"/>
      <c r="JNW47" s="674"/>
      <c r="JNX47" s="674"/>
      <c r="JNY47" s="674"/>
      <c r="JNZ47" s="674"/>
      <c r="JOA47" s="674"/>
      <c r="JOB47" s="674"/>
      <c r="JOC47" s="674"/>
      <c r="JOD47" s="674"/>
      <c r="JOE47" s="674"/>
      <c r="JOF47" s="674"/>
      <c r="JOG47" s="674"/>
      <c r="JOH47" s="674"/>
      <c r="JOI47" s="674"/>
      <c r="JOJ47" s="674"/>
      <c r="JOK47" s="674"/>
      <c r="JOL47" s="674"/>
      <c r="JOM47" s="674"/>
      <c r="JON47" s="674"/>
      <c r="JOO47" s="674"/>
      <c r="JOP47" s="674"/>
      <c r="JOQ47" s="674"/>
      <c r="JOR47" s="674"/>
      <c r="JOS47" s="674"/>
      <c r="JOT47" s="674"/>
      <c r="JOU47" s="674"/>
      <c r="JOV47" s="674"/>
      <c r="JOW47" s="674"/>
      <c r="JOX47" s="674"/>
      <c r="JOY47" s="674"/>
      <c r="JOZ47" s="674"/>
      <c r="JPA47" s="674"/>
      <c r="JPB47" s="674"/>
      <c r="JPC47" s="674"/>
      <c r="JPD47" s="674"/>
      <c r="JPE47" s="674"/>
      <c r="JPF47" s="674"/>
      <c r="JPG47" s="674"/>
      <c r="JPH47" s="674"/>
      <c r="JPI47" s="674"/>
      <c r="JPJ47" s="674"/>
      <c r="JPK47" s="674"/>
      <c r="JPL47" s="674"/>
      <c r="JPM47" s="674"/>
      <c r="JPN47" s="674"/>
      <c r="JPO47" s="674"/>
      <c r="JPP47" s="674"/>
      <c r="JPQ47" s="674"/>
      <c r="JPR47" s="674"/>
      <c r="JPS47" s="674"/>
      <c r="JPT47" s="674"/>
      <c r="JPU47" s="674"/>
      <c r="JPV47" s="674"/>
      <c r="JPW47" s="674"/>
      <c r="JPX47" s="674"/>
      <c r="JPY47" s="674"/>
      <c r="JPZ47" s="674"/>
      <c r="JQA47" s="674"/>
      <c r="JQB47" s="674"/>
      <c r="JQC47" s="674"/>
      <c r="JQD47" s="674"/>
      <c r="JQE47" s="674"/>
      <c r="JQF47" s="674"/>
      <c r="JQG47" s="674"/>
      <c r="JQH47" s="674"/>
      <c r="JQI47" s="674"/>
      <c r="JQJ47" s="674"/>
      <c r="JQK47" s="674"/>
      <c r="JQL47" s="674"/>
      <c r="JQM47" s="674"/>
      <c r="JQN47" s="674"/>
      <c r="JQO47" s="674"/>
      <c r="JQP47" s="674"/>
      <c r="JQQ47" s="674"/>
      <c r="JQR47" s="674"/>
      <c r="JQS47" s="674"/>
      <c r="JQT47" s="674"/>
      <c r="JQU47" s="674"/>
      <c r="JQV47" s="674"/>
      <c r="JQW47" s="674"/>
      <c r="JQX47" s="674"/>
      <c r="JQY47" s="674"/>
      <c r="JQZ47" s="674"/>
      <c r="JRA47" s="674"/>
      <c r="JRB47" s="674"/>
      <c r="JRC47" s="674"/>
      <c r="JRD47" s="674"/>
      <c r="JRE47" s="674"/>
      <c r="JRF47" s="674"/>
      <c r="JRG47" s="674"/>
      <c r="JRH47" s="674"/>
      <c r="JRI47" s="674"/>
      <c r="JRJ47" s="674"/>
      <c r="JRK47" s="674"/>
      <c r="JRL47" s="674"/>
      <c r="JRM47" s="674"/>
      <c r="JRN47" s="674"/>
      <c r="JRO47" s="674"/>
      <c r="JRP47" s="674"/>
      <c r="JRQ47" s="674"/>
      <c r="JRR47" s="674"/>
      <c r="JRS47" s="674"/>
      <c r="JRT47" s="674"/>
      <c r="JRU47" s="674"/>
      <c r="JRV47" s="674"/>
      <c r="JRW47" s="674"/>
      <c r="JRX47" s="674"/>
      <c r="JRY47" s="674"/>
      <c r="JRZ47" s="674"/>
      <c r="JSA47" s="674"/>
      <c r="JSB47" s="674"/>
      <c r="JSC47" s="674"/>
      <c r="JSD47" s="674"/>
      <c r="JSE47" s="674"/>
      <c r="JSF47" s="674"/>
      <c r="JSG47" s="674"/>
      <c r="JSH47" s="674"/>
      <c r="JSI47" s="674"/>
      <c r="JSJ47" s="674"/>
      <c r="JSK47" s="674"/>
      <c r="JSL47" s="674"/>
      <c r="JSM47" s="674"/>
      <c r="JSN47" s="674"/>
      <c r="JSO47" s="674"/>
      <c r="JSP47" s="674"/>
      <c r="JSQ47" s="674"/>
      <c r="JSR47" s="674"/>
      <c r="JSS47" s="674"/>
      <c r="JST47" s="674"/>
      <c r="JSU47" s="674"/>
      <c r="JSV47" s="674"/>
      <c r="JSW47" s="674"/>
      <c r="JSX47" s="674"/>
      <c r="JSY47" s="674"/>
      <c r="JSZ47" s="674"/>
      <c r="JTA47" s="674"/>
      <c r="JTB47" s="674"/>
      <c r="JTC47" s="674"/>
      <c r="JTD47" s="674"/>
      <c r="JTE47" s="674"/>
      <c r="JTF47" s="674"/>
      <c r="JTG47" s="674"/>
      <c r="JTH47" s="674"/>
      <c r="JTI47" s="674"/>
      <c r="JTJ47" s="674"/>
      <c r="JTK47" s="674"/>
      <c r="JTL47" s="674"/>
      <c r="JTM47" s="674"/>
      <c r="JTN47" s="674"/>
      <c r="JTO47" s="674"/>
      <c r="JTP47" s="674"/>
      <c r="JTQ47" s="674"/>
      <c r="JTR47" s="674"/>
      <c r="JTS47" s="674"/>
      <c r="JTT47" s="674"/>
      <c r="JTU47" s="674"/>
      <c r="JTV47" s="674"/>
      <c r="JTW47" s="674"/>
      <c r="JTX47" s="674"/>
      <c r="JTY47" s="674"/>
      <c r="JTZ47" s="674"/>
      <c r="JUA47" s="674"/>
      <c r="JUB47" s="674"/>
      <c r="JUC47" s="674"/>
      <c r="JUD47" s="674"/>
      <c r="JUE47" s="674"/>
      <c r="JUF47" s="674"/>
      <c r="JUG47" s="674"/>
      <c r="JUH47" s="674"/>
      <c r="JUI47" s="674"/>
      <c r="JUJ47" s="674"/>
      <c r="JUK47" s="674"/>
      <c r="JUL47" s="674"/>
      <c r="JUM47" s="674"/>
      <c r="JUN47" s="674"/>
      <c r="JUO47" s="674"/>
      <c r="JUP47" s="674"/>
      <c r="JUQ47" s="674"/>
      <c r="JUR47" s="674"/>
      <c r="JUS47" s="674"/>
      <c r="JUT47" s="674"/>
      <c r="JUU47" s="674"/>
      <c r="JUV47" s="674"/>
      <c r="JUW47" s="674"/>
      <c r="JUX47" s="674"/>
      <c r="JUY47" s="674"/>
      <c r="JUZ47" s="674"/>
      <c r="JVA47" s="674"/>
      <c r="JVB47" s="674"/>
      <c r="JVC47" s="674"/>
      <c r="JVD47" s="674"/>
      <c r="JVE47" s="674"/>
      <c r="JVF47" s="674"/>
      <c r="JVG47" s="674"/>
      <c r="JVH47" s="674"/>
      <c r="JVI47" s="674"/>
      <c r="JVJ47" s="674"/>
      <c r="JVK47" s="674"/>
      <c r="JVL47" s="674"/>
      <c r="JVM47" s="674"/>
      <c r="JVN47" s="674"/>
      <c r="JVO47" s="674"/>
      <c r="JVP47" s="674"/>
      <c r="JVQ47" s="674"/>
      <c r="JVR47" s="674"/>
      <c r="JVS47" s="674"/>
      <c r="JVT47" s="674"/>
      <c r="JVU47" s="674"/>
      <c r="JVV47" s="674"/>
      <c r="JVW47" s="674"/>
      <c r="JVX47" s="674"/>
      <c r="JVY47" s="674"/>
      <c r="JVZ47" s="674"/>
      <c r="JWA47" s="674"/>
      <c r="JWB47" s="674"/>
      <c r="JWC47" s="674"/>
      <c r="JWD47" s="674"/>
      <c r="JWE47" s="674"/>
      <c r="JWF47" s="674"/>
      <c r="JWG47" s="674"/>
      <c r="JWH47" s="674"/>
      <c r="JWI47" s="674"/>
      <c r="JWJ47" s="674"/>
      <c r="JWK47" s="674"/>
      <c r="JWL47" s="674"/>
      <c r="JWM47" s="674"/>
      <c r="JWN47" s="674"/>
      <c r="JWO47" s="674"/>
      <c r="JWP47" s="674"/>
      <c r="JWQ47" s="674"/>
      <c r="JWR47" s="674"/>
      <c r="JWS47" s="674"/>
      <c r="JWT47" s="674"/>
      <c r="JWU47" s="674"/>
      <c r="JWV47" s="674"/>
      <c r="JWW47" s="674"/>
      <c r="JWX47" s="674"/>
      <c r="JWY47" s="674"/>
      <c r="JWZ47" s="674"/>
      <c r="JXA47" s="674"/>
      <c r="JXB47" s="674"/>
      <c r="JXC47" s="674"/>
      <c r="JXD47" s="674"/>
      <c r="JXE47" s="674"/>
      <c r="JXF47" s="674"/>
      <c r="JXG47" s="674"/>
      <c r="JXH47" s="674"/>
      <c r="JXI47" s="674"/>
      <c r="JXJ47" s="674"/>
      <c r="JXK47" s="674"/>
      <c r="JXL47" s="674"/>
      <c r="JXM47" s="674"/>
      <c r="JXN47" s="674"/>
      <c r="JXO47" s="674"/>
      <c r="JXP47" s="674"/>
      <c r="JXQ47" s="674"/>
      <c r="JXR47" s="674"/>
      <c r="JXS47" s="674"/>
      <c r="JXT47" s="674"/>
      <c r="JXU47" s="674"/>
      <c r="JXV47" s="674"/>
      <c r="JXW47" s="674"/>
      <c r="JXX47" s="674"/>
      <c r="JXY47" s="674"/>
      <c r="JXZ47" s="674"/>
      <c r="JYA47" s="674"/>
      <c r="JYB47" s="674"/>
      <c r="JYC47" s="674"/>
      <c r="JYD47" s="674"/>
      <c r="JYE47" s="674"/>
      <c r="JYF47" s="674"/>
      <c r="JYG47" s="674"/>
      <c r="JYH47" s="674"/>
      <c r="JYI47" s="674"/>
      <c r="JYJ47" s="674"/>
      <c r="JYK47" s="674"/>
      <c r="JYL47" s="674"/>
      <c r="JYM47" s="674"/>
      <c r="JYN47" s="674"/>
      <c r="JYO47" s="674"/>
      <c r="JYP47" s="674"/>
      <c r="JYQ47" s="674"/>
      <c r="JYR47" s="674"/>
      <c r="JYS47" s="674"/>
      <c r="JYT47" s="674"/>
      <c r="JYU47" s="674"/>
      <c r="JYV47" s="674"/>
      <c r="JYW47" s="674"/>
      <c r="JYX47" s="674"/>
      <c r="JYY47" s="674"/>
      <c r="JYZ47" s="674"/>
      <c r="JZA47" s="674"/>
      <c r="JZB47" s="674"/>
      <c r="JZC47" s="674"/>
      <c r="JZD47" s="674"/>
      <c r="JZE47" s="674"/>
      <c r="JZF47" s="674"/>
      <c r="JZG47" s="674"/>
      <c r="JZH47" s="674"/>
      <c r="JZI47" s="674"/>
      <c r="JZJ47" s="674"/>
      <c r="JZK47" s="674"/>
      <c r="JZL47" s="674"/>
      <c r="JZM47" s="674"/>
      <c r="JZN47" s="674"/>
      <c r="JZO47" s="674"/>
      <c r="JZP47" s="674"/>
      <c r="JZQ47" s="674"/>
      <c r="JZR47" s="674"/>
      <c r="JZS47" s="674"/>
      <c r="JZT47" s="674"/>
      <c r="JZU47" s="674"/>
      <c r="JZV47" s="674"/>
      <c r="JZW47" s="674"/>
      <c r="JZX47" s="674"/>
      <c r="JZY47" s="674"/>
      <c r="JZZ47" s="674"/>
      <c r="KAA47" s="674"/>
      <c r="KAB47" s="674"/>
      <c r="KAC47" s="674"/>
      <c r="KAD47" s="674"/>
      <c r="KAE47" s="674"/>
      <c r="KAF47" s="674"/>
      <c r="KAG47" s="674"/>
      <c r="KAH47" s="674"/>
      <c r="KAI47" s="674"/>
      <c r="KAJ47" s="674"/>
      <c r="KAK47" s="674"/>
      <c r="KAL47" s="674"/>
      <c r="KAM47" s="674"/>
      <c r="KAN47" s="674"/>
      <c r="KAO47" s="674"/>
      <c r="KAP47" s="674"/>
      <c r="KAQ47" s="674"/>
      <c r="KAR47" s="674"/>
      <c r="KAS47" s="674"/>
      <c r="KAT47" s="674"/>
      <c r="KAU47" s="674"/>
      <c r="KAV47" s="674"/>
      <c r="KAW47" s="674"/>
      <c r="KAX47" s="674"/>
      <c r="KAY47" s="674"/>
      <c r="KAZ47" s="674"/>
      <c r="KBA47" s="674"/>
      <c r="KBB47" s="674"/>
      <c r="KBC47" s="674"/>
      <c r="KBD47" s="674"/>
      <c r="KBE47" s="674"/>
      <c r="KBF47" s="674"/>
      <c r="KBG47" s="674"/>
      <c r="KBH47" s="674"/>
      <c r="KBI47" s="674"/>
      <c r="KBJ47" s="674"/>
      <c r="KBK47" s="674"/>
      <c r="KBL47" s="674"/>
      <c r="KBM47" s="674"/>
      <c r="KBN47" s="674"/>
      <c r="KBO47" s="674"/>
      <c r="KBP47" s="674"/>
      <c r="KBQ47" s="674"/>
      <c r="KBR47" s="674"/>
      <c r="KBS47" s="674"/>
      <c r="KBT47" s="674"/>
      <c r="KBU47" s="674"/>
      <c r="KBV47" s="674"/>
      <c r="KBW47" s="674"/>
      <c r="KBX47" s="674"/>
      <c r="KBY47" s="674"/>
      <c r="KBZ47" s="674"/>
      <c r="KCA47" s="674"/>
      <c r="KCB47" s="674"/>
      <c r="KCC47" s="674"/>
      <c r="KCD47" s="674"/>
      <c r="KCE47" s="674"/>
      <c r="KCF47" s="674"/>
      <c r="KCG47" s="674"/>
      <c r="KCH47" s="674"/>
      <c r="KCI47" s="674"/>
      <c r="KCJ47" s="674"/>
      <c r="KCK47" s="674"/>
      <c r="KCL47" s="674"/>
      <c r="KCM47" s="674"/>
      <c r="KCN47" s="674"/>
      <c r="KCO47" s="674"/>
      <c r="KCP47" s="674"/>
      <c r="KCQ47" s="674"/>
      <c r="KCR47" s="674"/>
      <c r="KCS47" s="674"/>
      <c r="KCT47" s="674"/>
      <c r="KCU47" s="674"/>
      <c r="KCV47" s="674"/>
      <c r="KCW47" s="674"/>
      <c r="KCX47" s="674"/>
      <c r="KCY47" s="674"/>
      <c r="KCZ47" s="674"/>
      <c r="KDA47" s="674"/>
      <c r="KDB47" s="674"/>
      <c r="KDC47" s="674"/>
      <c r="KDD47" s="674"/>
      <c r="KDE47" s="674"/>
      <c r="KDF47" s="674"/>
      <c r="KDG47" s="674"/>
      <c r="KDH47" s="674"/>
      <c r="KDI47" s="674"/>
      <c r="KDJ47" s="674"/>
      <c r="KDK47" s="674"/>
      <c r="KDL47" s="674"/>
      <c r="KDM47" s="674"/>
      <c r="KDN47" s="674"/>
      <c r="KDO47" s="674"/>
      <c r="KDP47" s="674"/>
      <c r="KDQ47" s="674"/>
      <c r="KDR47" s="674"/>
      <c r="KDS47" s="674"/>
      <c r="KDT47" s="674"/>
      <c r="KDU47" s="674"/>
      <c r="KDV47" s="674"/>
      <c r="KDW47" s="674"/>
      <c r="KDX47" s="674"/>
      <c r="KDY47" s="674"/>
      <c r="KDZ47" s="674"/>
      <c r="KEA47" s="674"/>
      <c r="KEB47" s="674"/>
      <c r="KEC47" s="674"/>
      <c r="KED47" s="674"/>
      <c r="KEE47" s="674"/>
      <c r="KEF47" s="674"/>
      <c r="KEG47" s="674"/>
      <c r="KEH47" s="674"/>
      <c r="KEI47" s="674"/>
      <c r="KEJ47" s="674"/>
      <c r="KEK47" s="674"/>
      <c r="KEL47" s="674"/>
      <c r="KEM47" s="674"/>
      <c r="KEN47" s="674"/>
      <c r="KEO47" s="674"/>
      <c r="KEP47" s="674"/>
      <c r="KEQ47" s="674"/>
      <c r="KER47" s="674"/>
      <c r="KES47" s="674"/>
      <c r="KET47" s="674"/>
      <c r="KEU47" s="674"/>
      <c r="KEV47" s="674"/>
      <c r="KEW47" s="674"/>
      <c r="KEX47" s="674"/>
      <c r="KEY47" s="674"/>
      <c r="KEZ47" s="674"/>
      <c r="KFA47" s="674"/>
      <c r="KFB47" s="674"/>
      <c r="KFC47" s="674"/>
      <c r="KFD47" s="674"/>
      <c r="KFE47" s="674"/>
      <c r="KFF47" s="674"/>
      <c r="KFG47" s="674"/>
      <c r="KFH47" s="674"/>
      <c r="KFI47" s="674"/>
      <c r="KFJ47" s="674"/>
      <c r="KFK47" s="674"/>
      <c r="KFL47" s="674"/>
      <c r="KFM47" s="674"/>
      <c r="KFN47" s="674"/>
      <c r="KFO47" s="674"/>
      <c r="KFP47" s="674"/>
      <c r="KFQ47" s="674"/>
      <c r="KFR47" s="674"/>
      <c r="KFS47" s="674"/>
      <c r="KFT47" s="674"/>
      <c r="KFU47" s="674"/>
      <c r="KFV47" s="674"/>
      <c r="KFW47" s="674"/>
      <c r="KFX47" s="674"/>
      <c r="KFY47" s="674"/>
      <c r="KFZ47" s="674"/>
      <c r="KGA47" s="674"/>
      <c r="KGB47" s="674"/>
      <c r="KGC47" s="674"/>
      <c r="KGD47" s="674"/>
      <c r="KGE47" s="674"/>
      <c r="KGF47" s="674"/>
      <c r="KGG47" s="674"/>
      <c r="KGH47" s="674"/>
      <c r="KGI47" s="674"/>
      <c r="KGJ47" s="674"/>
      <c r="KGK47" s="674"/>
      <c r="KGL47" s="674"/>
      <c r="KGM47" s="674"/>
      <c r="KGN47" s="674"/>
      <c r="KGO47" s="674"/>
      <c r="KGP47" s="674"/>
      <c r="KGQ47" s="674"/>
      <c r="KGR47" s="674"/>
      <c r="KGS47" s="674"/>
      <c r="KGT47" s="674"/>
      <c r="KGU47" s="674"/>
      <c r="KGV47" s="674"/>
      <c r="KGW47" s="674"/>
      <c r="KGX47" s="674"/>
      <c r="KGY47" s="674"/>
      <c r="KGZ47" s="674"/>
      <c r="KHA47" s="674"/>
      <c r="KHB47" s="674"/>
      <c r="KHC47" s="674"/>
      <c r="KHD47" s="674"/>
      <c r="KHE47" s="674"/>
      <c r="KHF47" s="674"/>
      <c r="KHG47" s="674"/>
      <c r="KHH47" s="674"/>
      <c r="KHI47" s="674"/>
      <c r="KHJ47" s="674"/>
      <c r="KHK47" s="674"/>
      <c r="KHL47" s="674"/>
      <c r="KHM47" s="674"/>
      <c r="KHN47" s="674"/>
      <c r="KHO47" s="674"/>
      <c r="KHP47" s="674"/>
      <c r="KHQ47" s="674"/>
      <c r="KHR47" s="674"/>
      <c r="KHS47" s="674"/>
      <c r="KHT47" s="674"/>
      <c r="KHU47" s="674"/>
      <c r="KHV47" s="674"/>
      <c r="KHW47" s="674"/>
      <c r="KHX47" s="674"/>
      <c r="KHY47" s="674"/>
      <c r="KHZ47" s="674"/>
      <c r="KIA47" s="674"/>
      <c r="KIB47" s="674"/>
      <c r="KIC47" s="674"/>
      <c r="KID47" s="674"/>
      <c r="KIE47" s="674"/>
      <c r="KIF47" s="674"/>
      <c r="KIG47" s="674"/>
      <c r="KIH47" s="674"/>
      <c r="KII47" s="674"/>
      <c r="KIJ47" s="674"/>
      <c r="KIK47" s="674"/>
      <c r="KIL47" s="674"/>
      <c r="KIM47" s="674"/>
      <c r="KIN47" s="674"/>
      <c r="KIO47" s="674"/>
      <c r="KIP47" s="674"/>
      <c r="KIQ47" s="674"/>
      <c r="KIR47" s="674"/>
      <c r="KIS47" s="674"/>
      <c r="KIT47" s="674"/>
      <c r="KIU47" s="674"/>
      <c r="KIV47" s="674"/>
      <c r="KIW47" s="674"/>
      <c r="KIX47" s="674"/>
      <c r="KIY47" s="674"/>
      <c r="KIZ47" s="674"/>
      <c r="KJA47" s="674"/>
      <c r="KJB47" s="674"/>
      <c r="KJC47" s="674"/>
      <c r="KJD47" s="674"/>
      <c r="KJE47" s="674"/>
      <c r="KJF47" s="674"/>
      <c r="KJG47" s="674"/>
      <c r="KJH47" s="674"/>
      <c r="KJI47" s="674"/>
      <c r="KJJ47" s="674"/>
      <c r="KJK47" s="674"/>
      <c r="KJL47" s="674"/>
      <c r="KJM47" s="674"/>
      <c r="KJN47" s="674"/>
      <c r="KJO47" s="674"/>
      <c r="KJP47" s="674"/>
      <c r="KJQ47" s="674"/>
      <c r="KJR47" s="674"/>
      <c r="KJS47" s="674"/>
      <c r="KJT47" s="674"/>
      <c r="KJU47" s="674"/>
      <c r="KJV47" s="674"/>
      <c r="KJW47" s="674"/>
      <c r="KJX47" s="674"/>
      <c r="KJY47" s="674"/>
      <c r="KJZ47" s="674"/>
      <c r="KKA47" s="674"/>
      <c r="KKB47" s="674"/>
      <c r="KKC47" s="674"/>
      <c r="KKD47" s="674"/>
      <c r="KKE47" s="674"/>
      <c r="KKF47" s="674"/>
      <c r="KKG47" s="674"/>
      <c r="KKH47" s="674"/>
      <c r="KKI47" s="674"/>
      <c r="KKJ47" s="674"/>
      <c r="KKK47" s="674"/>
      <c r="KKL47" s="674"/>
      <c r="KKM47" s="674"/>
      <c r="KKN47" s="674"/>
      <c r="KKO47" s="674"/>
      <c r="KKP47" s="674"/>
      <c r="KKQ47" s="674"/>
      <c r="KKR47" s="674"/>
      <c r="KKS47" s="674"/>
      <c r="KKT47" s="674"/>
      <c r="KKU47" s="674"/>
      <c r="KKV47" s="674"/>
      <c r="KKW47" s="674"/>
      <c r="KKX47" s="674"/>
      <c r="KKY47" s="674"/>
      <c r="KKZ47" s="674"/>
      <c r="KLA47" s="674"/>
      <c r="KLB47" s="674"/>
      <c r="KLC47" s="674"/>
      <c r="KLD47" s="674"/>
      <c r="KLE47" s="674"/>
      <c r="KLF47" s="674"/>
      <c r="KLG47" s="674"/>
      <c r="KLH47" s="674"/>
      <c r="KLI47" s="674"/>
      <c r="KLJ47" s="674"/>
      <c r="KLK47" s="674"/>
      <c r="KLL47" s="674"/>
      <c r="KLM47" s="674"/>
      <c r="KLN47" s="674"/>
      <c r="KLO47" s="674"/>
      <c r="KLP47" s="674"/>
      <c r="KLQ47" s="674"/>
      <c r="KLR47" s="674"/>
      <c r="KLS47" s="674"/>
      <c r="KLT47" s="674"/>
      <c r="KLU47" s="674"/>
      <c r="KLV47" s="674"/>
      <c r="KLW47" s="674"/>
      <c r="KLX47" s="674"/>
      <c r="KLY47" s="674"/>
      <c r="KLZ47" s="674"/>
      <c r="KMA47" s="674"/>
      <c r="KMB47" s="674"/>
      <c r="KMC47" s="674"/>
      <c r="KMD47" s="674"/>
      <c r="KME47" s="674"/>
      <c r="KMF47" s="674"/>
      <c r="KMG47" s="674"/>
      <c r="KMH47" s="674"/>
      <c r="KMI47" s="674"/>
      <c r="KMJ47" s="674"/>
      <c r="KMK47" s="674"/>
      <c r="KML47" s="674"/>
      <c r="KMM47" s="674"/>
      <c r="KMN47" s="674"/>
      <c r="KMO47" s="674"/>
      <c r="KMP47" s="674"/>
      <c r="KMQ47" s="674"/>
      <c r="KMR47" s="674"/>
      <c r="KMS47" s="674"/>
      <c r="KMT47" s="674"/>
      <c r="KMU47" s="674"/>
      <c r="KMV47" s="674"/>
      <c r="KMW47" s="674"/>
      <c r="KMX47" s="674"/>
      <c r="KMY47" s="674"/>
      <c r="KMZ47" s="674"/>
      <c r="KNA47" s="674"/>
      <c r="KNB47" s="674"/>
      <c r="KNC47" s="674"/>
      <c r="KND47" s="674"/>
      <c r="KNE47" s="674"/>
      <c r="KNF47" s="674"/>
      <c r="KNG47" s="674"/>
      <c r="KNH47" s="674"/>
      <c r="KNI47" s="674"/>
      <c r="KNJ47" s="674"/>
      <c r="KNK47" s="674"/>
      <c r="KNL47" s="674"/>
      <c r="KNM47" s="674"/>
      <c r="KNN47" s="674"/>
      <c r="KNO47" s="674"/>
      <c r="KNP47" s="674"/>
      <c r="KNQ47" s="674"/>
      <c r="KNR47" s="674"/>
      <c r="KNS47" s="674"/>
      <c r="KNT47" s="674"/>
      <c r="KNU47" s="674"/>
      <c r="KNV47" s="674"/>
      <c r="KNW47" s="674"/>
      <c r="KNX47" s="674"/>
      <c r="KNY47" s="674"/>
      <c r="KNZ47" s="674"/>
      <c r="KOA47" s="674"/>
      <c r="KOB47" s="674"/>
      <c r="KOC47" s="674"/>
      <c r="KOD47" s="674"/>
      <c r="KOE47" s="674"/>
      <c r="KOF47" s="674"/>
      <c r="KOG47" s="674"/>
      <c r="KOH47" s="674"/>
      <c r="KOI47" s="674"/>
      <c r="KOJ47" s="674"/>
      <c r="KOK47" s="674"/>
      <c r="KOL47" s="674"/>
      <c r="KOM47" s="674"/>
      <c r="KON47" s="674"/>
      <c r="KOO47" s="674"/>
      <c r="KOP47" s="674"/>
      <c r="KOQ47" s="674"/>
      <c r="KOR47" s="674"/>
      <c r="KOS47" s="674"/>
      <c r="KOT47" s="674"/>
      <c r="KOU47" s="674"/>
      <c r="KOV47" s="674"/>
      <c r="KOW47" s="674"/>
      <c r="KOX47" s="674"/>
      <c r="KOY47" s="674"/>
      <c r="KOZ47" s="674"/>
      <c r="KPA47" s="674"/>
      <c r="KPB47" s="674"/>
      <c r="KPC47" s="674"/>
      <c r="KPD47" s="674"/>
      <c r="KPE47" s="674"/>
      <c r="KPF47" s="674"/>
      <c r="KPG47" s="674"/>
      <c r="KPH47" s="674"/>
      <c r="KPI47" s="674"/>
      <c r="KPJ47" s="674"/>
      <c r="KPK47" s="674"/>
      <c r="KPL47" s="674"/>
      <c r="KPM47" s="674"/>
      <c r="KPN47" s="674"/>
      <c r="KPO47" s="674"/>
      <c r="KPP47" s="674"/>
      <c r="KPQ47" s="674"/>
      <c r="KPR47" s="674"/>
      <c r="KPS47" s="674"/>
      <c r="KPT47" s="674"/>
      <c r="KPU47" s="674"/>
      <c r="KPV47" s="674"/>
      <c r="KPW47" s="674"/>
      <c r="KPX47" s="674"/>
      <c r="KPY47" s="674"/>
      <c r="KPZ47" s="674"/>
      <c r="KQA47" s="674"/>
      <c r="KQB47" s="674"/>
      <c r="KQC47" s="674"/>
      <c r="KQD47" s="674"/>
      <c r="KQE47" s="674"/>
      <c r="KQF47" s="674"/>
      <c r="KQG47" s="674"/>
      <c r="KQH47" s="674"/>
      <c r="KQI47" s="674"/>
      <c r="KQJ47" s="674"/>
      <c r="KQK47" s="674"/>
      <c r="KQL47" s="674"/>
      <c r="KQM47" s="674"/>
      <c r="KQN47" s="674"/>
      <c r="KQO47" s="674"/>
      <c r="KQP47" s="674"/>
      <c r="KQQ47" s="674"/>
      <c r="KQR47" s="674"/>
      <c r="KQS47" s="674"/>
      <c r="KQT47" s="674"/>
      <c r="KQU47" s="674"/>
      <c r="KQV47" s="674"/>
      <c r="KQW47" s="674"/>
      <c r="KQX47" s="674"/>
      <c r="KQY47" s="674"/>
      <c r="KQZ47" s="674"/>
      <c r="KRA47" s="674"/>
      <c r="KRB47" s="674"/>
      <c r="KRC47" s="674"/>
      <c r="KRD47" s="674"/>
      <c r="KRE47" s="674"/>
      <c r="KRF47" s="674"/>
      <c r="KRG47" s="674"/>
      <c r="KRH47" s="674"/>
      <c r="KRI47" s="674"/>
      <c r="KRJ47" s="674"/>
      <c r="KRK47" s="674"/>
      <c r="KRL47" s="674"/>
      <c r="KRM47" s="674"/>
      <c r="KRN47" s="674"/>
      <c r="KRO47" s="674"/>
      <c r="KRP47" s="674"/>
      <c r="KRQ47" s="674"/>
      <c r="KRR47" s="674"/>
      <c r="KRS47" s="674"/>
      <c r="KRT47" s="674"/>
      <c r="KRU47" s="674"/>
      <c r="KRV47" s="674"/>
      <c r="KRW47" s="674"/>
      <c r="KRX47" s="674"/>
      <c r="KRY47" s="674"/>
      <c r="KRZ47" s="674"/>
      <c r="KSA47" s="674"/>
      <c r="KSB47" s="674"/>
      <c r="KSC47" s="674"/>
      <c r="KSD47" s="674"/>
      <c r="KSE47" s="674"/>
      <c r="KSF47" s="674"/>
      <c r="KSG47" s="674"/>
      <c r="KSH47" s="674"/>
      <c r="KSI47" s="674"/>
      <c r="KSJ47" s="674"/>
      <c r="KSK47" s="674"/>
      <c r="KSL47" s="674"/>
      <c r="KSM47" s="674"/>
      <c r="KSN47" s="674"/>
      <c r="KSO47" s="674"/>
      <c r="KSP47" s="674"/>
      <c r="KSQ47" s="674"/>
      <c r="KSR47" s="674"/>
      <c r="KSS47" s="674"/>
      <c r="KST47" s="674"/>
      <c r="KSU47" s="674"/>
      <c r="KSV47" s="674"/>
      <c r="KSW47" s="674"/>
      <c r="KSX47" s="674"/>
      <c r="KSY47" s="674"/>
      <c r="KSZ47" s="674"/>
      <c r="KTA47" s="674"/>
      <c r="KTB47" s="674"/>
      <c r="KTC47" s="674"/>
      <c r="KTD47" s="674"/>
      <c r="KTE47" s="674"/>
      <c r="KTF47" s="674"/>
      <c r="KTG47" s="674"/>
      <c r="KTH47" s="674"/>
      <c r="KTI47" s="674"/>
      <c r="KTJ47" s="674"/>
      <c r="KTK47" s="674"/>
      <c r="KTL47" s="674"/>
      <c r="KTM47" s="674"/>
      <c r="KTN47" s="674"/>
      <c r="KTO47" s="674"/>
      <c r="KTP47" s="674"/>
      <c r="KTQ47" s="674"/>
      <c r="KTR47" s="674"/>
      <c r="KTS47" s="674"/>
      <c r="KTT47" s="674"/>
      <c r="KTU47" s="674"/>
      <c r="KTV47" s="674"/>
      <c r="KTW47" s="674"/>
      <c r="KTX47" s="674"/>
      <c r="KTY47" s="674"/>
      <c r="KTZ47" s="674"/>
      <c r="KUA47" s="674"/>
      <c r="KUB47" s="674"/>
      <c r="KUC47" s="674"/>
      <c r="KUD47" s="674"/>
      <c r="KUE47" s="674"/>
      <c r="KUF47" s="674"/>
      <c r="KUG47" s="674"/>
      <c r="KUH47" s="674"/>
      <c r="KUI47" s="674"/>
      <c r="KUJ47" s="674"/>
      <c r="KUK47" s="674"/>
      <c r="KUL47" s="674"/>
      <c r="KUM47" s="674"/>
      <c r="KUN47" s="674"/>
      <c r="KUO47" s="674"/>
      <c r="KUP47" s="674"/>
      <c r="KUQ47" s="674"/>
      <c r="KUR47" s="674"/>
      <c r="KUS47" s="674"/>
      <c r="KUT47" s="674"/>
      <c r="KUU47" s="674"/>
      <c r="KUV47" s="674"/>
      <c r="KUW47" s="674"/>
      <c r="KUX47" s="674"/>
      <c r="KUY47" s="674"/>
      <c r="KUZ47" s="674"/>
      <c r="KVA47" s="674"/>
      <c r="KVB47" s="674"/>
      <c r="KVC47" s="674"/>
      <c r="KVD47" s="674"/>
      <c r="KVE47" s="674"/>
      <c r="KVF47" s="674"/>
      <c r="KVG47" s="674"/>
      <c r="KVH47" s="674"/>
      <c r="KVI47" s="674"/>
      <c r="KVJ47" s="674"/>
      <c r="KVK47" s="674"/>
      <c r="KVL47" s="674"/>
      <c r="KVM47" s="674"/>
      <c r="KVN47" s="674"/>
      <c r="KVO47" s="674"/>
      <c r="KVP47" s="674"/>
      <c r="KVQ47" s="674"/>
      <c r="KVR47" s="674"/>
      <c r="KVS47" s="674"/>
      <c r="KVT47" s="674"/>
      <c r="KVU47" s="674"/>
      <c r="KVV47" s="674"/>
      <c r="KVW47" s="674"/>
      <c r="KVX47" s="674"/>
      <c r="KVY47" s="674"/>
      <c r="KVZ47" s="674"/>
      <c r="KWA47" s="674"/>
      <c r="KWB47" s="674"/>
      <c r="KWC47" s="674"/>
      <c r="KWD47" s="674"/>
      <c r="KWE47" s="674"/>
      <c r="KWF47" s="674"/>
      <c r="KWG47" s="674"/>
      <c r="KWH47" s="674"/>
      <c r="KWI47" s="674"/>
      <c r="KWJ47" s="674"/>
      <c r="KWK47" s="674"/>
      <c r="KWL47" s="674"/>
      <c r="KWM47" s="674"/>
      <c r="KWN47" s="674"/>
      <c r="KWO47" s="674"/>
      <c r="KWP47" s="674"/>
      <c r="KWQ47" s="674"/>
      <c r="KWR47" s="674"/>
      <c r="KWS47" s="674"/>
      <c r="KWT47" s="674"/>
      <c r="KWU47" s="674"/>
      <c r="KWV47" s="674"/>
      <c r="KWW47" s="674"/>
      <c r="KWX47" s="674"/>
      <c r="KWY47" s="674"/>
      <c r="KWZ47" s="674"/>
      <c r="KXA47" s="674"/>
      <c r="KXB47" s="674"/>
      <c r="KXC47" s="674"/>
      <c r="KXD47" s="674"/>
      <c r="KXE47" s="674"/>
      <c r="KXF47" s="674"/>
      <c r="KXG47" s="674"/>
      <c r="KXH47" s="674"/>
      <c r="KXI47" s="674"/>
      <c r="KXJ47" s="674"/>
      <c r="KXK47" s="674"/>
      <c r="KXL47" s="674"/>
      <c r="KXM47" s="674"/>
      <c r="KXN47" s="674"/>
      <c r="KXO47" s="674"/>
      <c r="KXP47" s="674"/>
      <c r="KXQ47" s="674"/>
      <c r="KXR47" s="674"/>
      <c r="KXS47" s="674"/>
      <c r="KXT47" s="674"/>
      <c r="KXU47" s="674"/>
      <c r="KXV47" s="674"/>
      <c r="KXW47" s="674"/>
      <c r="KXX47" s="674"/>
      <c r="KXY47" s="674"/>
      <c r="KXZ47" s="674"/>
      <c r="KYA47" s="674"/>
      <c r="KYB47" s="674"/>
      <c r="KYC47" s="674"/>
      <c r="KYD47" s="674"/>
      <c r="KYE47" s="674"/>
      <c r="KYF47" s="674"/>
      <c r="KYG47" s="674"/>
      <c r="KYH47" s="674"/>
      <c r="KYI47" s="674"/>
      <c r="KYJ47" s="674"/>
      <c r="KYK47" s="674"/>
      <c r="KYL47" s="674"/>
      <c r="KYM47" s="674"/>
      <c r="KYN47" s="674"/>
      <c r="KYO47" s="674"/>
      <c r="KYP47" s="674"/>
      <c r="KYQ47" s="674"/>
      <c r="KYR47" s="674"/>
      <c r="KYS47" s="674"/>
      <c r="KYT47" s="674"/>
      <c r="KYU47" s="674"/>
      <c r="KYV47" s="674"/>
      <c r="KYW47" s="674"/>
      <c r="KYX47" s="674"/>
      <c r="KYY47" s="674"/>
      <c r="KYZ47" s="674"/>
      <c r="KZA47" s="674"/>
      <c r="KZB47" s="674"/>
      <c r="KZC47" s="674"/>
      <c r="KZD47" s="674"/>
      <c r="KZE47" s="674"/>
      <c r="KZF47" s="674"/>
      <c r="KZG47" s="674"/>
      <c r="KZH47" s="674"/>
      <c r="KZI47" s="674"/>
      <c r="KZJ47" s="674"/>
      <c r="KZK47" s="674"/>
      <c r="KZL47" s="674"/>
      <c r="KZM47" s="674"/>
      <c r="KZN47" s="674"/>
      <c r="KZO47" s="674"/>
      <c r="KZP47" s="674"/>
      <c r="KZQ47" s="674"/>
      <c r="KZR47" s="674"/>
      <c r="KZS47" s="674"/>
      <c r="KZT47" s="674"/>
      <c r="KZU47" s="674"/>
      <c r="KZV47" s="674"/>
      <c r="KZW47" s="674"/>
      <c r="KZX47" s="674"/>
      <c r="KZY47" s="674"/>
      <c r="KZZ47" s="674"/>
      <c r="LAA47" s="674"/>
      <c r="LAB47" s="674"/>
      <c r="LAC47" s="674"/>
      <c r="LAD47" s="674"/>
      <c r="LAE47" s="674"/>
      <c r="LAF47" s="674"/>
      <c r="LAG47" s="674"/>
      <c r="LAH47" s="674"/>
      <c r="LAI47" s="674"/>
      <c r="LAJ47" s="674"/>
      <c r="LAK47" s="674"/>
      <c r="LAL47" s="674"/>
      <c r="LAM47" s="674"/>
      <c r="LAN47" s="674"/>
      <c r="LAO47" s="674"/>
      <c r="LAP47" s="674"/>
      <c r="LAQ47" s="674"/>
      <c r="LAR47" s="674"/>
      <c r="LAS47" s="674"/>
      <c r="LAT47" s="674"/>
      <c r="LAU47" s="674"/>
      <c r="LAV47" s="674"/>
      <c r="LAW47" s="674"/>
      <c r="LAX47" s="674"/>
      <c r="LAY47" s="674"/>
      <c r="LAZ47" s="674"/>
      <c r="LBA47" s="674"/>
      <c r="LBB47" s="674"/>
      <c r="LBC47" s="674"/>
      <c r="LBD47" s="674"/>
      <c r="LBE47" s="674"/>
      <c r="LBF47" s="674"/>
      <c r="LBG47" s="674"/>
      <c r="LBH47" s="674"/>
      <c r="LBI47" s="674"/>
      <c r="LBJ47" s="674"/>
      <c r="LBK47" s="674"/>
      <c r="LBL47" s="674"/>
      <c r="LBM47" s="674"/>
      <c r="LBN47" s="674"/>
      <c r="LBO47" s="674"/>
      <c r="LBP47" s="674"/>
      <c r="LBQ47" s="674"/>
      <c r="LBR47" s="674"/>
      <c r="LBS47" s="674"/>
      <c r="LBT47" s="674"/>
      <c r="LBU47" s="674"/>
      <c r="LBV47" s="674"/>
      <c r="LBW47" s="674"/>
      <c r="LBX47" s="674"/>
      <c r="LBY47" s="674"/>
      <c r="LBZ47" s="674"/>
      <c r="LCA47" s="674"/>
      <c r="LCB47" s="674"/>
      <c r="LCC47" s="674"/>
      <c r="LCD47" s="674"/>
      <c r="LCE47" s="674"/>
      <c r="LCF47" s="674"/>
      <c r="LCG47" s="674"/>
      <c r="LCH47" s="674"/>
      <c r="LCI47" s="674"/>
      <c r="LCJ47" s="674"/>
      <c r="LCK47" s="674"/>
      <c r="LCL47" s="674"/>
      <c r="LCM47" s="674"/>
      <c r="LCN47" s="674"/>
      <c r="LCO47" s="674"/>
      <c r="LCP47" s="674"/>
      <c r="LCQ47" s="674"/>
      <c r="LCR47" s="674"/>
      <c r="LCS47" s="674"/>
      <c r="LCT47" s="674"/>
      <c r="LCU47" s="674"/>
      <c r="LCV47" s="674"/>
      <c r="LCW47" s="674"/>
      <c r="LCX47" s="674"/>
      <c r="LCY47" s="674"/>
      <c r="LCZ47" s="674"/>
      <c r="LDA47" s="674"/>
      <c r="LDB47" s="674"/>
      <c r="LDC47" s="674"/>
      <c r="LDD47" s="674"/>
      <c r="LDE47" s="674"/>
      <c r="LDF47" s="674"/>
      <c r="LDG47" s="674"/>
      <c r="LDH47" s="674"/>
      <c r="LDI47" s="674"/>
      <c r="LDJ47" s="674"/>
      <c r="LDK47" s="674"/>
      <c r="LDL47" s="674"/>
      <c r="LDM47" s="674"/>
      <c r="LDN47" s="674"/>
      <c r="LDO47" s="674"/>
      <c r="LDP47" s="674"/>
      <c r="LDQ47" s="674"/>
      <c r="LDR47" s="674"/>
      <c r="LDS47" s="674"/>
      <c r="LDT47" s="674"/>
      <c r="LDU47" s="674"/>
      <c r="LDV47" s="674"/>
      <c r="LDW47" s="674"/>
      <c r="LDX47" s="674"/>
      <c r="LDY47" s="674"/>
      <c r="LDZ47" s="674"/>
      <c r="LEA47" s="674"/>
      <c r="LEB47" s="674"/>
      <c r="LEC47" s="674"/>
      <c r="LED47" s="674"/>
      <c r="LEE47" s="674"/>
      <c r="LEF47" s="674"/>
      <c r="LEG47" s="674"/>
      <c r="LEH47" s="674"/>
      <c r="LEI47" s="674"/>
      <c r="LEJ47" s="674"/>
      <c r="LEK47" s="674"/>
      <c r="LEL47" s="674"/>
      <c r="LEM47" s="674"/>
      <c r="LEN47" s="674"/>
      <c r="LEO47" s="674"/>
      <c r="LEP47" s="674"/>
      <c r="LEQ47" s="674"/>
      <c r="LER47" s="674"/>
      <c r="LES47" s="674"/>
      <c r="LET47" s="674"/>
      <c r="LEU47" s="674"/>
      <c r="LEV47" s="674"/>
      <c r="LEW47" s="674"/>
      <c r="LEX47" s="674"/>
      <c r="LEY47" s="674"/>
      <c r="LEZ47" s="674"/>
      <c r="LFA47" s="674"/>
      <c r="LFB47" s="674"/>
      <c r="LFC47" s="674"/>
      <c r="LFD47" s="674"/>
      <c r="LFE47" s="674"/>
      <c r="LFF47" s="674"/>
      <c r="LFG47" s="674"/>
      <c r="LFH47" s="674"/>
      <c r="LFI47" s="674"/>
      <c r="LFJ47" s="674"/>
      <c r="LFK47" s="674"/>
      <c r="LFL47" s="674"/>
      <c r="LFM47" s="674"/>
      <c r="LFN47" s="674"/>
      <c r="LFO47" s="674"/>
      <c r="LFP47" s="674"/>
      <c r="LFQ47" s="674"/>
      <c r="LFR47" s="674"/>
      <c r="LFS47" s="674"/>
      <c r="LFT47" s="674"/>
      <c r="LFU47" s="674"/>
      <c r="LFV47" s="674"/>
      <c r="LFW47" s="674"/>
      <c r="LFX47" s="674"/>
      <c r="LFY47" s="674"/>
      <c r="LFZ47" s="674"/>
      <c r="LGA47" s="674"/>
      <c r="LGB47" s="674"/>
      <c r="LGC47" s="674"/>
      <c r="LGD47" s="674"/>
      <c r="LGE47" s="674"/>
      <c r="LGF47" s="674"/>
      <c r="LGG47" s="674"/>
      <c r="LGH47" s="674"/>
      <c r="LGI47" s="674"/>
      <c r="LGJ47" s="674"/>
      <c r="LGK47" s="674"/>
      <c r="LGL47" s="674"/>
      <c r="LGM47" s="674"/>
      <c r="LGN47" s="674"/>
      <c r="LGO47" s="674"/>
      <c r="LGP47" s="674"/>
      <c r="LGQ47" s="674"/>
      <c r="LGR47" s="674"/>
      <c r="LGS47" s="674"/>
      <c r="LGT47" s="674"/>
      <c r="LGU47" s="674"/>
      <c r="LGV47" s="674"/>
      <c r="LGW47" s="674"/>
      <c r="LGX47" s="674"/>
      <c r="LGY47" s="674"/>
      <c r="LGZ47" s="674"/>
      <c r="LHA47" s="674"/>
      <c r="LHB47" s="674"/>
      <c r="LHC47" s="674"/>
      <c r="LHD47" s="674"/>
      <c r="LHE47" s="674"/>
      <c r="LHF47" s="674"/>
      <c r="LHG47" s="674"/>
      <c r="LHH47" s="674"/>
      <c r="LHI47" s="674"/>
      <c r="LHJ47" s="674"/>
      <c r="LHK47" s="674"/>
      <c r="LHL47" s="674"/>
      <c r="LHM47" s="674"/>
      <c r="LHN47" s="674"/>
      <c r="LHO47" s="674"/>
      <c r="LHP47" s="674"/>
      <c r="LHQ47" s="674"/>
      <c r="LHR47" s="674"/>
      <c r="LHS47" s="674"/>
      <c r="LHT47" s="674"/>
      <c r="LHU47" s="674"/>
      <c r="LHV47" s="674"/>
      <c r="LHW47" s="674"/>
      <c r="LHX47" s="674"/>
      <c r="LHY47" s="674"/>
      <c r="LHZ47" s="674"/>
      <c r="LIA47" s="674"/>
      <c r="LIB47" s="674"/>
      <c r="LIC47" s="674"/>
      <c r="LID47" s="674"/>
      <c r="LIE47" s="674"/>
      <c r="LIF47" s="674"/>
      <c r="LIG47" s="674"/>
      <c r="LIH47" s="674"/>
      <c r="LII47" s="674"/>
      <c r="LIJ47" s="674"/>
      <c r="LIK47" s="674"/>
      <c r="LIL47" s="674"/>
      <c r="LIM47" s="674"/>
      <c r="LIN47" s="674"/>
      <c r="LIO47" s="674"/>
      <c r="LIP47" s="674"/>
      <c r="LIQ47" s="674"/>
      <c r="LIR47" s="674"/>
      <c r="LIS47" s="674"/>
      <c r="LIT47" s="674"/>
      <c r="LIU47" s="674"/>
      <c r="LIV47" s="674"/>
      <c r="LIW47" s="674"/>
      <c r="LIX47" s="674"/>
      <c r="LIY47" s="674"/>
      <c r="LIZ47" s="674"/>
      <c r="LJA47" s="674"/>
      <c r="LJB47" s="674"/>
      <c r="LJC47" s="674"/>
      <c r="LJD47" s="674"/>
      <c r="LJE47" s="674"/>
      <c r="LJF47" s="674"/>
      <c r="LJG47" s="674"/>
      <c r="LJH47" s="674"/>
      <c r="LJI47" s="674"/>
      <c r="LJJ47" s="674"/>
      <c r="LJK47" s="674"/>
      <c r="LJL47" s="674"/>
      <c r="LJM47" s="674"/>
      <c r="LJN47" s="674"/>
      <c r="LJO47" s="674"/>
      <c r="LJP47" s="674"/>
      <c r="LJQ47" s="674"/>
      <c r="LJR47" s="674"/>
      <c r="LJS47" s="674"/>
      <c r="LJT47" s="674"/>
      <c r="LJU47" s="674"/>
      <c r="LJV47" s="674"/>
      <c r="LJW47" s="674"/>
      <c r="LJX47" s="674"/>
      <c r="LJY47" s="674"/>
      <c r="LJZ47" s="674"/>
      <c r="LKA47" s="674"/>
      <c r="LKB47" s="674"/>
      <c r="LKC47" s="674"/>
      <c r="LKD47" s="674"/>
      <c r="LKE47" s="674"/>
      <c r="LKF47" s="674"/>
      <c r="LKG47" s="674"/>
      <c r="LKH47" s="674"/>
      <c r="LKI47" s="674"/>
      <c r="LKJ47" s="674"/>
      <c r="LKK47" s="674"/>
      <c r="LKL47" s="674"/>
      <c r="LKM47" s="674"/>
      <c r="LKN47" s="674"/>
      <c r="LKO47" s="674"/>
      <c r="LKP47" s="674"/>
      <c r="LKQ47" s="674"/>
      <c r="LKR47" s="674"/>
      <c r="LKS47" s="674"/>
      <c r="LKT47" s="674"/>
      <c r="LKU47" s="674"/>
      <c r="LKV47" s="674"/>
      <c r="LKW47" s="674"/>
      <c r="LKX47" s="674"/>
      <c r="LKY47" s="674"/>
      <c r="LKZ47" s="674"/>
      <c r="LLA47" s="674"/>
      <c r="LLB47" s="674"/>
      <c r="LLC47" s="674"/>
      <c r="LLD47" s="674"/>
      <c r="LLE47" s="674"/>
      <c r="LLF47" s="674"/>
      <c r="LLG47" s="674"/>
      <c r="LLH47" s="674"/>
      <c r="LLI47" s="674"/>
      <c r="LLJ47" s="674"/>
      <c r="LLK47" s="674"/>
      <c r="LLL47" s="674"/>
      <c r="LLM47" s="674"/>
      <c r="LLN47" s="674"/>
      <c r="LLO47" s="674"/>
      <c r="LLP47" s="674"/>
      <c r="LLQ47" s="674"/>
      <c r="LLR47" s="674"/>
      <c r="LLS47" s="674"/>
      <c r="LLT47" s="674"/>
      <c r="LLU47" s="674"/>
      <c r="LLV47" s="674"/>
      <c r="LLW47" s="674"/>
      <c r="LLX47" s="674"/>
      <c r="LLY47" s="674"/>
      <c r="LLZ47" s="674"/>
      <c r="LMA47" s="674"/>
      <c r="LMB47" s="674"/>
      <c r="LMC47" s="674"/>
      <c r="LMD47" s="674"/>
      <c r="LME47" s="674"/>
      <c r="LMF47" s="674"/>
      <c r="LMG47" s="674"/>
      <c r="LMH47" s="674"/>
      <c r="LMI47" s="674"/>
      <c r="LMJ47" s="674"/>
      <c r="LMK47" s="674"/>
      <c r="LML47" s="674"/>
      <c r="LMM47" s="674"/>
      <c r="LMN47" s="674"/>
      <c r="LMO47" s="674"/>
      <c r="LMP47" s="674"/>
      <c r="LMQ47" s="674"/>
      <c r="LMR47" s="674"/>
      <c r="LMS47" s="674"/>
      <c r="LMT47" s="674"/>
      <c r="LMU47" s="674"/>
      <c r="LMV47" s="674"/>
      <c r="LMW47" s="674"/>
      <c r="LMX47" s="674"/>
      <c r="LMY47" s="674"/>
      <c r="LMZ47" s="674"/>
      <c r="LNA47" s="674"/>
      <c r="LNB47" s="674"/>
      <c r="LNC47" s="674"/>
      <c r="LND47" s="674"/>
      <c r="LNE47" s="674"/>
      <c r="LNF47" s="674"/>
      <c r="LNG47" s="674"/>
      <c r="LNH47" s="674"/>
      <c r="LNI47" s="674"/>
      <c r="LNJ47" s="674"/>
      <c r="LNK47" s="674"/>
      <c r="LNL47" s="674"/>
      <c r="LNM47" s="674"/>
      <c r="LNN47" s="674"/>
      <c r="LNO47" s="674"/>
      <c r="LNP47" s="674"/>
      <c r="LNQ47" s="674"/>
      <c r="LNR47" s="674"/>
      <c r="LNS47" s="674"/>
      <c r="LNT47" s="674"/>
      <c r="LNU47" s="674"/>
      <c r="LNV47" s="674"/>
      <c r="LNW47" s="674"/>
      <c r="LNX47" s="674"/>
      <c r="LNY47" s="674"/>
      <c r="LNZ47" s="674"/>
      <c r="LOA47" s="674"/>
      <c r="LOB47" s="674"/>
      <c r="LOC47" s="674"/>
      <c r="LOD47" s="674"/>
      <c r="LOE47" s="674"/>
      <c r="LOF47" s="674"/>
      <c r="LOG47" s="674"/>
      <c r="LOH47" s="674"/>
      <c r="LOI47" s="674"/>
      <c r="LOJ47" s="674"/>
      <c r="LOK47" s="674"/>
      <c r="LOL47" s="674"/>
      <c r="LOM47" s="674"/>
      <c r="LON47" s="674"/>
      <c r="LOO47" s="674"/>
      <c r="LOP47" s="674"/>
      <c r="LOQ47" s="674"/>
      <c r="LOR47" s="674"/>
      <c r="LOS47" s="674"/>
      <c r="LOT47" s="674"/>
      <c r="LOU47" s="674"/>
      <c r="LOV47" s="674"/>
      <c r="LOW47" s="674"/>
      <c r="LOX47" s="674"/>
      <c r="LOY47" s="674"/>
      <c r="LOZ47" s="674"/>
      <c r="LPA47" s="674"/>
      <c r="LPB47" s="674"/>
      <c r="LPC47" s="674"/>
      <c r="LPD47" s="674"/>
      <c r="LPE47" s="674"/>
      <c r="LPF47" s="674"/>
      <c r="LPG47" s="674"/>
      <c r="LPH47" s="674"/>
      <c r="LPI47" s="674"/>
      <c r="LPJ47" s="674"/>
      <c r="LPK47" s="674"/>
      <c r="LPL47" s="674"/>
      <c r="LPM47" s="674"/>
      <c r="LPN47" s="674"/>
      <c r="LPO47" s="674"/>
      <c r="LPP47" s="674"/>
      <c r="LPQ47" s="674"/>
      <c r="LPR47" s="674"/>
      <c r="LPS47" s="674"/>
      <c r="LPT47" s="674"/>
      <c r="LPU47" s="674"/>
      <c r="LPV47" s="674"/>
      <c r="LPW47" s="674"/>
      <c r="LPX47" s="674"/>
      <c r="LPY47" s="674"/>
      <c r="LPZ47" s="674"/>
      <c r="LQA47" s="674"/>
      <c r="LQB47" s="674"/>
      <c r="LQC47" s="674"/>
      <c r="LQD47" s="674"/>
      <c r="LQE47" s="674"/>
      <c r="LQF47" s="674"/>
      <c r="LQG47" s="674"/>
      <c r="LQH47" s="674"/>
      <c r="LQI47" s="674"/>
      <c r="LQJ47" s="674"/>
      <c r="LQK47" s="674"/>
      <c r="LQL47" s="674"/>
      <c r="LQM47" s="674"/>
      <c r="LQN47" s="674"/>
      <c r="LQO47" s="674"/>
      <c r="LQP47" s="674"/>
      <c r="LQQ47" s="674"/>
      <c r="LQR47" s="674"/>
      <c r="LQS47" s="674"/>
      <c r="LQT47" s="674"/>
      <c r="LQU47" s="674"/>
      <c r="LQV47" s="674"/>
      <c r="LQW47" s="674"/>
      <c r="LQX47" s="674"/>
      <c r="LQY47" s="674"/>
      <c r="LQZ47" s="674"/>
      <c r="LRA47" s="674"/>
      <c r="LRB47" s="674"/>
      <c r="LRC47" s="674"/>
      <c r="LRD47" s="674"/>
      <c r="LRE47" s="674"/>
      <c r="LRF47" s="674"/>
      <c r="LRG47" s="674"/>
      <c r="LRH47" s="674"/>
      <c r="LRI47" s="674"/>
      <c r="LRJ47" s="674"/>
      <c r="LRK47" s="674"/>
      <c r="LRL47" s="674"/>
      <c r="LRM47" s="674"/>
      <c r="LRN47" s="674"/>
      <c r="LRO47" s="674"/>
      <c r="LRP47" s="674"/>
      <c r="LRQ47" s="674"/>
      <c r="LRR47" s="674"/>
      <c r="LRS47" s="674"/>
      <c r="LRT47" s="674"/>
      <c r="LRU47" s="674"/>
      <c r="LRV47" s="674"/>
      <c r="LRW47" s="674"/>
      <c r="LRX47" s="674"/>
      <c r="LRY47" s="674"/>
      <c r="LRZ47" s="674"/>
      <c r="LSA47" s="674"/>
      <c r="LSB47" s="674"/>
      <c r="LSC47" s="674"/>
      <c r="LSD47" s="674"/>
      <c r="LSE47" s="674"/>
      <c r="LSF47" s="674"/>
      <c r="LSG47" s="674"/>
      <c r="LSH47" s="674"/>
      <c r="LSI47" s="674"/>
      <c r="LSJ47" s="674"/>
      <c r="LSK47" s="674"/>
      <c r="LSL47" s="674"/>
      <c r="LSM47" s="674"/>
      <c r="LSN47" s="674"/>
      <c r="LSO47" s="674"/>
      <c r="LSP47" s="674"/>
      <c r="LSQ47" s="674"/>
      <c r="LSR47" s="674"/>
      <c r="LSS47" s="674"/>
      <c r="LST47" s="674"/>
      <c r="LSU47" s="674"/>
      <c r="LSV47" s="674"/>
      <c r="LSW47" s="674"/>
      <c r="LSX47" s="674"/>
      <c r="LSY47" s="674"/>
      <c r="LSZ47" s="674"/>
      <c r="LTA47" s="674"/>
      <c r="LTB47" s="674"/>
      <c r="LTC47" s="674"/>
      <c r="LTD47" s="674"/>
      <c r="LTE47" s="674"/>
      <c r="LTF47" s="674"/>
      <c r="LTG47" s="674"/>
      <c r="LTH47" s="674"/>
      <c r="LTI47" s="674"/>
      <c r="LTJ47" s="674"/>
      <c r="LTK47" s="674"/>
      <c r="LTL47" s="674"/>
      <c r="LTM47" s="674"/>
      <c r="LTN47" s="674"/>
      <c r="LTO47" s="674"/>
      <c r="LTP47" s="674"/>
      <c r="LTQ47" s="674"/>
      <c r="LTR47" s="674"/>
      <c r="LTS47" s="674"/>
      <c r="LTT47" s="674"/>
      <c r="LTU47" s="674"/>
      <c r="LTV47" s="674"/>
      <c r="LTW47" s="674"/>
      <c r="LTX47" s="674"/>
      <c r="LTY47" s="674"/>
      <c r="LTZ47" s="674"/>
      <c r="LUA47" s="674"/>
      <c r="LUB47" s="674"/>
      <c r="LUC47" s="674"/>
      <c r="LUD47" s="674"/>
      <c r="LUE47" s="674"/>
      <c r="LUF47" s="674"/>
      <c r="LUG47" s="674"/>
      <c r="LUH47" s="674"/>
      <c r="LUI47" s="674"/>
      <c r="LUJ47" s="674"/>
      <c r="LUK47" s="674"/>
      <c r="LUL47" s="674"/>
      <c r="LUM47" s="674"/>
      <c r="LUN47" s="674"/>
      <c r="LUO47" s="674"/>
      <c r="LUP47" s="674"/>
      <c r="LUQ47" s="674"/>
      <c r="LUR47" s="674"/>
      <c r="LUS47" s="674"/>
      <c r="LUT47" s="674"/>
      <c r="LUU47" s="674"/>
      <c r="LUV47" s="674"/>
      <c r="LUW47" s="674"/>
      <c r="LUX47" s="674"/>
      <c r="LUY47" s="674"/>
      <c r="LUZ47" s="674"/>
      <c r="LVA47" s="674"/>
      <c r="LVB47" s="674"/>
      <c r="LVC47" s="674"/>
      <c r="LVD47" s="674"/>
      <c r="LVE47" s="674"/>
      <c r="LVF47" s="674"/>
      <c r="LVG47" s="674"/>
      <c r="LVH47" s="674"/>
      <c r="LVI47" s="674"/>
      <c r="LVJ47" s="674"/>
      <c r="LVK47" s="674"/>
      <c r="LVL47" s="674"/>
      <c r="LVM47" s="674"/>
      <c r="LVN47" s="674"/>
      <c r="LVO47" s="674"/>
      <c r="LVP47" s="674"/>
      <c r="LVQ47" s="674"/>
      <c r="LVR47" s="674"/>
      <c r="LVS47" s="674"/>
      <c r="LVT47" s="674"/>
      <c r="LVU47" s="674"/>
      <c r="LVV47" s="674"/>
      <c r="LVW47" s="674"/>
      <c r="LVX47" s="674"/>
      <c r="LVY47" s="674"/>
      <c r="LVZ47" s="674"/>
      <c r="LWA47" s="674"/>
      <c r="LWB47" s="674"/>
      <c r="LWC47" s="674"/>
      <c r="LWD47" s="674"/>
      <c r="LWE47" s="674"/>
      <c r="LWF47" s="674"/>
      <c r="LWG47" s="674"/>
      <c r="LWH47" s="674"/>
      <c r="LWI47" s="674"/>
      <c r="LWJ47" s="674"/>
      <c r="LWK47" s="674"/>
      <c r="LWL47" s="674"/>
      <c r="LWM47" s="674"/>
      <c r="LWN47" s="674"/>
      <c r="LWO47" s="674"/>
      <c r="LWP47" s="674"/>
      <c r="LWQ47" s="674"/>
      <c r="LWR47" s="674"/>
      <c r="LWS47" s="674"/>
      <c r="LWT47" s="674"/>
      <c r="LWU47" s="674"/>
      <c r="LWV47" s="674"/>
      <c r="LWW47" s="674"/>
      <c r="LWX47" s="674"/>
      <c r="LWY47" s="674"/>
      <c r="LWZ47" s="674"/>
      <c r="LXA47" s="674"/>
      <c r="LXB47" s="674"/>
      <c r="LXC47" s="674"/>
      <c r="LXD47" s="674"/>
      <c r="LXE47" s="674"/>
      <c r="LXF47" s="674"/>
      <c r="LXG47" s="674"/>
      <c r="LXH47" s="674"/>
      <c r="LXI47" s="674"/>
      <c r="LXJ47" s="674"/>
      <c r="LXK47" s="674"/>
      <c r="LXL47" s="674"/>
      <c r="LXM47" s="674"/>
      <c r="LXN47" s="674"/>
      <c r="LXO47" s="674"/>
      <c r="LXP47" s="674"/>
      <c r="LXQ47" s="674"/>
      <c r="LXR47" s="674"/>
      <c r="LXS47" s="674"/>
      <c r="LXT47" s="674"/>
      <c r="LXU47" s="674"/>
      <c r="LXV47" s="674"/>
      <c r="LXW47" s="674"/>
      <c r="LXX47" s="674"/>
      <c r="LXY47" s="674"/>
      <c r="LXZ47" s="674"/>
      <c r="LYA47" s="674"/>
      <c r="LYB47" s="674"/>
      <c r="LYC47" s="674"/>
      <c r="LYD47" s="674"/>
      <c r="LYE47" s="674"/>
      <c r="LYF47" s="674"/>
      <c r="LYG47" s="674"/>
      <c r="LYH47" s="674"/>
      <c r="LYI47" s="674"/>
      <c r="LYJ47" s="674"/>
      <c r="LYK47" s="674"/>
      <c r="LYL47" s="674"/>
      <c r="LYM47" s="674"/>
      <c r="LYN47" s="674"/>
      <c r="LYO47" s="674"/>
      <c r="LYP47" s="674"/>
      <c r="LYQ47" s="674"/>
      <c r="LYR47" s="674"/>
      <c r="LYS47" s="674"/>
      <c r="LYT47" s="674"/>
      <c r="LYU47" s="674"/>
      <c r="LYV47" s="674"/>
      <c r="LYW47" s="674"/>
      <c r="LYX47" s="674"/>
      <c r="LYY47" s="674"/>
      <c r="LYZ47" s="674"/>
      <c r="LZA47" s="674"/>
      <c r="LZB47" s="674"/>
      <c r="LZC47" s="674"/>
      <c r="LZD47" s="674"/>
      <c r="LZE47" s="674"/>
      <c r="LZF47" s="674"/>
      <c r="LZG47" s="674"/>
      <c r="LZH47" s="674"/>
      <c r="LZI47" s="674"/>
      <c r="LZJ47" s="674"/>
      <c r="LZK47" s="674"/>
      <c r="LZL47" s="674"/>
      <c r="LZM47" s="674"/>
      <c r="LZN47" s="674"/>
      <c r="LZO47" s="674"/>
      <c r="LZP47" s="674"/>
      <c r="LZQ47" s="674"/>
      <c r="LZR47" s="674"/>
      <c r="LZS47" s="674"/>
      <c r="LZT47" s="674"/>
      <c r="LZU47" s="674"/>
      <c r="LZV47" s="674"/>
      <c r="LZW47" s="674"/>
      <c r="LZX47" s="674"/>
      <c r="LZY47" s="674"/>
      <c r="LZZ47" s="674"/>
      <c r="MAA47" s="674"/>
      <c r="MAB47" s="674"/>
      <c r="MAC47" s="674"/>
      <c r="MAD47" s="674"/>
      <c r="MAE47" s="674"/>
      <c r="MAF47" s="674"/>
      <c r="MAG47" s="674"/>
      <c r="MAH47" s="674"/>
      <c r="MAI47" s="674"/>
      <c r="MAJ47" s="674"/>
      <c r="MAK47" s="674"/>
      <c r="MAL47" s="674"/>
      <c r="MAM47" s="674"/>
      <c r="MAN47" s="674"/>
      <c r="MAO47" s="674"/>
      <c r="MAP47" s="674"/>
      <c r="MAQ47" s="674"/>
      <c r="MAR47" s="674"/>
      <c r="MAS47" s="674"/>
      <c r="MAT47" s="674"/>
      <c r="MAU47" s="674"/>
      <c r="MAV47" s="674"/>
      <c r="MAW47" s="674"/>
      <c r="MAX47" s="674"/>
      <c r="MAY47" s="674"/>
      <c r="MAZ47" s="674"/>
      <c r="MBA47" s="674"/>
      <c r="MBB47" s="674"/>
      <c r="MBC47" s="674"/>
      <c r="MBD47" s="674"/>
      <c r="MBE47" s="674"/>
      <c r="MBF47" s="674"/>
      <c r="MBG47" s="674"/>
      <c r="MBH47" s="674"/>
      <c r="MBI47" s="674"/>
      <c r="MBJ47" s="674"/>
      <c r="MBK47" s="674"/>
      <c r="MBL47" s="674"/>
      <c r="MBM47" s="674"/>
      <c r="MBN47" s="674"/>
      <c r="MBO47" s="674"/>
      <c r="MBP47" s="674"/>
      <c r="MBQ47" s="674"/>
      <c r="MBR47" s="674"/>
      <c r="MBS47" s="674"/>
      <c r="MBT47" s="674"/>
      <c r="MBU47" s="674"/>
      <c r="MBV47" s="674"/>
      <c r="MBW47" s="674"/>
      <c r="MBX47" s="674"/>
      <c r="MBY47" s="674"/>
      <c r="MBZ47" s="674"/>
      <c r="MCA47" s="674"/>
      <c r="MCB47" s="674"/>
      <c r="MCC47" s="674"/>
      <c r="MCD47" s="674"/>
      <c r="MCE47" s="674"/>
      <c r="MCF47" s="674"/>
      <c r="MCG47" s="674"/>
      <c r="MCH47" s="674"/>
      <c r="MCI47" s="674"/>
      <c r="MCJ47" s="674"/>
      <c r="MCK47" s="674"/>
      <c r="MCL47" s="674"/>
      <c r="MCM47" s="674"/>
      <c r="MCN47" s="674"/>
      <c r="MCO47" s="674"/>
      <c r="MCP47" s="674"/>
      <c r="MCQ47" s="674"/>
      <c r="MCR47" s="674"/>
      <c r="MCS47" s="674"/>
      <c r="MCT47" s="674"/>
      <c r="MCU47" s="674"/>
      <c r="MCV47" s="674"/>
      <c r="MCW47" s="674"/>
      <c r="MCX47" s="674"/>
      <c r="MCY47" s="674"/>
      <c r="MCZ47" s="674"/>
      <c r="MDA47" s="674"/>
      <c r="MDB47" s="674"/>
      <c r="MDC47" s="674"/>
      <c r="MDD47" s="674"/>
      <c r="MDE47" s="674"/>
      <c r="MDF47" s="674"/>
      <c r="MDG47" s="674"/>
      <c r="MDH47" s="674"/>
      <c r="MDI47" s="674"/>
      <c r="MDJ47" s="674"/>
      <c r="MDK47" s="674"/>
      <c r="MDL47" s="674"/>
      <c r="MDM47" s="674"/>
      <c r="MDN47" s="674"/>
      <c r="MDO47" s="674"/>
      <c r="MDP47" s="674"/>
      <c r="MDQ47" s="674"/>
      <c r="MDR47" s="674"/>
      <c r="MDS47" s="674"/>
      <c r="MDT47" s="674"/>
      <c r="MDU47" s="674"/>
      <c r="MDV47" s="674"/>
      <c r="MDW47" s="674"/>
      <c r="MDX47" s="674"/>
      <c r="MDY47" s="674"/>
      <c r="MDZ47" s="674"/>
      <c r="MEA47" s="674"/>
      <c r="MEB47" s="674"/>
      <c r="MEC47" s="674"/>
      <c r="MED47" s="674"/>
      <c r="MEE47" s="674"/>
      <c r="MEF47" s="674"/>
      <c r="MEG47" s="674"/>
      <c r="MEH47" s="674"/>
      <c r="MEI47" s="674"/>
      <c r="MEJ47" s="674"/>
      <c r="MEK47" s="674"/>
      <c r="MEL47" s="674"/>
      <c r="MEM47" s="674"/>
      <c r="MEN47" s="674"/>
      <c r="MEO47" s="674"/>
      <c r="MEP47" s="674"/>
      <c r="MEQ47" s="674"/>
      <c r="MER47" s="674"/>
      <c r="MES47" s="674"/>
      <c r="MET47" s="674"/>
      <c r="MEU47" s="674"/>
      <c r="MEV47" s="674"/>
      <c r="MEW47" s="674"/>
      <c r="MEX47" s="674"/>
      <c r="MEY47" s="674"/>
      <c r="MEZ47" s="674"/>
      <c r="MFA47" s="674"/>
      <c r="MFB47" s="674"/>
      <c r="MFC47" s="674"/>
      <c r="MFD47" s="674"/>
      <c r="MFE47" s="674"/>
      <c r="MFF47" s="674"/>
      <c r="MFG47" s="674"/>
      <c r="MFH47" s="674"/>
      <c r="MFI47" s="674"/>
      <c r="MFJ47" s="674"/>
      <c r="MFK47" s="674"/>
      <c r="MFL47" s="674"/>
      <c r="MFM47" s="674"/>
      <c r="MFN47" s="674"/>
      <c r="MFO47" s="674"/>
      <c r="MFP47" s="674"/>
      <c r="MFQ47" s="674"/>
      <c r="MFR47" s="674"/>
      <c r="MFS47" s="674"/>
      <c r="MFT47" s="674"/>
      <c r="MFU47" s="674"/>
      <c r="MFV47" s="674"/>
      <c r="MFW47" s="674"/>
      <c r="MFX47" s="674"/>
      <c r="MFY47" s="674"/>
      <c r="MFZ47" s="674"/>
      <c r="MGA47" s="674"/>
      <c r="MGB47" s="674"/>
      <c r="MGC47" s="674"/>
      <c r="MGD47" s="674"/>
      <c r="MGE47" s="674"/>
      <c r="MGF47" s="674"/>
      <c r="MGG47" s="674"/>
      <c r="MGH47" s="674"/>
      <c r="MGI47" s="674"/>
      <c r="MGJ47" s="674"/>
      <c r="MGK47" s="674"/>
      <c r="MGL47" s="674"/>
      <c r="MGM47" s="674"/>
      <c r="MGN47" s="674"/>
      <c r="MGO47" s="674"/>
      <c r="MGP47" s="674"/>
      <c r="MGQ47" s="674"/>
      <c r="MGR47" s="674"/>
      <c r="MGS47" s="674"/>
      <c r="MGT47" s="674"/>
      <c r="MGU47" s="674"/>
      <c r="MGV47" s="674"/>
      <c r="MGW47" s="674"/>
      <c r="MGX47" s="674"/>
      <c r="MGY47" s="674"/>
      <c r="MGZ47" s="674"/>
      <c r="MHA47" s="674"/>
      <c r="MHB47" s="674"/>
      <c r="MHC47" s="674"/>
      <c r="MHD47" s="674"/>
      <c r="MHE47" s="674"/>
      <c r="MHF47" s="674"/>
      <c r="MHG47" s="674"/>
      <c r="MHH47" s="674"/>
      <c r="MHI47" s="674"/>
      <c r="MHJ47" s="674"/>
      <c r="MHK47" s="674"/>
      <c r="MHL47" s="674"/>
      <c r="MHM47" s="674"/>
      <c r="MHN47" s="674"/>
      <c r="MHO47" s="674"/>
      <c r="MHP47" s="674"/>
      <c r="MHQ47" s="674"/>
      <c r="MHR47" s="674"/>
      <c r="MHS47" s="674"/>
      <c r="MHT47" s="674"/>
      <c r="MHU47" s="674"/>
      <c r="MHV47" s="674"/>
      <c r="MHW47" s="674"/>
      <c r="MHX47" s="674"/>
      <c r="MHY47" s="674"/>
      <c r="MHZ47" s="674"/>
      <c r="MIA47" s="674"/>
      <c r="MIB47" s="674"/>
      <c r="MIC47" s="674"/>
      <c r="MID47" s="674"/>
      <c r="MIE47" s="674"/>
      <c r="MIF47" s="674"/>
      <c r="MIG47" s="674"/>
      <c r="MIH47" s="674"/>
      <c r="MII47" s="674"/>
      <c r="MIJ47" s="674"/>
      <c r="MIK47" s="674"/>
      <c r="MIL47" s="674"/>
      <c r="MIM47" s="674"/>
      <c r="MIN47" s="674"/>
      <c r="MIO47" s="674"/>
      <c r="MIP47" s="674"/>
      <c r="MIQ47" s="674"/>
      <c r="MIR47" s="674"/>
      <c r="MIS47" s="674"/>
      <c r="MIT47" s="674"/>
      <c r="MIU47" s="674"/>
      <c r="MIV47" s="674"/>
      <c r="MIW47" s="674"/>
      <c r="MIX47" s="674"/>
      <c r="MIY47" s="674"/>
      <c r="MIZ47" s="674"/>
      <c r="MJA47" s="674"/>
      <c r="MJB47" s="674"/>
      <c r="MJC47" s="674"/>
      <c r="MJD47" s="674"/>
      <c r="MJE47" s="674"/>
      <c r="MJF47" s="674"/>
      <c r="MJG47" s="674"/>
      <c r="MJH47" s="674"/>
      <c r="MJI47" s="674"/>
      <c r="MJJ47" s="674"/>
      <c r="MJK47" s="674"/>
      <c r="MJL47" s="674"/>
      <c r="MJM47" s="674"/>
      <c r="MJN47" s="674"/>
      <c r="MJO47" s="674"/>
      <c r="MJP47" s="674"/>
      <c r="MJQ47" s="674"/>
      <c r="MJR47" s="674"/>
      <c r="MJS47" s="674"/>
      <c r="MJT47" s="674"/>
      <c r="MJU47" s="674"/>
      <c r="MJV47" s="674"/>
      <c r="MJW47" s="674"/>
      <c r="MJX47" s="674"/>
      <c r="MJY47" s="674"/>
      <c r="MJZ47" s="674"/>
      <c r="MKA47" s="674"/>
      <c r="MKB47" s="674"/>
      <c r="MKC47" s="674"/>
      <c r="MKD47" s="674"/>
      <c r="MKE47" s="674"/>
      <c r="MKF47" s="674"/>
      <c r="MKG47" s="674"/>
      <c r="MKH47" s="674"/>
      <c r="MKI47" s="674"/>
      <c r="MKJ47" s="674"/>
      <c r="MKK47" s="674"/>
      <c r="MKL47" s="674"/>
      <c r="MKM47" s="674"/>
      <c r="MKN47" s="674"/>
      <c r="MKO47" s="674"/>
      <c r="MKP47" s="674"/>
      <c r="MKQ47" s="674"/>
      <c r="MKR47" s="674"/>
      <c r="MKS47" s="674"/>
      <c r="MKT47" s="674"/>
      <c r="MKU47" s="674"/>
      <c r="MKV47" s="674"/>
      <c r="MKW47" s="674"/>
      <c r="MKX47" s="674"/>
      <c r="MKY47" s="674"/>
      <c r="MKZ47" s="674"/>
      <c r="MLA47" s="674"/>
      <c r="MLB47" s="674"/>
      <c r="MLC47" s="674"/>
      <c r="MLD47" s="674"/>
      <c r="MLE47" s="674"/>
      <c r="MLF47" s="674"/>
      <c r="MLG47" s="674"/>
      <c r="MLH47" s="674"/>
      <c r="MLI47" s="674"/>
      <c r="MLJ47" s="674"/>
      <c r="MLK47" s="674"/>
      <c r="MLL47" s="674"/>
      <c r="MLM47" s="674"/>
      <c r="MLN47" s="674"/>
      <c r="MLO47" s="674"/>
      <c r="MLP47" s="674"/>
      <c r="MLQ47" s="674"/>
      <c r="MLR47" s="674"/>
      <c r="MLS47" s="674"/>
      <c r="MLT47" s="674"/>
      <c r="MLU47" s="674"/>
      <c r="MLV47" s="674"/>
      <c r="MLW47" s="674"/>
      <c r="MLX47" s="674"/>
      <c r="MLY47" s="674"/>
      <c r="MLZ47" s="674"/>
      <c r="MMA47" s="674"/>
      <c r="MMB47" s="674"/>
      <c r="MMC47" s="674"/>
      <c r="MMD47" s="674"/>
      <c r="MME47" s="674"/>
      <c r="MMF47" s="674"/>
      <c r="MMG47" s="674"/>
      <c r="MMH47" s="674"/>
      <c r="MMI47" s="674"/>
      <c r="MMJ47" s="674"/>
      <c r="MMK47" s="674"/>
      <c r="MML47" s="674"/>
      <c r="MMM47" s="674"/>
      <c r="MMN47" s="674"/>
      <c r="MMO47" s="674"/>
      <c r="MMP47" s="674"/>
      <c r="MMQ47" s="674"/>
      <c r="MMR47" s="674"/>
      <c r="MMS47" s="674"/>
      <c r="MMT47" s="674"/>
      <c r="MMU47" s="674"/>
      <c r="MMV47" s="674"/>
      <c r="MMW47" s="674"/>
      <c r="MMX47" s="674"/>
      <c r="MMY47" s="674"/>
      <c r="MMZ47" s="674"/>
      <c r="MNA47" s="674"/>
      <c r="MNB47" s="674"/>
      <c r="MNC47" s="674"/>
      <c r="MND47" s="674"/>
      <c r="MNE47" s="674"/>
      <c r="MNF47" s="674"/>
      <c r="MNG47" s="674"/>
      <c r="MNH47" s="674"/>
      <c r="MNI47" s="674"/>
      <c r="MNJ47" s="674"/>
      <c r="MNK47" s="674"/>
      <c r="MNL47" s="674"/>
      <c r="MNM47" s="674"/>
      <c r="MNN47" s="674"/>
      <c r="MNO47" s="674"/>
      <c r="MNP47" s="674"/>
      <c r="MNQ47" s="674"/>
      <c r="MNR47" s="674"/>
      <c r="MNS47" s="674"/>
      <c r="MNT47" s="674"/>
      <c r="MNU47" s="674"/>
      <c r="MNV47" s="674"/>
      <c r="MNW47" s="674"/>
      <c r="MNX47" s="674"/>
      <c r="MNY47" s="674"/>
      <c r="MNZ47" s="674"/>
      <c r="MOA47" s="674"/>
      <c r="MOB47" s="674"/>
      <c r="MOC47" s="674"/>
      <c r="MOD47" s="674"/>
      <c r="MOE47" s="674"/>
      <c r="MOF47" s="674"/>
      <c r="MOG47" s="674"/>
      <c r="MOH47" s="674"/>
      <c r="MOI47" s="674"/>
      <c r="MOJ47" s="674"/>
      <c r="MOK47" s="674"/>
      <c r="MOL47" s="674"/>
      <c r="MOM47" s="674"/>
      <c r="MON47" s="674"/>
      <c r="MOO47" s="674"/>
      <c r="MOP47" s="674"/>
      <c r="MOQ47" s="674"/>
      <c r="MOR47" s="674"/>
      <c r="MOS47" s="674"/>
      <c r="MOT47" s="674"/>
      <c r="MOU47" s="674"/>
      <c r="MOV47" s="674"/>
      <c r="MOW47" s="674"/>
      <c r="MOX47" s="674"/>
      <c r="MOY47" s="674"/>
      <c r="MOZ47" s="674"/>
      <c r="MPA47" s="674"/>
      <c r="MPB47" s="674"/>
      <c r="MPC47" s="674"/>
      <c r="MPD47" s="674"/>
      <c r="MPE47" s="674"/>
      <c r="MPF47" s="674"/>
      <c r="MPG47" s="674"/>
      <c r="MPH47" s="674"/>
      <c r="MPI47" s="674"/>
      <c r="MPJ47" s="674"/>
      <c r="MPK47" s="674"/>
      <c r="MPL47" s="674"/>
      <c r="MPM47" s="674"/>
      <c r="MPN47" s="674"/>
      <c r="MPO47" s="674"/>
      <c r="MPP47" s="674"/>
      <c r="MPQ47" s="674"/>
      <c r="MPR47" s="674"/>
      <c r="MPS47" s="674"/>
      <c r="MPT47" s="674"/>
      <c r="MPU47" s="674"/>
      <c r="MPV47" s="674"/>
      <c r="MPW47" s="674"/>
      <c r="MPX47" s="674"/>
      <c r="MPY47" s="674"/>
      <c r="MPZ47" s="674"/>
      <c r="MQA47" s="674"/>
      <c r="MQB47" s="674"/>
      <c r="MQC47" s="674"/>
      <c r="MQD47" s="674"/>
      <c r="MQE47" s="674"/>
      <c r="MQF47" s="674"/>
      <c r="MQG47" s="674"/>
      <c r="MQH47" s="674"/>
      <c r="MQI47" s="674"/>
      <c r="MQJ47" s="674"/>
      <c r="MQK47" s="674"/>
      <c r="MQL47" s="674"/>
      <c r="MQM47" s="674"/>
      <c r="MQN47" s="674"/>
      <c r="MQO47" s="674"/>
      <c r="MQP47" s="674"/>
      <c r="MQQ47" s="674"/>
      <c r="MQR47" s="674"/>
      <c r="MQS47" s="674"/>
      <c r="MQT47" s="674"/>
      <c r="MQU47" s="674"/>
      <c r="MQV47" s="674"/>
      <c r="MQW47" s="674"/>
      <c r="MQX47" s="674"/>
      <c r="MQY47" s="674"/>
      <c r="MQZ47" s="674"/>
      <c r="MRA47" s="674"/>
      <c r="MRB47" s="674"/>
      <c r="MRC47" s="674"/>
      <c r="MRD47" s="674"/>
      <c r="MRE47" s="674"/>
      <c r="MRF47" s="674"/>
      <c r="MRG47" s="674"/>
      <c r="MRH47" s="674"/>
      <c r="MRI47" s="674"/>
      <c r="MRJ47" s="674"/>
      <c r="MRK47" s="674"/>
      <c r="MRL47" s="674"/>
      <c r="MRM47" s="674"/>
      <c r="MRN47" s="674"/>
      <c r="MRO47" s="674"/>
      <c r="MRP47" s="674"/>
      <c r="MRQ47" s="674"/>
      <c r="MRR47" s="674"/>
      <c r="MRS47" s="674"/>
      <c r="MRT47" s="674"/>
      <c r="MRU47" s="674"/>
      <c r="MRV47" s="674"/>
      <c r="MRW47" s="674"/>
      <c r="MRX47" s="674"/>
      <c r="MRY47" s="674"/>
      <c r="MRZ47" s="674"/>
      <c r="MSA47" s="674"/>
      <c r="MSB47" s="674"/>
      <c r="MSC47" s="674"/>
      <c r="MSD47" s="674"/>
      <c r="MSE47" s="674"/>
      <c r="MSF47" s="674"/>
      <c r="MSG47" s="674"/>
      <c r="MSH47" s="674"/>
      <c r="MSI47" s="674"/>
      <c r="MSJ47" s="674"/>
      <c r="MSK47" s="674"/>
      <c r="MSL47" s="674"/>
      <c r="MSM47" s="674"/>
      <c r="MSN47" s="674"/>
      <c r="MSO47" s="674"/>
      <c r="MSP47" s="674"/>
      <c r="MSQ47" s="674"/>
      <c r="MSR47" s="674"/>
      <c r="MSS47" s="674"/>
      <c r="MST47" s="674"/>
      <c r="MSU47" s="674"/>
      <c r="MSV47" s="674"/>
      <c r="MSW47" s="674"/>
      <c r="MSX47" s="674"/>
      <c r="MSY47" s="674"/>
      <c r="MSZ47" s="674"/>
      <c r="MTA47" s="674"/>
      <c r="MTB47" s="674"/>
      <c r="MTC47" s="674"/>
      <c r="MTD47" s="674"/>
      <c r="MTE47" s="674"/>
      <c r="MTF47" s="674"/>
      <c r="MTG47" s="674"/>
      <c r="MTH47" s="674"/>
      <c r="MTI47" s="674"/>
      <c r="MTJ47" s="674"/>
      <c r="MTK47" s="674"/>
      <c r="MTL47" s="674"/>
      <c r="MTM47" s="674"/>
      <c r="MTN47" s="674"/>
      <c r="MTO47" s="674"/>
      <c r="MTP47" s="674"/>
      <c r="MTQ47" s="674"/>
      <c r="MTR47" s="674"/>
      <c r="MTS47" s="674"/>
      <c r="MTT47" s="674"/>
      <c r="MTU47" s="674"/>
      <c r="MTV47" s="674"/>
      <c r="MTW47" s="674"/>
      <c r="MTX47" s="674"/>
      <c r="MTY47" s="674"/>
      <c r="MTZ47" s="674"/>
      <c r="MUA47" s="674"/>
      <c r="MUB47" s="674"/>
      <c r="MUC47" s="674"/>
      <c r="MUD47" s="674"/>
      <c r="MUE47" s="674"/>
      <c r="MUF47" s="674"/>
      <c r="MUG47" s="674"/>
      <c r="MUH47" s="674"/>
      <c r="MUI47" s="674"/>
      <c r="MUJ47" s="674"/>
      <c r="MUK47" s="674"/>
      <c r="MUL47" s="674"/>
      <c r="MUM47" s="674"/>
      <c r="MUN47" s="674"/>
      <c r="MUO47" s="674"/>
      <c r="MUP47" s="674"/>
      <c r="MUQ47" s="674"/>
      <c r="MUR47" s="674"/>
      <c r="MUS47" s="674"/>
      <c r="MUT47" s="674"/>
      <c r="MUU47" s="674"/>
      <c r="MUV47" s="674"/>
      <c r="MUW47" s="674"/>
      <c r="MUX47" s="674"/>
      <c r="MUY47" s="674"/>
      <c r="MUZ47" s="674"/>
      <c r="MVA47" s="674"/>
      <c r="MVB47" s="674"/>
      <c r="MVC47" s="674"/>
      <c r="MVD47" s="674"/>
      <c r="MVE47" s="674"/>
      <c r="MVF47" s="674"/>
      <c r="MVG47" s="674"/>
      <c r="MVH47" s="674"/>
      <c r="MVI47" s="674"/>
      <c r="MVJ47" s="674"/>
      <c r="MVK47" s="674"/>
      <c r="MVL47" s="674"/>
      <c r="MVM47" s="674"/>
      <c r="MVN47" s="674"/>
      <c r="MVO47" s="674"/>
      <c r="MVP47" s="674"/>
      <c r="MVQ47" s="674"/>
      <c r="MVR47" s="674"/>
      <c r="MVS47" s="674"/>
      <c r="MVT47" s="674"/>
      <c r="MVU47" s="674"/>
      <c r="MVV47" s="674"/>
      <c r="MVW47" s="674"/>
      <c r="MVX47" s="674"/>
      <c r="MVY47" s="674"/>
      <c r="MVZ47" s="674"/>
      <c r="MWA47" s="674"/>
      <c r="MWB47" s="674"/>
      <c r="MWC47" s="674"/>
      <c r="MWD47" s="674"/>
      <c r="MWE47" s="674"/>
      <c r="MWF47" s="674"/>
      <c r="MWG47" s="674"/>
      <c r="MWH47" s="674"/>
      <c r="MWI47" s="674"/>
      <c r="MWJ47" s="674"/>
      <c r="MWK47" s="674"/>
      <c r="MWL47" s="674"/>
      <c r="MWM47" s="674"/>
      <c r="MWN47" s="674"/>
      <c r="MWO47" s="674"/>
      <c r="MWP47" s="674"/>
      <c r="MWQ47" s="674"/>
      <c r="MWR47" s="674"/>
      <c r="MWS47" s="674"/>
      <c r="MWT47" s="674"/>
      <c r="MWU47" s="674"/>
      <c r="MWV47" s="674"/>
      <c r="MWW47" s="674"/>
      <c r="MWX47" s="674"/>
      <c r="MWY47" s="674"/>
      <c r="MWZ47" s="674"/>
      <c r="MXA47" s="674"/>
      <c r="MXB47" s="674"/>
      <c r="MXC47" s="674"/>
      <c r="MXD47" s="674"/>
      <c r="MXE47" s="674"/>
      <c r="MXF47" s="674"/>
      <c r="MXG47" s="674"/>
      <c r="MXH47" s="674"/>
      <c r="MXI47" s="674"/>
      <c r="MXJ47" s="674"/>
      <c r="MXK47" s="674"/>
      <c r="MXL47" s="674"/>
      <c r="MXM47" s="674"/>
      <c r="MXN47" s="674"/>
      <c r="MXO47" s="674"/>
      <c r="MXP47" s="674"/>
      <c r="MXQ47" s="674"/>
      <c r="MXR47" s="674"/>
      <c r="MXS47" s="674"/>
      <c r="MXT47" s="674"/>
      <c r="MXU47" s="674"/>
      <c r="MXV47" s="674"/>
      <c r="MXW47" s="674"/>
      <c r="MXX47" s="674"/>
      <c r="MXY47" s="674"/>
      <c r="MXZ47" s="674"/>
      <c r="MYA47" s="674"/>
      <c r="MYB47" s="674"/>
      <c r="MYC47" s="674"/>
      <c r="MYD47" s="674"/>
      <c r="MYE47" s="674"/>
      <c r="MYF47" s="674"/>
      <c r="MYG47" s="674"/>
      <c r="MYH47" s="674"/>
      <c r="MYI47" s="674"/>
      <c r="MYJ47" s="674"/>
      <c r="MYK47" s="674"/>
      <c r="MYL47" s="674"/>
      <c r="MYM47" s="674"/>
      <c r="MYN47" s="674"/>
      <c r="MYO47" s="674"/>
      <c r="MYP47" s="674"/>
      <c r="MYQ47" s="674"/>
      <c r="MYR47" s="674"/>
      <c r="MYS47" s="674"/>
      <c r="MYT47" s="674"/>
      <c r="MYU47" s="674"/>
      <c r="MYV47" s="674"/>
      <c r="MYW47" s="674"/>
      <c r="MYX47" s="674"/>
      <c r="MYY47" s="674"/>
      <c r="MYZ47" s="674"/>
      <c r="MZA47" s="674"/>
      <c r="MZB47" s="674"/>
      <c r="MZC47" s="674"/>
      <c r="MZD47" s="674"/>
      <c r="MZE47" s="674"/>
      <c r="MZF47" s="674"/>
      <c r="MZG47" s="674"/>
      <c r="MZH47" s="674"/>
      <c r="MZI47" s="674"/>
      <c r="MZJ47" s="674"/>
      <c r="MZK47" s="674"/>
      <c r="MZL47" s="674"/>
      <c r="MZM47" s="674"/>
      <c r="MZN47" s="674"/>
      <c r="MZO47" s="674"/>
      <c r="MZP47" s="674"/>
      <c r="MZQ47" s="674"/>
      <c r="MZR47" s="674"/>
      <c r="MZS47" s="674"/>
      <c r="MZT47" s="674"/>
      <c r="MZU47" s="674"/>
      <c r="MZV47" s="674"/>
      <c r="MZW47" s="674"/>
      <c r="MZX47" s="674"/>
      <c r="MZY47" s="674"/>
      <c r="MZZ47" s="674"/>
      <c r="NAA47" s="674"/>
      <c r="NAB47" s="674"/>
      <c r="NAC47" s="674"/>
      <c r="NAD47" s="674"/>
      <c r="NAE47" s="674"/>
      <c r="NAF47" s="674"/>
      <c r="NAG47" s="674"/>
      <c r="NAH47" s="674"/>
      <c r="NAI47" s="674"/>
      <c r="NAJ47" s="674"/>
      <c r="NAK47" s="674"/>
      <c r="NAL47" s="674"/>
      <c r="NAM47" s="674"/>
      <c r="NAN47" s="674"/>
      <c r="NAO47" s="674"/>
      <c r="NAP47" s="674"/>
      <c r="NAQ47" s="674"/>
      <c r="NAR47" s="674"/>
      <c r="NAS47" s="674"/>
      <c r="NAT47" s="674"/>
      <c r="NAU47" s="674"/>
      <c r="NAV47" s="674"/>
      <c r="NAW47" s="674"/>
      <c r="NAX47" s="674"/>
      <c r="NAY47" s="674"/>
      <c r="NAZ47" s="674"/>
      <c r="NBA47" s="674"/>
      <c r="NBB47" s="674"/>
      <c r="NBC47" s="674"/>
      <c r="NBD47" s="674"/>
      <c r="NBE47" s="674"/>
      <c r="NBF47" s="674"/>
      <c r="NBG47" s="674"/>
      <c r="NBH47" s="674"/>
      <c r="NBI47" s="674"/>
      <c r="NBJ47" s="674"/>
      <c r="NBK47" s="674"/>
      <c r="NBL47" s="674"/>
      <c r="NBM47" s="674"/>
      <c r="NBN47" s="674"/>
      <c r="NBO47" s="674"/>
      <c r="NBP47" s="674"/>
      <c r="NBQ47" s="674"/>
      <c r="NBR47" s="674"/>
      <c r="NBS47" s="674"/>
      <c r="NBT47" s="674"/>
      <c r="NBU47" s="674"/>
      <c r="NBV47" s="674"/>
      <c r="NBW47" s="674"/>
      <c r="NBX47" s="674"/>
      <c r="NBY47" s="674"/>
      <c r="NBZ47" s="674"/>
      <c r="NCA47" s="674"/>
      <c r="NCB47" s="674"/>
      <c r="NCC47" s="674"/>
      <c r="NCD47" s="674"/>
      <c r="NCE47" s="674"/>
      <c r="NCF47" s="674"/>
      <c r="NCG47" s="674"/>
      <c r="NCH47" s="674"/>
      <c r="NCI47" s="674"/>
      <c r="NCJ47" s="674"/>
      <c r="NCK47" s="674"/>
      <c r="NCL47" s="674"/>
      <c r="NCM47" s="674"/>
      <c r="NCN47" s="674"/>
      <c r="NCO47" s="674"/>
      <c r="NCP47" s="674"/>
      <c r="NCQ47" s="674"/>
      <c r="NCR47" s="674"/>
      <c r="NCS47" s="674"/>
      <c r="NCT47" s="674"/>
      <c r="NCU47" s="674"/>
      <c r="NCV47" s="674"/>
      <c r="NCW47" s="674"/>
      <c r="NCX47" s="674"/>
      <c r="NCY47" s="674"/>
      <c r="NCZ47" s="674"/>
      <c r="NDA47" s="674"/>
      <c r="NDB47" s="674"/>
      <c r="NDC47" s="674"/>
      <c r="NDD47" s="674"/>
      <c r="NDE47" s="674"/>
      <c r="NDF47" s="674"/>
      <c r="NDG47" s="674"/>
      <c r="NDH47" s="674"/>
      <c r="NDI47" s="674"/>
      <c r="NDJ47" s="674"/>
      <c r="NDK47" s="674"/>
      <c r="NDL47" s="674"/>
      <c r="NDM47" s="674"/>
      <c r="NDN47" s="674"/>
      <c r="NDO47" s="674"/>
      <c r="NDP47" s="674"/>
      <c r="NDQ47" s="674"/>
      <c r="NDR47" s="674"/>
      <c r="NDS47" s="674"/>
      <c r="NDT47" s="674"/>
      <c r="NDU47" s="674"/>
      <c r="NDV47" s="674"/>
      <c r="NDW47" s="674"/>
      <c r="NDX47" s="674"/>
      <c r="NDY47" s="674"/>
      <c r="NDZ47" s="674"/>
      <c r="NEA47" s="674"/>
      <c r="NEB47" s="674"/>
      <c r="NEC47" s="674"/>
      <c r="NED47" s="674"/>
      <c r="NEE47" s="674"/>
      <c r="NEF47" s="674"/>
      <c r="NEG47" s="674"/>
      <c r="NEH47" s="674"/>
      <c r="NEI47" s="674"/>
      <c r="NEJ47" s="674"/>
      <c r="NEK47" s="674"/>
      <c r="NEL47" s="674"/>
      <c r="NEM47" s="674"/>
      <c r="NEN47" s="674"/>
      <c r="NEO47" s="674"/>
      <c r="NEP47" s="674"/>
      <c r="NEQ47" s="674"/>
      <c r="NER47" s="674"/>
      <c r="NES47" s="674"/>
      <c r="NET47" s="674"/>
      <c r="NEU47" s="674"/>
      <c r="NEV47" s="674"/>
      <c r="NEW47" s="674"/>
      <c r="NEX47" s="674"/>
      <c r="NEY47" s="674"/>
      <c r="NEZ47" s="674"/>
      <c r="NFA47" s="674"/>
      <c r="NFB47" s="674"/>
      <c r="NFC47" s="674"/>
      <c r="NFD47" s="674"/>
      <c r="NFE47" s="674"/>
      <c r="NFF47" s="674"/>
      <c r="NFG47" s="674"/>
      <c r="NFH47" s="674"/>
      <c r="NFI47" s="674"/>
      <c r="NFJ47" s="674"/>
      <c r="NFK47" s="674"/>
      <c r="NFL47" s="674"/>
      <c r="NFM47" s="674"/>
      <c r="NFN47" s="674"/>
      <c r="NFO47" s="674"/>
      <c r="NFP47" s="674"/>
      <c r="NFQ47" s="674"/>
      <c r="NFR47" s="674"/>
      <c r="NFS47" s="674"/>
      <c r="NFT47" s="674"/>
      <c r="NFU47" s="674"/>
      <c r="NFV47" s="674"/>
      <c r="NFW47" s="674"/>
      <c r="NFX47" s="674"/>
      <c r="NFY47" s="674"/>
      <c r="NFZ47" s="674"/>
      <c r="NGA47" s="674"/>
      <c r="NGB47" s="674"/>
      <c r="NGC47" s="674"/>
      <c r="NGD47" s="674"/>
      <c r="NGE47" s="674"/>
      <c r="NGF47" s="674"/>
      <c r="NGG47" s="674"/>
      <c r="NGH47" s="674"/>
      <c r="NGI47" s="674"/>
      <c r="NGJ47" s="674"/>
      <c r="NGK47" s="674"/>
      <c r="NGL47" s="674"/>
      <c r="NGM47" s="674"/>
      <c r="NGN47" s="674"/>
      <c r="NGO47" s="674"/>
      <c r="NGP47" s="674"/>
      <c r="NGQ47" s="674"/>
      <c r="NGR47" s="674"/>
      <c r="NGS47" s="674"/>
      <c r="NGT47" s="674"/>
      <c r="NGU47" s="674"/>
      <c r="NGV47" s="674"/>
      <c r="NGW47" s="674"/>
      <c r="NGX47" s="674"/>
      <c r="NGY47" s="674"/>
      <c r="NGZ47" s="674"/>
      <c r="NHA47" s="674"/>
      <c r="NHB47" s="674"/>
      <c r="NHC47" s="674"/>
      <c r="NHD47" s="674"/>
      <c r="NHE47" s="674"/>
      <c r="NHF47" s="674"/>
      <c r="NHG47" s="674"/>
      <c r="NHH47" s="674"/>
      <c r="NHI47" s="674"/>
      <c r="NHJ47" s="674"/>
      <c r="NHK47" s="674"/>
      <c r="NHL47" s="674"/>
      <c r="NHM47" s="674"/>
      <c r="NHN47" s="674"/>
      <c r="NHO47" s="674"/>
      <c r="NHP47" s="674"/>
      <c r="NHQ47" s="674"/>
      <c r="NHR47" s="674"/>
      <c r="NHS47" s="674"/>
      <c r="NHT47" s="674"/>
      <c r="NHU47" s="674"/>
      <c r="NHV47" s="674"/>
      <c r="NHW47" s="674"/>
      <c r="NHX47" s="674"/>
      <c r="NHY47" s="674"/>
      <c r="NHZ47" s="674"/>
      <c r="NIA47" s="674"/>
      <c r="NIB47" s="674"/>
      <c r="NIC47" s="674"/>
      <c r="NID47" s="674"/>
      <c r="NIE47" s="674"/>
      <c r="NIF47" s="674"/>
      <c r="NIG47" s="674"/>
      <c r="NIH47" s="674"/>
      <c r="NII47" s="674"/>
      <c r="NIJ47" s="674"/>
      <c r="NIK47" s="674"/>
      <c r="NIL47" s="674"/>
      <c r="NIM47" s="674"/>
      <c r="NIN47" s="674"/>
      <c r="NIO47" s="674"/>
      <c r="NIP47" s="674"/>
      <c r="NIQ47" s="674"/>
      <c r="NIR47" s="674"/>
      <c r="NIS47" s="674"/>
      <c r="NIT47" s="674"/>
      <c r="NIU47" s="674"/>
      <c r="NIV47" s="674"/>
      <c r="NIW47" s="674"/>
      <c r="NIX47" s="674"/>
      <c r="NIY47" s="674"/>
      <c r="NIZ47" s="674"/>
      <c r="NJA47" s="674"/>
      <c r="NJB47" s="674"/>
      <c r="NJC47" s="674"/>
      <c r="NJD47" s="674"/>
      <c r="NJE47" s="674"/>
      <c r="NJF47" s="674"/>
      <c r="NJG47" s="674"/>
      <c r="NJH47" s="674"/>
      <c r="NJI47" s="674"/>
      <c r="NJJ47" s="674"/>
      <c r="NJK47" s="674"/>
      <c r="NJL47" s="674"/>
      <c r="NJM47" s="674"/>
      <c r="NJN47" s="674"/>
      <c r="NJO47" s="674"/>
      <c r="NJP47" s="674"/>
      <c r="NJQ47" s="674"/>
      <c r="NJR47" s="674"/>
      <c r="NJS47" s="674"/>
      <c r="NJT47" s="674"/>
      <c r="NJU47" s="674"/>
      <c r="NJV47" s="674"/>
      <c r="NJW47" s="674"/>
      <c r="NJX47" s="674"/>
      <c r="NJY47" s="674"/>
      <c r="NJZ47" s="674"/>
      <c r="NKA47" s="674"/>
      <c r="NKB47" s="674"/>
      <c r="NKC47" s="674"/>
      <c r="NKD47" s="674"/>
      <c r="NKE47" s="674"/>
      <c r="NKF47" s="674"/>
      <c r="NKG47" s="674"/>
      <c r="NKH47" s="674"/>
      <c r="NKI47" s="674"/>
      <c r="NKJ47" s="674"/>
      <c r="NKK47" s="674"/>
      <c r="NKL47" s="674"/>
      <c r="NKM47" s="674"/>
      <c r="NKN47" s="674"/>
      <c r="NKO47" s="674"/>
      <c r="NKP47" s="674"/>
      <c r="NKQ47" s="674"/>
      <c r="NKR47" s="674"/>
      <c r="NKS47" s="674"/>
      <c r="NKT47" s="674"/>
      <c r="NKU47" s="674"/>
      <c r="NKV47" s="674"/>
      <c r="NKW47" s="674"/>
      <c r="NKX47" s="674"/>
      <c r="NKY47" s="674"/>
      <c r="NKZ47" s="674"/>
      <c r="NLA47" s="674"/>
      <c r="NLB47" s="674"/>
      <c r="NLC47" s="674"/>
      <c r="NLD47" s="674"/>
      <c r="NLE47" s="674"/>
      <c r="NLF47" s="674"/>
      <c r="NLG47" s="674"/>
      <c r="NLH47" s="674"/>
      <c r="NLI47" s="674"/>
      <c r="NLJ47" s="674"/>
      <c r="NLK47" s="674"/>
      <c r="NLL47" s="674"/>
      <c r="NLM47" s="674"/>
      <c r="NLN47" s="674"/>
      <c r="NLO47" s="674"/>
      <c r="NLP47" s="674"/>
      <c r="NLQ47" s="674"/>
      <c r="NLR47" s="674"/>
      <c r="NLS47" s="674"/>
      <c r="NLT47" s="674"/>
      <c r="NLU47" s="674"/>
      <c r="NLV47" s="674"/>
      <c r="NLW47" s="674"/>
      <c r="NLX47" s="674"/>
      <c r="NLY47" s="674"/>
      <c r="NLZ47" s="674"/>
      <c r="NMA47" s="674"/>
      <c r="NMB47" s="674"/>
      <c r="NMC47" s="674"/>
      <c r="NMD47" s="674"/>
      <c r="NME47" s="674"/>
      <c r="NMF47" s="674"/>
      <c r="NMG47" s="674"/>
      <c r="NMH47" s="674"/>
      <c r="NMI47" s="674"/>
      <c r="NMJ47" s="674"/>
      <c r="NMK47" s="674"/>
      <c r="NML47" s="674"/>
      <c r="NMM47" s="674"/>
      <c r="NMN47" s="674"/>
      <c r="NMO47" s="674"/>
      <c r="NMP47" s="674"/>
      <c r="NMQ47" s="674"/>
      <c r="NMR47" s="674"/>
      <c r="NMS47" s="674"/>
      <c r="NMT47" s="674"/>
      <c r="NMU47" s="674"/>
      <c r="NMV47" s="674"/>
      <c r="NMW47" s="674"/>
      <c r="NMX47" s="674"/>
      <c r="NMY47" s="674"/>
      <c r="NMZ47" s="674"/>
      <c r="NNA47" s="674"/>
      <c r="NNB47" s="674"/>
      <c r="NNC47" s="674"/>
      <c r="NND47" s="674"/>
      <c r="NNE47" s="674"/>
      <c r="NNF47" s="674"/>
      <c r="NNG47" s="674"/>
      <c r="NNH47" s="674"/>
      <c r="NNI47" s="674"/>
      <c r="NNJ47" s="674"/>
      <c r="NNK47" s="674"/>
      <c r="NNL47" s="674"/>
      <c r="NNM47" s="674"/>
      <c r="NNN47" s="674"/>
      <c r="NNO47" s="674"/>
      <c r="NNP47" s="674"/>
      <c r="NNQ47" s="674"/>
      <c r="NNR47" s="674"/>
      <c r="NNS47" s="674"/>
      <c r="NNT47" s="674"/>
      <c r="NNU47" s="674"/>
      <c r="NNV47" s="674"/>
      <c r="NNW47" s="674"/>
      <c r="NNX47" s="674"/>
      <c r="NNY47" s="674"/>
      <c r="NNZ47" s="674"/>
      <c r="NOA47" s="674"/>
      <c r="NOB47" s="674"/>
      <c r="NOC47" s="674"/>
      <c r="NOD47" s="674"/>
      <c r="NOE47" s="674"/>
      <c r="NOF47" s="674"/>
      <c r="NOG47" s="674"/>
      <c r="NOH47" s="674"/>
      <c r="NOI47" s="674"/>
      <c r="NOJ47" s="674"/>
      <c r="NOK47" s="674"/>
      <c r="NOL47" s="674"/>
      <c r="NOM47" s="674"/>
      <c r="NON47" s="674"/>
      <c r="NOO47" s="674"/>
      <c r="NOP47" s="674"/>
      <c r="NOQ47" s="674"/>
      <c r="NOR47" s="674"/>
      <c r="NOS47" s="674"/>
      <c r="NOT47" s="674"/>
      <c r="NOU47" s="674"/>
      <c r="NOV47" s="674"/>
      <c r="NOW47" s="674"/>
      <c r="NOX47" s="674"/>
      <c r="NOY47" s="674"/>
      <c r="NOZ47" s="674"/>
      <c r="NPA47" s="674"/>
      <c r="NPB47" s="674"/>
      <c r="NPC47" s="674"/>
      <c r="NPD47" s="674"/>
      <c r="NPE47" s="674"/>
      <c r="NPF47" s="674"/>
      <c r="NPG47" s="674"/>
      <c r="NPH47" s="674"/>
      <c r="NPI47" s="674"/>
      <c r="NPJ47" s="674"/>
      <c r="NPK47" s="674"/>
      <c r="NPL47" s="674"/>
      <c r="NPM47" s="674"/>
      <c r="NPN47" s="674"/>
      <c r="NPO47" s="674"/>
      <c r="NPP47" s="674"/>
      <c r="NPQ47" s="674"/>
      <c r="NPR47" s="674"/>
      <c r="NPS47" s="674"/>
      <c r="NPT47" s="674"/>
      <c r="NPU47" s="674"/>
      <c r="NPV47" s="674"/>
      <c r="NPW47" s="674"/>
      <c r="NPX47" s="674"/>
      <c r="NPY47" s="674"/>
      <c r="NPZ47" s="674"/>
      <c r="NQA47" s="674"/>
      <c r="NQB47" s="674"/>
      <c r="NQC47" s="674"/>
      <c r="NQD47" s="674"/>
      <c r="NQE47" s="674"/>
      <c r="NQF47" s="674"/>
      <c r="NQG47" s="674"/>
      <c r="NQH47" s="674"/>
      <c r="NQI47" s="674"/>
      <c r="NQJ47" s="674"/>
      <c r="NQK47" s="674"/>
      <c r="NQL47" s="674"/>
      <c r="NQM47" s="674"/>
      <c r="NQN47" s="674"/>
      <c r="NQO47" s="674"/>
      <c r="NQP47" s="674"/>
      <c r="NQQ47" s="674"/>
      <c r="NQR47" s="674"/>
      <c r="NQS47" s="674"/>
      <c r="NQT47" s="674"/>
      <c r="NQU47" s="674"/>
      <c r="NQV47" s="674"/>
      <c r="NQW47" s="674"/>
      <c r="NQX47" s="674"/>
      <c r="NQY47" s="674"/>
      <c r="NQZ47" s="674"/>
      <c r="NRA47" s="674"/>
      <c r="NRB47" s="674"/>
      <c r="NRC47" s="674"/>
      <c r="NRD47" s="674"/>
      <c r="NRE47" s="674"/>
      <c r="NRF47" s="674"/>
      <c r="NRG47" s="674"/>
      <c r="NRH47" s="674"/>
      <c r="NRI47" s="674"/>
      <c r="NRJ47" s="674"/>
      <c r="NRK47" s="674"/>
      <c r="NRL47" s="674"/>
      <c r="NRM47" s="674"/>
      <c r="NRN47" s="674"/>
      <c r="NRO47" s="674"/>
      <c r="NRP47" s="674"/>
      <c r="NRQ47" s="674"/>
      <c r="NRR47" s="674"/>
      <c r="NRS47" s="674"/>
      <c r="NRT47" s="674"/>
      <c r="NRU47" s="674"/>
      <c r="NRV47" s="674"/>
      <c r="NRW47" s="674"/>
      <c r="NRX47" s="674"/>
      <c r="NRY47" s="674"/>
      <c r="NRZ47" s="674"/>
      <c r="NSA47" s="674"/>
      <c r="NSB47" s="674"/>
      <c r="NSC47" s="674"/>
      <c r="NSD47" s="674"/>
      <c r="NSE47" s="674"/>
      <c r="NSF47" s="674"/>
      <c r="NSG47" s="674"/>
      <c r="NSH47" s="674"/>
      <c r="NSI47" s="674"/>
      <c r="NSJ47" s="674"/>
      <c r="NSK47" s="674"/>
      <c r="NSL47" s="674"/>
      <c r="NSM47" s="674"/>
      <c r="NSN47" s="674"/>
      <c r="NSO47" s="674"/>
      <c r="NSP47" s="674"/>
      <c r="NSQ47" s="674"/>
      <c r="NSR47" s="674"/>
      <c r="NSS47" s="674"/>
      <c r="NST47" s="674"/>
      <c r="NSU47" s="674"/>
      <c r="NSV47" s="674"/>
      <c r="NSW47" s="674"/>
      <c r="NSX47" s="674"/>
      <c r="NSY47" s="674"/>
      <c r="NSZ47" s="674"/>
      <c r="NTA47" s="674"/>
      <c r="NTB47" s="674"/>
      <c r="NTC47" s="674"/>
      <c r="NTD47" s="674"/>
      <c r="NTE47" s="674"/>
      <c r="NTF47" s="674"/>
      <c r="NTG47" s="674"/>
      <c r="NTH47" s="674"/>
      <c r="NTI47" s="674"/>
      <c r="NTJ47" s="674"/>
      <c r="NTK47" s="674"/>
      <c r="NTL47" s="674"/>
      <c r="NTM47" s="674"/>
      <c r="NTN47" s="674"/>
      <c r="NTO47" s="674"/>
      <c r="NTP47" s="674"/>
      <c r="NTQ47" s="674"/>
      <c r="NTR47" s="674"/>
      <c r="NTS47" s="674"/>
      <c r="NTT47" s="674"/>
      <c r="NTU47" s="674"/>
      <c r="NTV47" s="674"/>
      <c r="NTW47" s="674"/>
      <c r="NTX47" s="674"/>
      <c r="NTY47" s="674"/>
      <c r="NTZ47" s="674"/>
      <c r="NUA47" s="674"/>
      <c r="NUB47" s="674"/>
      <c r="NUC47" s="674"/>
      <c r="NUD47" s="674"/>
      <c r="NUE47" s="674"/>
      <c r="NUF47" s="674"/>
      <c r="NUG47" s="674"/>
      <c r="NUH47" s="674"/>
      <c r="NUI47" s="674"/>
      <c r="NUJ47" s="674"/>
      <c r="NUK47" s="674"/>
      <c r="NUL47" s="674"/>
      <c r="NUM47" s="674"/>
      <c r="NUN47" s="674"/>
      <c r="NUO47" s="674"/>
      <c r="NUP47" s="674"/>
      <c r="NUQ47" s="674"/>
      <c r="NUR47" s="674"/>
      <c r="NUS47" s="674"/>
      <c r="NUT47" s="674"/>
      <c r="NUU47" s="674"/>
      <c r="NUV47" s="674"/>
      <c r="NUW47" s="674"/>
      <c r="NUX47" s="674"/>
      <c r="NUY47" s="674"/>
      <c r="NUZ47" s="674"/>
      <c r="NVA47" s="674"/>
      <c r="NVB47" s="674"/>
      <c r="NVC47" s="674"/>
      <c r="NVD47" s="674"/>
      <c r="NVE47" s="674"/>
      <c r="NVF47" s="674"/>
      <c r="NVG47" s="674"/>
      <c r="NVH47" s="674"/>
      <c r="NVI47" s="674"/>
      <c r="NVJ47" s="674"/>
      <c r="NVK47" s="674"/>
      <c r="NVL47" s="674"/>
      <c r="NVM47" s="674"/>
      <c r="NVN47" s="674"/>
      <c r="NVO47" s="674"/>
      <c r="NVP47" s="674"/>
      <c r="NVQ47" s="674"/>
      <c r="NVR47" s="674"/>
      <c r="NVS47" s="674"/>
      <c r="NVT47" s="674"/>
      <c r="NVU47" s="674"/>
      <c r="NVV47" s="674"/>
      <c r="NVW47" s="674"/>
      <c r="NVX47" s="674"/>
      <c r="NVY47" s="674"/>
      <c r="NVZ47" s="674"/>
      <c r="NWA47" s="674"/>
      <c r="NWB47" s="674"/>
      <c r="NWC47" s="674"/>
      <c r="NWD47" s="674"/>
      <c r="NWE47" s="674"/>
      <c r="NWF47" s="674"/>
      <c r="NWG47" s="674"/>
      <c r="NWH47" s="674"/>
      <c r="NWI47" s="674"/>
      <c r="NWJ47" s="674"/>
      <c r="NWK47" s="674"/>
      <c r="NWL47" s="674"/>
      <c r="NWM47" s="674"/>
      <c r="NWN47" s="674"/>
      <c r="NWO47" s="674"/>
      <c r="NWP47" s="674"/>
      <c r="NWQ47" s="674"/>
      <c r="NWR47" s="674"/>
      <c r="NWS47" s="674"/>
      <c r="NWT47" s="674"/>
      <c r="NWU47" s="674"/>
      <c r="NWV47" s="674"/>
      <c r="NWW47" s="674"/>
      <c r="NWX47" s="674"/>
      <c r="NWY47" s="674"/>
      <c r="NWZ47" s="674"/>
      <c r="NXA47" s="674"/>
      <c r="NXB47" s="674"/>
      <c r="NXC47" s="674"/>
      <c r="NXD47" s="674"/>
      <c r="NXE47" s="674"/>
      <c r="NXF47" s="674"/>
      <c r="NXG47" s="674"/>
      <c r="NXH47" s="674"/>
      <c r="NXI47" s="674"/>
      <c r="NXJ47" s="674"/>
      <c r="NXK47" s="674"/>
      <c r="NXL47" s="674"/>
      <c r="NXM47" s="674"/>
      <c r="NXN47" s="674"/>
      <c r="NXO47" s="674"/>
      <c r="NXP47" s="674"/>
      <c r="NXQ47" s="674"/>
      <c r="NXR47" s="674"/>
      <c r="NXS47" s="674"/>
      <c r="NXT47" s="674"/>
      <c r="NXU47" s="674"/>
      <c r="NXV47" s="674"/>
      <c r="NXW47" s="674"/>
      <c r="NXX47" s="674"/>
      <c r="NXY47" s="674"/>
      <c r="NXZ47" s="674"/>
      <c r="NYA47" s="674"/>
      <c r="NYB47" s="674"/>
      <c r="NYC47" s="674"/>
      <c r="NYD47" s="674"/>
      <c r="NYE47" s="674"/>
      <c r="NYF47" s="674"/>
      <c r="NYG47" s="674"/>
      <c r="NYH47" s="674"/>
      <c r="NYI47" s="674"/>
      <c r="NYJ47" s="674"/>
      <c r="NYK47" s="674"/>
      <c r="NYL47" s="674"/>
      <c r="NYM47" s="674"/>
      <c r="NYN47" s="674"/>
      <c r="NYO47" s="674"/>
      <c r="NYP47" s="674"/>
      <c r="NYQ47" s="674"/>
      <c r="NYR47" s="674"/>
      <c r="NYS47" s="674"/>
      <c r="NYT47" s="674"/>
      <c r="NYU47" s="674"/>
      <c r="NYV47" s="674"/>
      <c r="NYW47" s="674"/>
      <c r="NYX47" s="674"/>
      <c r="NYY47" s="674"/>
      <c r="NYZ47" s="674"/>
      <c r="NZA47" s="674"/>
      <c r="NZB47" s="674"/>
      <c r="NZC47" s="674"/>
      <c r="NZD47" s="674"/>
      <c r="NZE47" s="674"/>
      <c r="NZF47" s="674"/>
      <c r="NZG47" s="674"/>
      <c r="NZH47" s="674"/>
      <c r="NZI47" s="674"/>
      <c r="NZJ47" s="674"/>
      <c r="NZK47" s="674"/>
      <c r="NZL47" s="674"/>
      <c r="NZM47" s="674"/>
      <c r="NZN47" s="674"/>
      <c r="NZO47" s="674"/>
      <c r="NZP47" s="674"/>
      <c r="NZQ47" s="674"/>
      <c r="NZR47" s="674"/>
      <c r="NZS47" s="674"/>
      <c r="NZT47" s="674"/>
      <c r="NZU47" s="674"/>
      <c r="NZV47" s="674"/>
      <c r="NZW47" s="674"/>
      <c r="NZX47" s="674"/>
      <c r="NZY47" s="674"/>
      <c r="NZZ47" s="674"/>
      <c r="OAA47" s="674"/>
      <c r="OAB47" s="674"/>
      <c r="OAC47" s="674"/>
      <c r="OAD47" s="674"/>
      <c r="OAE47" s="674"/>
      <c r="OAF47" s="674"/>
      <c r="OAG47" s="674"/>
      <c r="OAH47" s="674"/>
      <c r="OAI47" s="674"/>
      <c r="OAJ47" s="674"/>
      <c r="OAK47" s="674"/>
      <c r="OAL47" s="674"/>
      <c r="OAM47" s="674"/>
      <c r="OAN47" s="674"/>
      <c r="OAO47" s="674"/>
      <c r="OAP47" s="674"/>
      <c r="OAQ47" s="674"/>
      <c r="OAR47" s="674"/>
      <c r="OAS47" s="674"/>
      <c r="OAT47" s="674"/>
      <c r="OAU47" s="674"/>
      <c r="OAV47" s="674"/>
      <c r="OAW47" s="674"/>
      <c r="OAX47" s="674"/>
      <c r="OAY47" s="674"/>
      <c r="OAZ47" s="674"/>
      <c r="OBA47" s="674"/>
      <c r="OBB47" s="674"/>
      <c r="OBC47" s="674"/>
      <c r="OBD47" s="674"/>
      <c r="OBE47" s="674"/>
      <c r="OBF47" s="674"/>
      <c r="OBG47" s="674"/>
      <c r="OBH47" s="674"/>
      <c r="OBI47" s="674"/>
      <c r="OBJ47" s="674"/>
      <c r="OBK47" s="674"/>
      <c r="OBL47" s="674"/>
      <c r="OBM47" s="674"/>
      <c r="OBN47" s="674"/>
      <c r="OBO47" s="674"/>
      <c r="OBP47" s="674"/>
      <c r="OBQ47" s="674"/>
      <c r="OBR47" s="674"/>
      <c r="OBS47" s="674"/>
      <c r="OBT47" s="674"/>
      <c r="OBU47" s="674"/>
      <c r="OBV47" s="674"/>
      <c r="OBW47" s="674"/>
      <c r="OBX47" s="674"/>
      <c r="OBY47" s="674"/>
      <c r="OBZ47" s="674"/>
      <c r="OCA47" s="674"/>
      <c r="OCB47" s="674"/>
      <c r="OCC47" s="674"/>
      <c r="OCD47" s="674"/>
      <c r="OCE47" s="674"/>
      <c r="OCF47" s="674"/>
      <c r="OCG47" s="674"/>
      <c r="OCH47" s="674"/>
      <c r="OCI47" s="674"/>
      <c r="OCJ47" s="674"/>
      <c r="OCK47" s="674"/>
      <c r="OCL47" s="674"/>
      <c r="OCM47" s="674"/>
      <c r="OCN47" s="674"/>
      <c r="OCO47" s="674"/>
      <c r="OCP47" s="674"/>
      <c r="OCQ47" s="674"/>
      <c r="OCR47" s="674"/>
      <c r="OCS47" s="674"/>
      <c r="OCT47" s="674"/>
      <c r="OCU47" s="674"/>
      <c r="OCV47" s="674"/>
      <c r="OCW47" s="674"/>
      <c r="OCX47" s="674"/>
      <c r="OCY47" s="674"/>
      <c r="OCZ47" s="674"/>
      <c r="ODA47" s="674"/>
      <c r="ODB47" s="674"/>
      <c r="ODC47" s="674"/>
      <c r="ODD47" s="674"/>
      <c r="ODE47" s="674"/>
      <c r="ODF47" s="674"/>
      <c r="ODG47" s="674"/>
      <c r="ODH47" s="674"/>
      <c r="ODI47" s="674"/>
      <c r="ODJ47" s="674"/>
      <c r="ODK47" s="674"/>
      <c r="ODL47" s="674"/>
      <c r="ODM47" s="674"/>
      <c r="ODN47" s="674"/>
      <c r="ODO47" s="674"/>
      <c r="ODP47" s="674"/>
      <c r="ODQ47" s="674"/>
      <c r="ODR47" s="674"/>
      <c r="ODS47" s="674"/>
      <c r="ODT47" s="674"/>
      <c r="ODU47" s="674"/>
      <c r="ODV47" s="674"/>
      <c r="ODW47" s="674"/>
      <c r="ODX47" s="674"/>
      <c r="ODY47" s="674"/>
      <c r="ODZ47" s="674"/>
      <c r="OEA47" s="674"/>
      <c r="OEB47" s="674"/>
      <c r="OEC47" s="674"/>
      <c r="OED47" s="674"/>
      <c r="OEE47" s="674"/>
      <c r="OEF47" s="674"/>
      <c r="OEG47" s="674"/>
      <c r="OEH47" s="674"/>
      <c r="OEI47" s="674"/>
      <c r="OEJ47" s="674"/>
      <c r="OEK47" s="674"/>
      <c r="OEL47" s="674"/>
      <c r="OEM47" s="674"/>
      <c r="OEN47" s="674"/>
      <c r="OEO47" s="674"/>
      <c r="OEP47" s="674"/>
      <c r="OEQ47" s="674"/>
      <c r="OER47" s="674"/>
      <c r="OES47" s="674"/>
      <c r="OET47" s="674"/>
      <c r="OEU47" s="674"/>
      <c r="OEV47" s="674"/>
      <c r="OEW47" s="674"/>
      <c r="OEX47" s="674"/>
      <c r="OEY47" s="674"/>
      <c r="OEZ47" s="674"/>
      <c r="OFA47" s="674"/>
      <c r="OFB47" s="674"/>
      <c r="OFC47" s="674"/>
      <c r="OFD47" s="674"/>
      <c r="OFE47" s="674"/>
      <c r="OFF47" s="674"/>
      <c r="OFG47" s="674"/>
      <c r="OFH47" s="674"/>
      <c r="OFI47" s="674"/>
      <c r="OFJ47" s="674"/>
      <c r="OFK47" s="674"/>
      <c r="OFL47" s="674"/>
      <c r="OFM47" s="674"/>
      <c r="OFN47" s="674"/>
      <c r="OFO47" s="674"/>
      <c r="OFP47" s="674"/>
      <c r="OFQ47" s="674"/>
      <c r="OFR47" s="674"/>
      <c r="OFS47" s="674"/>
      <c r="OFT47" s="674"/>
      <c r="OFU47" s="674"/>
      <c r="OFV47" s="674"/>
      <c r="OFW47" s="674"/>
      <c r="OFX47" s="674"/>
      <c r="OFY47" s="674"/>
      <c r="OFZ47" s="674"/>
      <c r="OGA47" s="674"/>
      <c r="OGB47" s="674"/>
      <c r="OGC47" s="674"/>
      <c r="OGD47" s="674"/>
      <c r="OGE47" s="674"/>
      <c r="OGF47" s="674"/>
      <c r="OGG47" s="674"/>
      <c r="OGH47" s="674"/>
      <c r="OGI47" s="674"/>
      <c r="OGJ47" s="674"/>
      <c r="OGK47" s="674"/>
      <c r="OGL47" s="674"/>
      <c r="OGM47" s="674"/>
      <c r="OGN47" s="674"/>
      <c r="OGO47" s="674"/>
      <c r="OGP47" s="674"/>
      <c r="OGQ47" s="674"/>
      <c r="OGR47" s="674"/>
      <c r="OGS47" s="674"/>
      <c r="OGT47" s="674"/>
      <c r="OGU47" s="674"/>
      <c r="OGV47" s="674"/>
      <c r="OGW47" s="674"/>
      <c r="OGX47" s="674"/>
      <c r="OGY47" s="674"/>
      <c r="OGZ47" s="674"/>
      <c r="OHA47" s="674"/>
      <c r="OHB47" s="674"/>
      <c r="OHC47" s="674"/>
      <c r="OHD47" s="674"/>
      <c r="OHE47" s="674"/>
      <c r="OHF47" s="674"/>
      <c r="OHG47" s="674"/>
      <c r="OHH47" s="674"/>
      <c r="OHI47" s="674"/>
      <c r="OHJ47" s="674"/>
      <c r="OHK47" s="674"/>
      <c r="OHL47" s="674"/>
      <c r="OHM47" s="674"/>
      <c r="OHN47" s="674"/>
      <c r="OHO47" s="674"/>
      <c r="OHP47" s="674"/>
      <c r="OHQ47" s="674"/>
      <c r="OHR47" s="674"/>
      <c r="OHS47" s="674"/>
      <c r="OHT47" s="674"/>
      <c r="OHU47" s="674"/>
      <c r="OHV47" s="674"/>
      <c r="OHW47" s="674"/>
      <c r="OHX47" s="674"/>
      <c r="OHY47" s="674"/>
      <c r="OHZ47" s="674"/>
      <c r="OIA47" s="674"/>
      <c r="OIB47" s="674"/>
      <c r="OIC47" s="674"/>
      <c r="OID47" s="674"/>
      <c r="OIE47" s="674"/>
      <c r="OIF47" s="674"/>
      <c r="OIG47" s="674"/>
      <c r="OIH47" s="674"/>
      <c r="OII47" s="674"/>
      <c r="OIJ47" s="674"/>
      <c r="OIK47" s="674"/>
      <c r="OIL47" s="674"/>
      <c r="OIM47" s="674"/>
      <c r="OIN47" s="674"/>
      <c r="OIO47" s="674"/>
      <c r="OIP47" s="674"/>
      <c r="OIQ47" s="674"/>
      <c r="OIR47" s="674"/>
      <c r="OIS47" s="674"/>
      <c r="OIT47" s="674"/>
      <c r="OIU47" s="674"/>
      <c r="OIV47" s="674"/>
      <c r="OIW47" s="674"/>
      <c r="OIX47" s="674"/>
      <c r="OIY47" s="674"/>
      <c r="OIZ47" s="674"/>
      <c r="OJA47" s="674"/>
      <c r="OJB47" s="674"/>
      <c r="OJC47" s="674"/>
      <c r="OJD47" s="674"/>
      <c r="OJE47" s="674"/>
      <c r="OJF47" s="674"/>
      <c r="OJG47" s="674"/>
      <c r="OJH47" s="674"/>
      <c r="OJI47" s="674"/>
      <c r="OJJ47" s="674"/>
      <c r="OJK47" s="674"/>
      <c r="OJL47" s="674"/>
      <c r="OJM47" s="674"/>
      <c r="OJN47" s="674"/>
      <c r="OJO47" s="674"/>
      <c r="OJP47" s="674"/>
      <c r="OJQ47" s="674"/>
      <c r="OJR47" s="674"/>
      <c r="OJS47" s="674"/>
      <c r="OJT47" s="674"/>
      <c r="OJU47" s="674"/>
      <c r="OJV47" s="674"/>
      <c r="OJW47" s="674"/>
      <c r="OJX47" s="674"/>
      <c r="OJY47" s="674"/>
      <c r="OJZ47" s="674"/>
      <c r="OKA47" s="674"/>
      <c r="OKB47" s="674"/>
      <c r="OKC47" s="674"/>
      <c r="OKD47" s="674"/>
      <c r="OKE47" s="674"/>
      <c r="OKF47" s="674"/>
      <c r="OKG47" s="674"/>
      <c r="OKH47" s="674"/>
      <c r="OKI47" s="674"/>
      <c r="OKJ47" s="674"/>
      <c r="OKK47" s="674"/>
      <c r="OKL47" s="674"/>
      <c r="OKM47" s="674"/>
      <c r="OKN47" s="674"/>
      <c r="OKO47" s="674"/>
      <c r="OKP47" s="674"/>
      <c r="OKQ47" s="674"/>
      <c r="OKR47" s="674"/>
      <c r="OKS47" s="674"/>
      <c r="OKT47" s="674"/>
      <c r="OKU47" s="674"/>
      <c r="OKV47" s="674"/>
      <c r="OKW47" s="674"/>
      <c r="OKX47" s="674"/>
      <c r="OKY47" s="674"/>
      <c r="OKZ47" s="674"/>
      <c r="OLA47" s="674"/>
      <c r="OLB47" s="674"/>
      <c r="OLC47" s="674"/>
      <c r="OLD47" s="674"/>
      <c r="OLE47" s="674"/>
      <c r="OLF47" s="674"/>
      <c r="OLG47" s="674"/>
      <c r="OLH47" s="674"/>
      <c r="OLI47" s="674"/>
      <c r="OLJ47" s="674"/>
      <c r="OLK47" s="674"/>
      <c r="OLL47" s="674"/>
      <c r="OLM47" s="674"/>
      <c r="OLN47" s="674"/>
      <c r="OLO47" s="674"/>
      <c r="OLP47" s="674"/>
      <c r="OLQ47" s="674"/>
      <c r="OLR47" s="674"/>
      <c r="OLS47" s="674"/>
      <c r="OLT47" s="674"/>
      <c r="OLU47" s="674"/>
      <c r="OLV47" s="674"/>
      <c r="OLW47" s="674"/>
      <c r="OLX47" s="674"/>
      <c r="OLY47" s="674"/>
      <c r="OLZ47" s="674"/>
      <c r="OMA47" s="674"/>
      <c r="OMB47" s="674"/>
      <c r="OMC47" s="674"/>
      <c r="OMD47" s="674"/>
      <c r="OME47" s="674"/>
      <c r="OMF47" s="674"/>
      <c r="OMG47" s="674"/>
      <c r="OMH47" s="674"/>
      <c r="OMI47" s="674"/>
      <c r="OMJ47" s="674"/>
      <c r="OMK47" s="674"/>
      <c r="OML47" s="674"/>
      <c r="OMM47" s="674"/>
      <c r="OMN47" s="674"/>
      <c r="OMO47" s="674"/>
      <c r="OMP47" s="674"/>
      <c r="OMQ47" s="674"/>
      <c r="OMR47" s="674"/>
      <c r="OMS47" s="674"/>
      <c r="OMT47" s="674"/>
      <c r="OMU47" s="674"/>
      <c r="OMV47" s="674"/>
      <c r="OMW47" s="674"/>
      <c r="OMX47" s="674"/>
      <c r="OMY47" s="674"/>
      <c r="OMZ47" s="674"/>
      <c r="ONA47" s="674"/>
      <c r="ONB47" s="674"/>
      <c r="ONC47" s="674"/>
      <c r="OND47" s="674"/>
      <c r="ONE47" s="674"/>
      <c r="ONF47" s="674"/>
      <c r="ONG47" s="674"/>
      <c r="ONH47" s="674"/>
      <c r="ONI47" s="674"/>
      <c r="ONJ47" s="674"/>
      <c r="ONK47" s="674"/>
      <c r="ONL47" s="674"/>
      <c r="ONM47" s="674"/>
      <c r="ONN47" s="674"/>
      <c r="ONO47" s="674"/>
      <c r="ONP47" s="674"/>
      <c r="ONQ47" s="674"/>
      <c r="ONR47" s="674"/>
      <c r="ONS47" s="674"/>
      <c r="ONT47" s="674"/>
      <c r="ONU47" s="674"/>
      <c r="ONV47" s="674"/>
      <c r="ONW47" s="674"/>
      <c r="ONX47" s="674"/>
      <c r="ONY47" s="674"/>
      <c r="ONZ47" s="674"/>
      <c r="OOA47" s="674"/>
      <c r="OOB47" s="674"/>
      <c r="OOC47" s="674"/>
      <c r="OOD47" s="674"/>
      <c r="OOE47" s="674"/>
      <c r="OOF47" s="674"/>
      <c r="OOG47" s="674"/>
      <c r="OOH47" s="674"/>
      <c r="OOI47" s="674"/>
      <c r="OOJ47" s="674"/>
      <c r="OOK47" s="674"/>
      <c r="OOL47" s="674"/>
      <c r="OOM47" s="674"/>
      <c r="OON47" s="674"/>
      <c r="OOO47" s="674"/>
      <c r="OOP47" s="674"/>
      <c r="OOQ47" s="674"/>
      <c r="OOR47" s="674"/>
      <c r="OOS47" s="674"/>
      <c r="OOT47" s="674"/>
      <c r="OOU47" s="674"/>
      <c r="OOV47" s="674"/>
      <c r="OOW47" s="674"/>
      <c r="OOX47" s="674"/>
      <c r="OOY47" s="674"/>
      <c r="OOZ47" s="674"/>
      <c r="OPA47" s="674"/>
      <c r="OPB47" s="674"/>
      <c r="OPC47" s="674"/>
      <c r="OPD47" s="674"/>
      <c r="OPE47" s="674"/>
      <c r="OPF47" s="674"/>
      <c r="OPG47" s="674"/>
      <c r="OPH47" s="674"/>
      <c r="OPI47" s="674"/>
      <c r="OPJ47" s="674"/>
      <c r="OPK47" s="674"/>
      <c r="OPL47" s="674"/>
      <c r="OPM47" s="674"/>
      <c r="OPN47" s="674"/>
      <c r="OPO47" s="674"/>
      <c r="OPP47" s="674"/>
      <c r="OPQ47" s="674"/>
      <c r="OPR47" s="674"/>
      <c r="OPS47" s="674"/>
      <c r="OPT47" s="674"/>
      <c r="OPU47" s="674"/>
      <c r="OPV47" s="674"/>
      <c r="OPW47" s="674"/>
      <c r="OPX47" s="674"/>
      <c r="OPY47" s="674"/>
      <c r="OPZ47" s="674"/>
      <c r="OQA47" s="674"/>
      <c r="OQB47" s="674"/>
      <c r="OQC47" s="674"/>
      <c r="OQD47" s="674"/>
      <c r="OQE47" s="674"/>
      <c r="OQF47" s="674"/>
      <c r="OQG47" s="674"/>
      <c r="OQH47" s="674"/>
      <c r="OQI47" s="674"/>
      <c r="OQJ47" s="674"/>
      <c r="OQK47" s="674"/>
      <c r="OQL47" s="674"/>
      <c r="OQM47" s="674"/>
      <c r="OQN47" s="674"/>
      <c r="OQO47" s="674"/>
      <c r="OQP47" s="674"/>
      <c r="OQQ47" s="674"/>
      <c r="OQR47" s="674"/>
      <c r="OQS47" s="674"/>
      <c r="OQT47" s="674"/>
      <c r="OQU47" s="674"/>
      <c r="OQV47" s="674"/>
      <c r="OQW47" s="674"/>
      <c r="OQX47" s="674"/>
      <c r="OQY47" s="674"/>
      <c r="OQZ47" s="674"/>
      <c r="ORA47" s="674"/>
      <c r="ORB47" s="674"/>
      <c r="ORC47" s="674"/>
      <c r="ORD47" s="674"/>
      <c r="ORE47" s="674"/>
      <c r="ORF47" s="674"/>
      <c r="ORG47" s="674"/>
      <c r="ORH47" s="674"/>
      <c r="ORI47" s="674"/>
      <c r="ORJ47" s="674"/>
      <c r="ORK47" s="674"/>
      <c r="ORL47" s="674"/>
      <c r="ORM47" s="674"/>
      <c r="ORN47" s="674"/>
      <c r="ORO47" s="674"/>
      <c r="ORP47" s="674"/>
      <c r="ORQ47" s="674"/>
      <c r="ORR47" s="674"/>
      <c r="ORS47" s="674"/>
      <c r="ORT47" s="674"/>
      <c r="ORU47" s="674"/>
      <c r="ORV47" s="674"/>
      <c r="ORW47" s="674"/>
      <c r="ORX47" s="674"/>
      <c r="ORY47" s="674"/>
      <c r="ORZ47" s="674"/>
      <c r="OSA47" s="674"/>
      <c r="OSB47" s="674"/>
      <c r="OSC47" s="674"/>
      <c r="OSD47" s="674"/>
      <c r="OSE47" s="674"/>
      <c r="OSF47" s="674"/>
      <c r="OSG47" s="674"/>
      <c r="OSH47" s="674"/>
      <c r="OSI47" s="674"/>
      <c r="OSJ47" s="674"/>
      <c r="OSK47" s="674"/>
      <c r="OSL47" s="674"/>
      <c r="OSM47" s="674"/>
      <c r="OSN47" s="674"/>
      <c r="OSO47" s="674"/>
      <c r="OSP47" s="674"/>
      <c r="OSQ47" s="674"/>
      <c r="OSR47" s="674"/>
      <c r="OSS47" s="674"/>
      <c r="OST47" s="674"/>
      <c r="OSU47" s="674"/>
      <c r="OSV47" s="674"/>
      <c r="OSW47" s="674"/>
      <c r="OSX47" s="674"/>
      <c r="OSY47" s="674"/>
      <c r="OSZ47" s="674"/>
      <c r="OTA47" s="674"/>
      <c r="OTB47" s="674"/>
      <c r="OTC47" s="674"/>
      <c r="OTD47" s="674"/>
      <c r="OTE47" s="674"/>
      <c r="OTF47" s="674"/>
      <c r="OTG47" s="674"/>
      <c r="OTH47" s="674"/>
      <c r="OTI47" s="674"/>
      <c r="OTJ47" s="674"/>
      <c r="OTK47" s="674"/>
      <c r="OTL47" s="674"/>
      <c r="OTM47" s="674"/>
      <c r="OTN47" s="674"/>
      <c r="OTO47" s="674"/>
      <c r="OTP47" s="674"/>
      <c r="OTQ47" s="674"/>
      <c r="OTR47" s="674"/>
      <c r="OTS47" s="674"/>
      <c r="OTT47" s="674"/>
      <c r="OTU47" s="674"/>
      <c r="OTV47" s="674"/>
      <c r="OTW47" s="674"/>
      <c r="OTX47" s="674"/>
      <c r="OTY47" s="674"/>
      <c r="OTZ47" s="674"/>
      <c r="OUA47" s="674"/>
      <c r="OUB47" s="674"/>
      <c r="OUC47" s="674"/>
      <c r="OUD47" s="674"/>
      <c r="OUE47" s="674"/>
      <c r="OUF47" s="674"/>
      <c r="OUG47" s="674"/>
      <c r="OUH47" s="674"/>
      <c r="OUI47" s="674"/>
      <c r="OUJ47" s="674"/>
      <c r="OUK47" s="674"/>
      <c r="OUL47" s="674"/>
      <c r="OUM47" s="674"/>
      <c r="OUN47" s="674"/>
      <c r="OUO47" s="674"/>
      <c r="OUP47" s="674"/>
      <c r="OUQ47" s="674"/>
      <c r="OUR47" s="674"/>
      <c r="OUS47" s="674"/>
      <c r="OUT47" s="674"/>
      <c r="OUU47" s="674"/>
      <c r="OUV47" s="674"/>
      <c r="OUW47" s="674"/>
      <c r="OUX47" s="674"/>
      <c r="OUY47" s="674"/>
      <c r="OUZ47" s="674"/>
      <c r="OVA47" s="674"/>
      <c r="OVB47" s="674"/>
      <c r="OVC47" s="674"/>
      <c r="OVD47" s="674"/>
      <c r="OVE47" s="674"/>
      <c r="OVF47" s="674"/>
      <c r="OVG47" s="674"/>
      <c r="OVH47" s="674"/>
      <c r="OVI47" s="674"/>
      <c r="OVJ47" s="674"/>
      <c r="OVK47" s="674"/>
      <c r="OVL47" s="674"/>
      <c r="OVM47" s="674"/>
      <c r="OVN47" s="674"/>
      <c r="OVO47" s="674"/>
      <c r="OVP47" s="674"/>
      <c r="OVQ47" s="674"/>
      <c r="OVR47" s="674"/>
      <c r="OVS47" s="674"/>
      <c r="OVT47" s="674"/>
      <c r="OVU47" s="674"/>
      <c r="OVV47" s="674"/>
      <c r="OVW47" s="674"/>
      <c r="OVX47" s="674"/>
      <c r="OVY47" s="674"/>
      <c r="OVZ47" s="674"/>
      <c r="OWA47" s="674"/>
      <c r="OWB47" s="674"/>
      <c r="OWC47" s="674"/>
      <c r="OWD47" s="674"/>
      <c r="OWE47" s="674"/>
      <c r="OWF47" s="674"/>
      <c r="OWG47" s="674"/>
      <c r="OWH47" s="674"/>
      <c r="OWI47" s="674"/>
      <c r="OWJ47" s="674"/>
      <c r="OWK47" s="674"/>
      <c r="OWL47" s="674"/>
      <c r="OWM47" s="674"/>
      <c r="OWN47" s="674"/>
      <c r="OWO47" s="674"/>
      <c r="OWP47" s="674"/>
      <c r="OWQ47" s="674"/>
      <c r="OWR47" s="674"/>
      <c r="OWS47" s="674"/>
      <c r="OWT47" s="674"/>
      <c r="OWU47" s="674"/>
      <c r="OWV47" s="674"/>
      <c r="OWW47" s="674"/>
      <c r="OWX47" s="674"/>
      <c r="OWY47" s="674"/>
      <c r="OWZ47" s="674"/>
      <c r="OXA47" s="674"/>
      <c r="OXB47" s="674"/>
      <c r="OXC47" s="674"/>
      <c r="OXD47" s="674"/>
      <c r="OXE47" s="674"/>
      <c r="OXF47" s="674"/>
      <c r="OXG47" s="674"/>
      <c r="OXH47" s="674"/>
      <c r="OXI47" s="674"/>
      <c r="OXJ47" s="674"/>
      <c r="OXK47" s="674"/>
      <c r="OXL47" s="674"/>
      <c r="OXM47" s="674"/>
      <c r="OXN47" s="674"/>
      <c r="OXO47" s="674"/>
      <c r="OXP47" s="674"/>
      <c r="OXQ47" s="674"/>
      <c r="OXR47" s="674"/>
      <c r="OXS47" s="674"/>
      <c r="OXT47" s="674"/>
      <c r="OXU47" s="674"/>
      <c r="OXV47" s="674"/>
      <c r="OXW47" s="674"/>
      <c r="OXX47" s="674"/>
      <c r="OXY47" s="674"/>
      <c r="OXZ47" s="674"/>
      <c r="OYA47" s="674"/>
      <c r="OYB47" s="674"/>
      <c r="OYC47" s="674"/>
      <c r="OYD47" s="674"/>
      <c r="OYE47" s="674"/>
      <c r="OYF47" s="674"/>
      <c r="OYG47" s="674"/>
      <c r="OYH47" s="674"/>
      <c r="OYI47" s="674"/>
      <c r="OYJ47" s="674"/>
      <c r="OYK47" s="674"/>
      <c r="OYL47" s="674"/>
      <c r="OYM47" s="674"/>
      <c r="OYN47" s="674"/>
      <c r="OYO47" s="674"/>
      <c r="OYP47" s="674"/>
      <c r="OYQ47" s="674"/>
      <c r="OYR47" s="674"/>
      <c r="OYS47" s="674"/>
      <c r="OYT47" s="674"/>
      <c r="OYU47" s="674"/>
      <c r="OYV47" s="674"/>
      <c r="OYW47" s="674"/>
      <c r="OYX47" s="674"/>
      <c r="OYY47" s="674"/>
      <c r="OYZ47" s="674"/>
      <c r="OZA47" s="674"/>
      <c r="OZB47" s="674"/>
      <c r="OZC47" s="674"/>
      <c r="OZD47" s="674"/>
      <c r="OZE47" s="674"/>
      <c r="OZF47" s="674"/>
      <c r="OZG47" s="674"/>
      <c r="OZH47" s="674"/>
      <c r="OZI47" s="674"/>
      <c r="OZJ47" s="674"/>
      <c r="OZK47" s="674"/>
      <c r="OZL47" s="674"/>
      <c r="OZM47" s="674"/>
      <c r="OZN47" s="674"/>
      <c r="OZO47" s="674"/>
      <c r="OZP47" s="674"/>
      <c r="OZQ47" s="674"/>
      <c r="OZR47" s="674"/>
      <c r="OZS47" s="674"/>
      <c r="OZT47" s="674"/>
      <c r="OZU47" s="674"/>
      <c r="OZV47" s="674"/>
      <c r="OZW47" s="674"/>
      <c r="OZX47" s="674"/>
      <c r="OZY47" s="674"/>
      <c r="OZZ47" s="674"/>
      <c r="PAA47" s="674"/>
      <c r="PAB47" s="674"/>
      <c r="PAC47" s="674"/>
      <c r="PAD47" s="674"/>
      <c r="PAE47" s="674"/>
      <c r="PAF47" s="674"/>
      <c r="PAG47" s="674"/>
      <c r="PAH47" s="674"/>
      <c r="PAI47" s="674"/>
      <c r="PAJ47" s="674"/>
      <c r="PAK47" s="674"/>
      <c r="PAL47" s="674"/>
      <c r="PAM47" s="674"/>
      <c r="PAN47" s="674"/>
      <c r="PAO47" s="674"/>
      <c r="PAP47" s="674"/>
      <c r="PAQ47" s="674"/>
      <c r="PAR47" s="674"/>
      <c r="PAS47" s="674"/>
      <c r="PAT47" s="674"/>
      <c r="PAU47" s="674"/>
      <c r="PAV47" s="674"/>
      <c r="PAW47" s="674"/>
      <c r="PAX47" s="674"/>
      <c r="PAY47" s="674"/>
      <c r="PAZ47" s="674"/>
      <c r="PBA47" s="674"/>
      <c r="PBB47" s="674"/>
      <c r="PBC47" s="674"/>
      <c r="PBD47" s="674"/>
      <c r="PBE47" s="674"/>
      <c r="PBF47" s="674"/>
      <c r="PBG47" s="674"/>
      <c r="PBH47" s="674"/>
      <c r="PBI47" s="674"/>
      <c r="PBJ47" s="674"/>
      <c r="PBK47" s="674"/>
      <c r="PBL47" s="674"/>
      <c r="PBM47" s="674"/>
      <c r="PBN47" s="674"/>
      <c r="PBO47" s="674"/>
      <c r="PBP47" s="674"/>
      <c r="PBQ47" s="674"/>
      <c r="PBR47" s="674"/>
      <c r="PBS47" s="674"/>
      <c r="PBT47" s="674"/>
      <c r="PBU47" s="674"/>
      <c r="PBV47" s="674"/>
      <c r="PBW47" s="674"/>
      <c r="PBX47" s="674"/>
      <c r="PBY47" s="674"/>
      <c r="PBZ47" s="674"/>
      <c r="PCA47" s="674"/>
      <c r="PCB47" s="674"/>
      <c r="PCC47" s="674"/>
      <c r="PCD47" s="674"/>
      <c r="PCE47" s="674"/>
      <c r="PCF47" s="674"/>
      <c r="PCG47" s="674"/>
      <c r="PCH47" s="674"/>
      <c r="PCI47" s="674"/>
      <c r="PCJ47" s="674"/>
      <c r="PCK47" s="674"/>
      <c r="PCL47" s="674"/>
      <c r="PCM47" s="674"/>
      <c r="PCN47" s="674"/>
      <c r="PCO47" s="674"/>
      <c r="PCP47" s="674"/>
      <c r="PCQ47" s="674"/>
      <c r="PCR47" s="674"/>
      <c r="PCS47" s="674"/>
      <c r="PCT47" s="674"/>
      <c r="PCU47" s="674"/>
      <c r="PCV47" s="674"/>
      <c r="PCW47" s="674"/>
      <c r="PCX47" s="674"/>
      <c r="PCY47" s="674"/>
      <c r="PCZ47" s="674"/>
      <c r="PDA47" s="674"/>
      <c r="PDB47" s="674"/>
      <c r="PDC47" s="674"/>
      <c r="PDD47" s="674"/>
      <c r="PDE47" s="674"/>
      <c r="PDF47" s="674"/>
      <c r="PDG47" s="674"/>
      <c r="PDH47" s="674"/>
      <c r="PDI47" s="674"/>
      <c r="PDJ47" s="674"/>
      <c r="PDK47" s="674"/>
      <c r="PDL47" s="674"/>
      <c r="PDM47" s="674"/>
      <c r="PDN47" s="674"/>
      <c r="PDO47" s="674"/>
      <c r="PDP47" s="674"/>
      <c r="PDQ47" s="674"/>
      <c r="PDR47" s="674"/>
      <c r="PDS47" s="674"/>
      <c r="PDT47" s="674"/>
      <c r="PDU47" s="674"/>
      <c r="PDV47" s="674"/>
      <c r="PDW47" s="674"/>
      <c r="PDX47" s="674"/>
      <c r="PDY47" s="674"/>
      <c r="PDZ47" s="674"/>
      <c r="PEA47" s="674"/>
      <c r="PEB47" s="674"/>
      <c r="PEC47" s="674"/>
      <c r="PED47" s="674"/>
      <c r="PEE47" s="674"/>
      <c r="PEF47" s="674"/>
      <c r="PEG47" s="674"/>
      <c r="PEH47" s="674"/>
      <c r="PEI47" s="674"/>
      <c r="PEJ47" s="674"/>
      <c r="PEK47" s="674"/>
      <c r="PEL47" s="674"/>
      <c r="PEM47" s="674"/>
      <c r="PEN47" s="674"/>
      <c r="PEO47" s="674"/>
      <c r="PEP47" s="674"/>
      <c r="PEQ47" s="674"/>
      <c r="PER47" s="674"/>
      <c r="PES47" s="674"/>
      <c r="PET47" s="674"/>
      <c r="PEU47" s="674"/>
      <c r="PEV47" s="674"/>
      <c r="PEW47" s="674"/>
      <c r="PEX47" s="674"/>
      <c r="PEY47" s="674"/>
      <c r="PEZ47" s="674"/>
      <c r="PFA47" s="674"/>
      <c r="PFB47" s="674"/>
      <c r="PFC47" s="674"/>
      <c r="PFD47" s="674"/>
      <c r="PFE47" s="674"/>
      <c r="PFF47" s="674"/>
      <c r="PFG47" s="674"/>
      <c r="PFH47" s="674"/>
      <c r="PFI47" s="674"/>
      <c r="PFJ47" s="674"/>
      <c r="PFK47" s="674"/>
      <c r="PFL47" s="674"/>
      <c r="PFM47" s="674"/>
      <c r="PFN47" s="674"/>
      <c r="PFO47" s="674"/>
      <c r="PFP47" s="674"/>
      <c r="PFQ47" s="674"/>
      <c r="PFR47" s="674"/>
      <c r="PFS47" s="674"/>
      <c r="PFT47" s="674"/>
      <c r="PFU47" s="674"/>
      <c r="PFV47" s="674"/>
      <c r="PFW47" s="674"/>
      <c r="PFX47" s="674"/>
      <c r="PFY47" s="674"/>
      <c r="PFZ47" s="674"/>
      <c r="PGA47" s="674"/>
      <c r="PGB47" s="674"/>
      <c r="PGC47" s="674"/>
      <c r="PGD47" s="674"/>
      <c r="PGE47" s="674"/>
      <c r="PGF47" s="674"/>
      <c r="PGG47" s="674"/>
      <c r="PGH47" s="674"/>
      <c r="PGI47" s="674"/>
      <c r="PGJ47" s="674"/>
      <c r="PGK47" s="674"/>
      <c r="PGL47" s="674"/>
      <c r="PGM47" s="674"/>
      <c r="PGN47" s="674"/>
      <c r="PGO47" s="674"/>
      <c r="PGP47" s="674"/>
      <c r="PGQ47" s="674"/>
      <c r="PGR47" s="674"/>
      <c r="PGS47" s="674"/>
      <c r="PGT47" s="674"/>
      <c r="PGU47" s="674"/>
      <c r="PGV47" s="674"/>
      <c r="PGW47" s="674"/>
      <c r="PGX47" s="674"/>
      <c r="PGY47" s="674"/>
      <c r="PGZ47" s="674"/>
      <c r="PHA47" s="674"/>
      <c r="PHB47" s="674"/>
      <c r="PHC47" s="674"/>
      <c r="PHD47" s="674"/>
      <c r="PHE47" s="674"/>
      <c r="PHF47" s="674"/>
      <c r="PHG47" s="674"/>
      <c r="PHH47" s="674"/>
      <c r="PHI47" s="674"/>
      <c r="PHJ47" s="674"/>
      <c r="PHK47" s="674"/>
      <c r="PHL47" s="674"/>
      <c r="PHM47" s="674"/>
      <c r="PHN47" s="674"/>
      <c r="PHO47" s="674"/>
      <c r="PHP47" s="674"/>
      <c r="PHQ47" s="674"/>
      <c r="PHR47" s="674"/>
      <c r="PHS47" s="674"/>
      <c r="PHT47" s="674"/>
      <c r="PHU47" s="674"/>
      <c r="PHV47" s="674"/>
      <c r="PHW47" s="674"/>
      <c r="PHX47" s="674"/>
      <c r="PHY47" s="674"/>
      <c r="PHZ47" s="674"/>
      <c r="PIA47" s="674"/>
      <c r="PIB47" s="674"/>
      <c r="PIC47" s="674"/>
      <c r="PID47" s="674"/>
      <c r="PIE47" s="674"/>
      <c r="PIF47" s="674"/>
      <c r="PIG47" s="674"/>
      <c r="PIH47" s="674"/>
      <c r="PII47" s="674"/>
      <c r="PIJ47" s="674"/>
      <c r="PIK47" s="674"/>
      <c r="PIL47" s="674"/>
      <c r="PIM47" s="674"/>
      <c r="PIN47" s="674"/>
      <c r="PIO47" s="674"/>
      <c r="PIP47" s="674"/>
      <c r="PIQ47" s="674"/>
      <c r="PIR47" s="674"/>
      <c r="PIS47" s="674"/>
      <c r="PIT47" s="674"/>
      <c r="PIU47" s="674"/>
      <c r="PIV47" s="674"/>
      <c r="PIW47" s="674"/>
      <c r="PIX47" s="674"/>
      <c r="PIY47" s="674"/>
      <c r="PIZ47" s="674"/>
      <c r="PJA47" s="674"/>
      <c r="PJB47" s="674"/>
      <c r="PJC47" s="674"/>
      <c r="PJD47" s="674"/>
      <c r="PJE47" s="674"/>
      <c r="PJF47" s="674"/>
      <c r="PJG47" s="674"/>
      <c r="PJH47" s="674"/>
      <c r="PJI47" s="674"/>
      <c r="PJJ47" s="674"/>
      <c r="PJK47" s="674"/>
      <c r="PJL47" s="674"/>
      <c r="PJM47" s="674"/>
      <c r="PJN47" s="674"/>
      <c r="PJO47" s="674"/>
      <c r="PJP47" s="674"/>
      <c r="PJQ47" s="674"/>
      <c r="PJR47" s="674"/>
      <c r="PJS47" s="674"/>
      <c r="PJT47" s="674"/>
      <c r="PJU47" s="674"/>
      <c r="PJV47" s="674"/>
      <c r="PJW47" s="674"/>
      <c r="PJX47" s="674"/>
      <c r="PJY47" s="674"/>
      <c r="PJZ47" s="674"/>
      <c r="PKA47" s="674"/>
      <c r="PKB47" s="674"/>
      <c r="PKC47" s="674"/>
      <c r="PKD47" s="674"/>
      <c r="PKE47" s="674"/>
      <c r="PKF47" s="674"/>
      <c r="PKG47" s="674"/>
      <c r="PKH47" s="674"/>
      <c r="PKI47" s="674"/>
      <c r="PKJ47" s="674"/>
      <c r="PKK47" s="674"/>
      <c r="PKL47" s="674"/>
      <c r="PKM47" s="674"/>
      <c r="PKN47" s="674"/>
      <c r="PKO47" s="674"/>
      <c r="PKP47" s="674"/>
      <c r="PKQ47" s="674"/>
      <c r="PKR47" s="674"/>
      <c r="PKS47" s="674"/>
      <c r="PKT47" s="674"/>
      <c r="PKU47" s="674"/>
      <c r="PKV47" s="674"/>
      <c r="PKW47" s="674"/>
      <c r="PKX47" s="674"/>
      <c r="PKY47" s="674"/>
      <c r="PKZ47" s="674"/>
      <c r="PLA47" s="674"/>
      <c r="PLB47" s="674"/>
      <c r="PLC47" s="674"/>
      <c r="PLD47" s="674"/>
      <c r="PLE47" s="674"/>
      <c r="PLF47" s="674"/>
      <c r="PLG47" s="674"/>
      <c r="PLH47" s="674"/>
      <c r="PLI47" s="674"/>
      <c r="PLJ47" s="674"/>
      <c r="PLK47" s="674"/>
      <c r="PLL47" s="674"/>
      <c r="PLM47" s="674"/>
      <c r="PLN47" s="674"/>
      <c r="PLO47" s="674"/>
      <c r="PLP47" s="674"/>
      <c r="PLQ47" s="674"/>
      <c r="PLR47" s="674"/>
      <c r="PLS47" s="674"/>
      <c r="PLT47" s="674"/>
      <c r="PLU47" s="674"/>
      <c r="PLV47" s="674"/>
      <c r="PLW47" s="674"/>
      <c r="PLX47" s="674"/>
      <c r="PLY47" s="674"/>
      <c r="PLZ47" s="674"/>
      <c r="PMA47" s="674"/>
      <c r="PMB47" s="674"/>
      <c r="PMC47" s="674"/>
      <c r="PMD47" s="674"/>
      <c r="PME47" s="674"/>
      <c r="PMF47" s="674"/>
      <c r="PMG47" s="674"/>
      <c r="PMH47" s="674"/>
      <c r="PMI47" s="674"/>
      <c r="PMJ47" s="674"/>
      <c r="PMK47" s="674"/>
      <c r="PML47" s="674"/>
      <c r="PMM47" s="674"/>
      <c r="PMN47" s="674"/>
      <c r="PMO47" s="674"/>
      <c r="PMP47" s="674"/>
      <c r="PMQ47" s="674"/>
      <c r="PMR47" s="674"/>
      <c r="PMS47" s="674"/>
      <c r="PMT47" s="674"/>
      <c r="PMU47" s="674"/>
      <c r="PMV47" s="674"/>
      <c r="PMW47" s="674"/>
      <c r="PMX47" s="674"/>
      <c r="PMY47" s="674"/>
      <c r="PMZ47" s="674"/>
      <c r="PNA47" s="674"/>
      <c r="PNB47" s="674"/>
      <c r="PNC47" s="674"/>
      <c r="PND47" s="674"/>
      <c r="PNE47" s="674"/>
      <c r="PNF47" s="674"/>
      <c r="PNG47" s="674"/>
      <c r="PNH47" s="674"/>
      <c r="PNI47" s="674"/>
      <c r="PNJ47" s="674"/>
      <c r="PNK47" s="674"/>
      <c r="PNL47" s="674"/>
      <c r="PNM47" s="674"/>
      <c r="PNN47" s="674"/>
      <c r="PNO47" s="674"/>
      <c r="PNP47" s="674"/>
      <c r="PNQ47" s="674"/>
      <c r="PNR47" s="674"/>
      <c r="PNS47" s="674"/>
      <c r="PNT47" s="674"/>
      <c r="PNU47" s="674"/>
      <c r="PNV47" s="674"/>
      <c r="PNW47" s="674"/>
      <c r="PNX47" s="674"/>
      <c r="PNY47" s="674"/>
      <c r="PNZ47" s="674"/>
      <c r="POA47" s="674"/>
      <c r="POB47" s="674"/>
      <c r="POC47" s="674"/>
      <c r="POD47" s="674"/>
      <c r="POE47" s="674"/>
      <c r="POF47" s="674"/>
      <c r="POG47" s="674"/>
      <c r="POH47" s="674"/>
      <c r="POI47" s="674"/>
      <c r="POJ47" s="674"/>
      <c r="POK47" s="674"/>
      <c r="POL47" s="674"/>
      <c r="POM47" s="674"/>
      <c r="PON47" s="674"/>
      <c r="POO47" s="674"/>
      <c r="POP47" s="674"/>
      <c r="POQ47" s="674"/>
      <c r="POR47" s="674"/>
      <c r="POS47" s="674"/>
      <c r="POT47" s="674"/>
      <c r="POU47" s="674"/>
      <c r="POV47" s="674"/>
      <c r="POW47" s="674"/>
      <c r="POX47" s="674"/>
      <c r="POY47" s="674"/>
      <c r="POZ47" s="674"/>
      <c r="PPA47" s="674"/>
      <c r="PPB47" s="674"/>
      <c r="PPC47" s="674"/>
      <c r="PPD47" s="674"/>
      <c r="PPE47" s="674"/>
      <c r="PPF47" s="674"/>
      <c r="PPG47" s="674"/>
      <c r="PPH47" s="674"/>
      <c r="PPI47" s="674"/>
      <c r="PPJ47" s="674"/>
      <c r="PPK47" s="674"/>
      <c r="PPL47" s="674"/>
      <c r="PPM47" s="674"/>
      <c r="PPN47" s="674"/>
      <c r="PPO47" s="674"/>
      <c r="PPP47" s="674"/>
      <c r="PPQ47" s="674"/>
      <c r="PPR47" s="674"/>
      <c r="PPS47" s="674"/>
      <c r="PPT47" s="674"/>
      <c r="PPU47" s="674"/>
      <c r="PPV47" s="674"/>
      <c r="PPW47" s="674"/>
      <c r="PPX47" s="674"/>
      <c r="PPY47" s="674"/>
      <c r="PPZ47" s="674"/>
      <c r="PQA47" s="674"/>
      <c r="PQB47" s="674"/>
      <c r="PQC47" s="674"/>
      <c r="PQD47" s="674"/>
      <c r="PQE47" s="674"/>
      <c r="PQF47" s="674"/>
      <c r="PQG47" s="674"/>
      <c r="PQH47" s="674"/>
      <c r="PQI47" s="674"/>
      <c r="PQJ47" s="674"/>
      <c r="PQK47" s="674"/>
      <c r="PQL47" s="674"/>
      <c r="PQM47" s="674"/>
      <c r="PQN47" s="674"/>
      <c r="PQO47" s="674"/>
      <c r="PQP47" s="674"/>
      <c r="PQQ47" s="674"/>
      <c r="PQR47" s="674"/>
      <c r="PQS47" s="674"/>
      <c r="PQT47" s="674"/>
      <c r="PQU47" s="674"/>
      <c r="PQV47" s="674"/>
      <c r="PQW47" s="674"/>
      <c r="PQX47" s="674"/>
      <c r="PQY47" s="674"/>
      <c r="PQZ47" s="674"/>
      <c r="PRA47" s="674"/>
      <c r="PRB47" s="674"/>
      <c r="PRC47" s="674"/>
      <c r="PRD47" s="674"/>
      <c r="PRE47" s="674"/>
      <c r="PRF47" s="674"/>
      <c r="PRG47" s="674"/>
      <c r="PRH47" s="674"/>
      <c r="PRI47" s="674"/>
      <c r="PRJ47" s="674"/>
      <c r="PRK47" s="674"/>
      <c r="PRL47" s="674"/>
      <c r="PRM47" s="674"/>
      <c r="PRN47" s="674"/>
      <c r="PRO47" s="674"/>
      <c r="PRP47" s="674"/>
      <c r="PRQ47" s="674"/>
      <c r="PRR47" s="674"/>
      <c r="PRS47" s="674"/>
      <c r="PRT47" s="674"/>
      <c r="PRU47" s="674"/>
      <c r="PRV47" s="674"/>
      <c r="PRW47" s="674"/>
      <c r="PRX47" s="674"/>
      <c r="PRY47" s="674"/>
      <c r="PRZ47" s="674"/>
      <c r="PSA47" s="674"/>
      <c r="PSB47" s="674"/>
      <c r="PSC47" s="674"/>
      <c r="PSD47" s="674"/>
      <c r="PSE47" s="674"/>
      <c r="PSF47" s="674"/>
      <c r="PSG47" s="674"/>
      <c r="PSH47" s="674"/>
      <c r="PSI47" s="674"/>
      <c r="PSJ47" s="674"/>
      <c r="PSK47" s="674"/>
      <c r="PSL47" s="674"/>
      <c r="PSM47" s="674"/>
      <c r="PSN47" s="674"/>
      <c r="PSO47" s="674"/>
      <c r="PSP47" s="674"/>
      <c r="PSQ47" s="674"/>
      <c r="PSR47" s="674"/>
      <c r="PSS47" s="674"/>
      <c r="PST47" s="674"/>
      <c r="PSU47" s="674"/>
      <c r="PSV47" s="674"/>
      <c r="PSW47" s="674"/>
      <c r="PSX47" s="674"/>
      <c r="PSY47" s="674"/>
      <c r="PSZ47" s="674"/>
      <c r="PTA47" s="674"/>
      <c r="PTB47" s="674"/>
      <c r="PTC47" s="674"/>
      <c r="PTD47" s="674"/>
      <c r="PTE47" s="674"/>
      <c r="PTF47" s="674"/>
      <c r="PTG47" s="674"/>
      <c r="PTH47" s="674"/>
      <c r="PTI47" s="674"/>
      <c r="PTJ47" s="674"/>
      <c r="PTK47" s="674"/>
      <c r="PTL47" s="674"/>
      <c r="PTM47" s="674"/>
      <c r="PTN47" s="674"/>
      <c r="PTO47" s="674"/>
      <c r="PTP47" s="674"/>
      <c r="PTQ47" s="674"/>
      <c r="PTR47" s="674"/>
      <c r="PTS47" s="674"/>
      <c r="PTT47" s="674"/>
      <c r="PTU47" s="674"/>
      <c r="PTV47" s="674"/>
      <c r="PTW47" s="674"/>
      <c r="PTX47" s="674"/>
      <c r="PTY47" s="674"/>
      <c r="PTZ47" s="674"/>
      <c r="PUA47" s="674"/>
      <c r="PUB47" s="674"/>
      <c r="PUC47" s="674"/>
      <c r="PUD47" s="674"/>
      <c r="PUE47" s="674"/>
      <c r="PUF47" s="674"/>
      <c r="PUG47" s="674"/>
      <c r="PUH47" s="674"/>
      <c r="PUI47" s="674"/>
      <c r="PUJ47" s="674"/>
      <c r="PUK47" s="674"/>
      <c r="PUL47" s="674"/>
      <c r="PUM47" s="674"/>
      <c r="PUN47" s="674"/>
      <c r="PUO47" s="674"/>
      <c r="PUP47" s="674"/>
      <c r="PUQ47" s="674"/>
      <c r="PUR47" s="674"/>
      <c r="PUS47" s="674"/>
      <c r="PUT47" s="674"/>
      <c r="PUU47" s="674"/>
      <c r="PUV47" s="674"/>
      <c r="PUW47" s="674"/>
      <c r="PUX47" s="674"/>
      <c r="PUY47" s="674"/>
      <c r="PUZ47" s="674"/>
      <c r="PVA47" s="674"/>
      <c r="PVB47" s="674"/>
      <c r="PVC47" s="674"/>
      <c r="PVD47" s="674"/>
      <c r="PVE47" s="674"/>
      <c r="PVF47" s="674"/>
      <c r="PVG47" s="674"/>
      <c r="PVH47" s="674"/>
      <c r="PVI47" s="674"/>
      <c r="PVJ47" s="674"/>
      <c r="PVK47" s="674"/>
      <c r="PVL47" s="674"/>
      <c r="PVM47" s="674"/>
      <c r="PVN47" s="674"/>
      <c r="PVO47" s="674"/>
      <c r="PVP47" s="674"/>
      <c r="PVQ47" s="674"/>
      <c r="PVR47" s="674"/>
      <c r="PVS47" s="674"/>
      <c r="PVT47" s="674"/>
      <c r="PVU47" s="674"/>
      <c r="PVV47" s="674"/>
      <c r="PVW47" s="674"/>
      <c r="PVX47" s="674"/>
      <c r="PVY47" s="674"/>
      <c r="PVZ47" s="674"/>
      <c r="PWA47" s="674"/>
      <c r="PWB47" s="674"/>
      <c r="PWC47" s="674"/>
      <c r="PWD47" s="674"/>
      <c r="PWE47" s="674"/>
      <c r="PWF47" s="674"/>
      <c r="PWG47" s="674"/>
      <c r="PWH47" s="674"/>
      <c r="PWI47" s="674"/>
      <c r="PWJ47" s="674"/>
      <c r="PWK47" s="674"/>
      <c r="PWL47" s="674"/>
      <c r="PWM47" s="674"/>
      <c r="PWN47" s="674"/>
      <c r="PWO47" s="674"/>
      <c r="PWP47" s="674"/>
      <c r="PWQ47" s="674"/>
      <c r="PWR47" s="674"/>
      <c r="PWS47" s="674"/>
      <c r="PWT47" s="674"/>
      <c r="PWU47" s="674"/>
      <c r="PWV47" s="674"/>
      <c r="PWW47" s="674"/>
      <c r="PWX47" s="674"/>
      <c r="PWY47" s="674"/>
      <c r="PWZ47" s="674"/>
      <c r="PXA47" s="674"/>
      <c r="PXB47" s="674"/>
      <c r="PXC47" s="674"/>
      <c r="PXD47" s="674"/>
      <c r="PXE47" s="674"/>
      <c r="PXF47" s="674"/>
      <c r="PXG47" s="674"/>
      <c r="PXH47" s="674"/>
      <c r="PXI47" s="674"/>
      <c r="PXJ47" s="674"/>
      <c r="PXK47" s="674"/>
      <c r="PXL47" s="674"/>
      <c r="PXM47" s="674"/>
      <c r="PXN47" s="674"/>
      <c r="PXO47" s="674"/>
      <c r="PXP47" s="674"/>
      <c r="PXQ47" s="674"/>
      <c r="PXR47" s="674"/>
      <c r="PXS47" s="674"/>
      <c r="PXT47" s="674"/>
      <c r="PXU47" s="674"/>
      <c r="PXV47" s="674"/>
      <c r="PXW47" s="674"/>
      <c r="PXX47" s="674"/>
      <c r="PXY47" s="674"/>
      <c r="PXZ47" s="674"/>
      <c r="PYA47" s="674"/>
      <c r="PYB47" s="674"/>
      <c r="PYC47" s="674"/>
      <c r="PYD47" s="674"/>
      <c r="PYE47" s="674"/>
      <c r="PYF47" s="674"/>
      <c r="PYG47" s="674"/>
      <c r="PYH47" s="674"/>
      <c r="PYI47" s="674"/>
      <c r="PYJ47" s="674"/>
      <c r="PYK47" s="674"/>
      <c r="PYL47" s="674"/>
      <c r="PYM47" s="674"/>
      <c r="PYN47" s="674"/>
      <c r="PYO47" s="674"/>
      <c r="PYP47" s="674"/>
      <c r="PYQ47" s="674"/>
      <c r="PYR47" s="674"/>
      <c r="PYS47" s="674"/>
      <c r="PYT47" s="674"/>
      <c r="PYU47" s="674"/>
      <c r="PYV47" s="674"/>
      <c r="PYW47" s="674"/>
      <c r="PYX47" s="674"/>
      <c r="PYY47" s="674"/>
      <c r="PYZ47" s="674"/>
      <c r="PZA47" s="674"/>
      <c r="PZB47" s="674"/>
      <c r="PZC47" s="674"/>
      <c r="PZD47" s="674"/>
      <c r="PZE47" s="674"/>
      <c r="PZF47" s="674"/>
      <c r="PZG47" s="674"/>
      <c r="PZH47" s="674"/>
      <c r="PZI47" s="674"/>
      <c r="PZJ47" s="674"/>
      <c r="PZK47" s="674"/>
      <c r="PZL47" s="674"/>
      <c r="PZM47" s="674"/>
      <c r="PZN47" s="674"/>
      <c r="PZO47" s="674"/>
      <c r="PZP47" s="674"/>
      <c r="PZQ47" s="674"/>
      <c r="PZR47" s="674"/>
      <c r="PZS47" s="674"/>
      <c r="PZT47" s="674"/>
      <c r="PZU47" s="674"/>
      <c r="PZV47" s="674"/>
      <c r="PZW47" s="674"/>
      <c r="PZX47" s="674"/>
      <c r="PZY47" s="674"/>
      <c r="PZZ47" s="674"/>
      <c r="QAA47" s="674"/>
      <c r="QAB47" s="674"/>
      <c r="QAC47" s="674"/>
      <c r="QAD47" s="674"/>
      <c r="QAE47" s="674"/>
      <c r="QAF47" s="674"/>
      <c r="QAG47" s="674"/>
      <c r="QAH47" s="674"/>
      <c r="QAI47" s="674"/>
      <c r="QAJ47" s="674"/>
      <c r="QAK47" s="674"/>
      <c r="QAL47" s="674"/>
      <c r="QAM47" s="674"/>
      <c r="QAN47" s="674"/>
      <c r="QAO47" s="674"/>
      <c r="QAP47" s="674"/>
      <c r="QAQ47" s="674"/>
      <c r="QAR47" s="674"/>
      <c r="QAS47" s="674"/>
      <c r="QAT47" s="674"/>
      <c r="QAU47" s="674"/>
      <c r="QAV47" s="674"/>
      <c r="QAW47" s="674"/>
      <c r="QAX47" s="674"/>
      <c r="QAY47" s="674"/>
      <c r="QAZ47" s="674"/>
      <c r="QBA47" s="674"/>
      <c r="QBB47" s="674"/>
      <c r="QBC47" s="674"/>
      <c r="QBD47" s="674"/>
      <c r="QBE47" s="674"/>
      <c r="QBF47" s="674"/>
      <c r="QBG47" s="674"/>
      <c r="QBH47" s="674"/>
      <c r="QBI47" s="674"/>
      <c r="QBJ47" s="674"/>
      <c r="QBK47" s="674"/>
      <c r="QBL47" s="674"/>
      <c r="QBM47" s="674"/>
      <c r="QBN47" s="674"/>
      <c r="QBO47" s="674"/>
      <c r="QBP47" s="674"/>
      <c r="QBQ47" s="674"/>
      <c r="QBR47" s="674"/>
      <c r="QBS47" s="674"/>
      <c r="QBT47" s="674"/>
      <c r="QBU47" s="674"/>
      <c r="QBV47" s="674"/>
      <c r="QBW47" s="674"/>
      <c r="QBX47" s="674"/>
      <c r="QBY47" s="674"/>
      <c r="QBZ47" s="674"/>
      <c r="QCA47" s="674"/>
      <c r="QCB47" s="674"/>
      <c r="QCC47" s="674"/>
      <c r="QCD47" s="674"/>
      <c r="QCE47" s="674"/>
      <c r="QCF47" s="674"/>
      <c r="QCG47" s="674"/>
      <c r="QCH47" s="674"/>
      <c r="QCI47" s="674"/>
      <c r="QCJ47" s="674"/>
      <c r="QCK47" s="674"/>
      <c r="QCL47" s="674"/>
      <c r="QCM47" s="674"/>
      <c r="QCN47" s="674"/>
      <c r="QCO47" s="674"/>
      <c r="QCP47" s="674"/>
      <c r="QCQ47" s="674"/>
      <c r="QCR47" s="674"/>
      <c r="QCS47" s="674"/>
      <c r="QCT47" s="674"/>
      <c r="QCU47" s="674"/>
      <c r="QCV47" s="674"/>
      <c r="QCW47" s="674"/>
      <c r="QCX47" s="674"/>
      <c r="QCY47" s="674"/>
      <c r="QCZ47" s="674"/>
      <c r="QDA47" s="674"/>
      <c r="QDB47" s="674"/>
      <c r="QDC47" s="674"/>
      <c r="QDD47" s="674"/>
      <c r="QDE47" s="674"/>
      <c r="QDF47" s="674"/>
      <c r="QDG47" s="674"/>
      <c r="QDH47" s="674"/>
      <c r="QDI47" s="674"/>
      <c r="QDJ47" s="674"/>
      <c r="QDK47" s="674"/>
      <c r="QDL47" s="674"/>
      <c r="QDM47" s="674"/>
      <c r="QDN47" s="674"/>
      <c r="QDO47" s="674"/>
      <c r="QDP47" s="674"/>
      <c r="QDQ47" s="674"/>
      <c r="QDR47" s="674"/>
      <c r="QDS47" s="674"/>
      <c r="QDT47" s="674"/>
      <c r="QDU47" s="674"/>
      <c r="QDV47" s="674"/>
      <c r="QDW47" s="674"/>
      <c r="QDX47" s="674"/>
      <c r="QDY47" s="674"/>
      <c r="QDZ47" s="674"/>
      <c r="QEA47" s="674"/>
      <c r="QEB47" s="674"/>
      <c r="QEC47" s="674"/>
      <c r="QED47" s="674"/>
      <c r="QEE47" s="674"/>
      <c r="QEF47" s="674"/>
      <c r="QEG47" s="674"/>
      <c r="QEH47" s="674"/>
      <c r="QEI47" s="674"/>
      <c r="QEJ47" s="674"/>
      <c r="QEK47" s="674"/>
      <c r="QEL47" s="674"/>
      <c r="QEM47" s="674"/>
      <c r="QEN47" s="674"/>
      <c r="QEO47" s="674"/>
      <c r="QEP47" s="674"/>
      <c r="QEQ47" s="674"/>
      <c r="QER47" s="674"/>
      <c r="QES47" s="674"/>
      <c r="QET47" s="674"/>
      <c r="QEU47" s="674"/>
      <c r="QEV47" s="674"/>
      <c r="QEW47" s="674"/>
      <c r="QEX47" s="674"/>
      <c r="QEY47" s="674"/>
      <c r="QEZ47" s="674"/>
      <c r="QFA47" s="674"/>
      <c r="QFB47" s="674"/>
      <c r="QFC47" s="674"/>
      <c r="QFD47" s="674"/>
      <c r="QFE47" s="674"/>
      <c r="QFF47" s="674"/>
      <c r="QFG47" s="674"/>
      <c r="QFH47" s="674"/>
      <c r="QFI47" s="674"/>
      <c r="QFJ47" s="674"/>
      <c r="QFK47" s="674"/>
      <c r="QFL47" s="674"/>
      <c r="QFM47" s="674"/>
      <c r="QFN47" s="674"/>
      <c r="QFO47" s="674"/>
      <c r="QFP47" s="674"/>
      <c r="QFQ47" s="674"/>
      <c r="QFR47" s="674"/>
      <c r="QFS47" s="674"/>
      <c r="QFT47" s="674"/>
      <c r="QFU47" s="674"/>
      <c r="QFV47" s="674"/>
      <c r="QFW47" s="674"/>
      <c r="QFX47" s="674"/>
      <c r="QFY47" s="674"/>
      <c r="QFZ47" s="674"/>
      <c r="QGA47" s="674"/>
      <c r="QGB47" s="674"/>
      <c r="QGC47" s="674"/>
      <c r="QGD47" s="674"/>
      <c r="QGE47" s="674"/>
      <c r="QGF47" s="674"/>
      <c r="QGG47" s="674"/>
      <c r="QGH47" s="674"/>
      <c r="QGI47" s="674"/>
      <c r="QGJ47" s="674"/>
      <c r="QGK47" s="674"/>
      <c r="QGL47" s="674"/>
      <c r="QGM47" s="674"/>
      <c r="QGN47" s="674"/>
      <c r="QGO47" s="674"/>
      <c r="QGP47" s="674"/>
      <c r="QGQ47" s="674"/>
      <c r="QGR47" s="674"/>
      <c r="QGS47" s="674"/>
      <c r="QGT47" s="674"/>
      <c r="QGU47" s="674"/>
      <c r="QGV47" s="674"/>
      <c r="QGW47" s="674"/>
      <c r="QGX47" s="674"/>
      <c r="QGY47" s="674"/>
      <c r="QGZ47" s="674"/>
      <c r="QHA47" s="674"/>
      <c r="QHB47" s="674"/>
      <c r="QHC47" s="674"/>
      <c r="QHD47" s="674"/>
      <c r="QHE47" s="674"/>
      <c r="QHF47" s="674"/>
      <c r="QHG47" s="674"/>
      <c r="QHH47" s="674"/>
      <c r="QHI47" s="674"/>
      <c r="QHJ47" s="674"/>
      <c r="QHK47" s="674"/>
      <c r="QHL47" s="674"/>
      <c r="QHM47" s="674"/>
      <c r="QHN47" s="674"/>
      <c r="QHO47" s="674"/>
      <c r="QHP47" s="674"/>
      <c r="QHQ47" s="674"/>
      <c r="QHR47" s="674"/>
      <c r="QHS47" s="674"/>
      <c r="QHT47" s="674"/>
      <c r="QHU47" s="674"/>
      <c r="QHV47" s="674"/>
      <c r="QHW47" s="674"/>
      <c r="QHX47" s="674"/>
      <c r="QHY47" s="674"/>
      <c r="QHZ47" s="674"/>
      <c r="QIA47" s="674"/>
      <c r="QIB47" s="674"/>
      <c r="QIC47" s="674"/>
      <c r="QID47" s="674"/>
      <c r="QIE47" s="674"/>
      <c r="QIF47" s="674"/>
      <c r="QIG47" s="674"/>
      <c r="QIH47" s="674"/>
      <c r="QII47" s="674"/>
      <c r="QIJ47" s="674"/>
      <c r="QIK47" s="674"/>
      <c r="QIL47" s="674"/>
      <c r="QIM47" s="674"/>
      <c r="QIN47" s="674"/>
      <c r="QIO47" s="674"/>
      <c r="QIP47" s="674"/>
      <c r="QIQ47" s="674"/>
      <c r="QIR47" s="674"/>
      <c r="QIS47" s="674"/>
      <c r="QIT47" s="674"/>
      <c r="QIU47" s="674"/>
      <c r="QIV47" s="674"/>
      <c r="QIW47" s="674"/>
      <c r="QIX47" s="674"/>
      <c r="QIY47" s="674"/>
      <c r="QIZ47" s="674"/>
      <c r="QJA47" s="674"/>
      <c r="QJB47" s="674"/>
      <c r="QJC47" s="674"/>
      <c r="QJD47" s="674"/>
      <c r="QJE47" s="674"/>
      <c r="QJF47" s="674"/>
      <c r="QJG47" s="674"/>
      <c r="QJH47" s="674"/>
      <c r="QJI47" s="674"/>
      <c r="QJJ47" s="674"/>
      <c r="QJK47" s="674"/>
      <c r="QJL47" s="674"/>
      <c r="QJM47" s="674"/>
      <c r="QJN47" s="674"/>
      <c r="QJO47" s="674"/>
      <c r="QJP47" s="674"/>
      <c r="QJQ47" s="674"/>
      <c r="QJR47" s="674"/>
      <c r="QJS47" s="674"/>
      <c r="QJT47" s="674"/>
      <c r="QJU47" s="674"/>
      <c r="QJV47" s="674"/>
      <c r="QJW47" s="674"/>
      <c r="QJX47" s="674"/>
      <c r="QJY47" s="674"/>
      <c r="QJZ47" s="674"/>
      <c r="QKA47" s="674"/>
      <c r="QKB47" s="674"/>
      <c r="QKC47" s="674"/>
      <c r="QKD47" s="674"/>
      <c r="QKE47" s="674"/>
      <c r="QKF47" s="674"/>
      <c r="QKG47" s="674"/>
      <c r="QKH47" s="674"/>
      <c r="QKI47" s="674"/>
      <c r="QKJ47" s="674"/>
      <c r="QKK47" s="674"/>
      <c r="QKL47" s="674"/>
      <c r="QKM47" s="674"/>
      <c r="QKN47" s="674"/>
      <c r="QKO47" s="674"/>
      <c r="QKP47" s="674"/>
      <c r="QKQ47" s="674"/>
      <c r="QKR47" s="674"/>
      <c r="QKS47" s="674"/>
      <c r="QKT47" s="674"/>
      <c r="QKU47" s="674"/>
      <c r="QKV47" s="674"/>
      <c r="QKW47" s="674"/>
      <c r="QKX47" s="674"/>
      <c r="QKY47" s="674"/>
      <c r="QKZ47" s="674"/>
      <c r="QLA47" s="674"/>
      <c r="QLB47" s="674"/>
      <c r="QLC47" s="674"/>
      <c r="QLD47" s="674"/>
      <c r="QLE47" s="674"/>
      <c r="QLF47" s="674"/>
      <c r="QLG47" s="674"/>
      <c r="QLH47" s="674"/>
      <c r="QLI47" s="674"/>
      <c r="QLJ47" s="674"/>
      <c r="QLK47" s="674"/>
      <c r="QLL47" s="674"/>
      <c r="QLM47" s="674"/>
      <c r="QLN47" s="674"/>
      <c r="QLO47" s="674"/>
      <c r="QLP47" s="674"/>
      <c r="QLQ47" s="674"/>
      <c r="QLR47" s="674"/>
      <c r="QLS47" s="674"/>
      <c r="QLT47" s="674"/>
      <c r="QLU47" s="674"/>
      <c r="QLV47" s="674"/>
      <c r="QLW47" s="674"/>
      <c r="QLX47" s="674"/>
      <c r="QLY47" s="674"/>
      <c r="QLZ47" s="674"/>
      <c r="QMA47" s="674"/>
      <c r="QMB47" s="674"/>
      <c r="QMC47" s="674"/>
      <c r="QMD47" s="674"/>
      <c r="QME47" s="674"/>
      <c r="QMF47" s="674"/>
      <c r="QMG47" s="674"/>
      <c r="QMH47" s="674"/>
      <c r="QMI47" s="674"/>
      <c r="QMJ47" s="674"/>
      <c r="QMK47" s="674"/>
      <c r="QML47" s="674"/>
      <c r="QMM47" s="674"/>
      <c r="QMN47" s="674"/>
      <c r="QMO47" s="674"/>
      <c r="QMP47" s="674"/>
      <c r="QMQ47" s="674"/>
      <c r="QMR47" s="674"/>
      <c r="QMS47" s="674"/>
      <c r="QMT47" s="674"/>
      <c r="QMU47" s="674"/>
      <c r="QMV47" s="674"/>
      <c r="QMW47" s="674"/>
      <c r="QMX47" s="674"/>
      <c r="QMY47" s="674"/>
      <c r="QMZ47" s="674"/>
      <c r="QNA47" s="674"/>
      <c r="QNB47" s="674"/>
      <c r="QNC47" s="674"/>
      <c r="QND47" s="674"/>
      <c r="QNE47" s="674"/>
      <c r="QNF47" s="674"/>
      <c r="QNG47" s="674"/>
      <c r="QNH47" s="674"/>
      <c r="QNI47" s="674"/>
      <c r="QNJ47" s="674"/>
      <c r="QNK47" s="674"/>
      <c r="QNL47" s="674"/>
      <c r="QNM47" s="674"/>
      <c r="QNN47" s="674"/>
      <c r="QNO47" s="674"/>
      <c r="QNP47" s="674"/>
      <c r="QNQ47" s="674"/>
      <c r="QNR47" s="674"/>
      <c r="QNS47" s="674"/>
      <c r="QNT47" s="674"/>
      <c r="QNU47" s="674"/>
      <c r="QNV47" s="674"/>
      <c r="QNW47" s="674"/>
      <c r="QNX47" s="674"/>
      <c r="QNY47" s="674"/>
      <c r="QNZ47" s="674"/>
      <c r="QOA47" s="674"/>
      <c r="QOB47" s="674"/>
      <c r="QOC47" s="674"/>
      <c r="QOD47" s="674"/>
      <c r="QOE47" s="674"/>
      <c r="QOF47" s="674"/>
      <c r="QOG47" s="674"/>
      <c r="QOH47" s="674"/>
      <c r="QOI47" s="674"/>
      <c r="QOJ47" s="674"/>
      <c r="QOK47" s="674"/>
      <c r="QOL47" s="674"/>
      <c r="QOM47" s="674"/>
      <c r="QON47" s="674"/>
      <c r="QOO47" s="674"/>
      <c r="QOP47" s="674"/>
      <c r="QOQ47" s="674"/>
      <c r="QOR47" s="674"/>
      <c r="QOS47" s="674"/>
      <c r="QOT47" s="674"/>
      <c r="QOU47" s="674"/>
      <c r="QOV47" s="674"/>
      <c r="QOW47" s="674"/>
      <c r="QOX47" s="674"/>
      <c r="QOY47" s="674"/>
      <c r="QOZ47" s="674"/>
      <c r="QPA47" s="674"/>
      <c r="QPB47" s="674"/>
      <c r="QPC47" s="674"/>
      <c r="QPD47" s="674"/>
      <c r="QPE47" s="674"/>
      <c r="QPF47" s="674"/>
      <c r="QPG47" s="674"/>
      <c r="QPH47" s="674"/>
      <c r="QPI47" s="674"/>
      <c r="QPJ47" s="674"/>
      <c r="QPK47" s="674"/>
      <c r="QPL47" s="674"/>
      <c r="QPM47" s="674"/>
      <c r="QPN47" s="674"/>
      <c r="QPO47" s="674"/>
      <c r="QPP47" s="674"/>
      <c r="QPQ47" s="674"/>
      <c r="QPR47" s="674"/>
      <c r="QPS47" s="674"/>
      <c r="QPT47" s="674"/>
      <c r="QPU47" s="674"/>
      <c r="QPV47" s="674"/>
      <c r="QPW47" s="674"/>
      <c r="QPX47" s="674"/>
      <c r="QPY47" s="674"/>
      <c r="QPZ47" s="674"/>
      <c r="QQA47" s="674"/>
      <c r="QQB47" s="674"/>
      <c r="QQC47" s="674"/>
      <c r="QQD47" s="674"/>
      <c r="QQE47" s="674"/>
      <c r="QQF47" s="674"/>
      <c r="QQG47" s="674"/>
      <c r="QQH47" s="674"/>
      <c r="QQI47" s="674"/>
      <c r="QQJ47" s="674"/>
      <c r="QQK47" s="674"/>
      <c r="QQL47" s="674"/>
      <c r="QQM47" s="674"/>
      <c r="QQN47" s="674"/>
      <c r="QQO47" s="674"/>
      <c r="QQP47" s="674"/>
      <c r="QQQ47" s="674"/>
      <c r="QQR47" s="674"/>
      <c r="QQS47" s="674"/>
      <c r="QQT47" s="674"/>
      <c r="QQU47" s="674"/>
      <c r="QQV47" s="674"/>
      <c r="QQW47" s="674"/>
      <c r="QQX47" s="674"/>
      <c r="QQY47" s="674"/>
      <c r="QQZ47" s="674"/>
      <c r="QRA47" s="674"/>
      <c r="QRB47" s="674"/>
      <c r="QRC47" s="674"/>
      <c r="QRD47" s="674"/>
      <c r="QRE47" s="674"/>
      <c r="QRF47" s="674"/>
      <c r="QRG47" s="674"/>
      <c r="QRH47" s="674"/>
      <c r="QRI47" s="674"/>
      <c r="QRJ47" s="674"/>
      <c r="QRK47" s="674"/>
      <c r="QRL47" s="674"/>
      <c r="QRM47" s="674"/>
      <c r="QRN47" s="674"/>
      <c r="QRO47" s="674"/>
      <c r="QRP47" s="674"/>
      <c r="QRQ47" s="674"/>
      <c r="QRR47" s="674"/>
      <c r="QRS47" s="674"/>
      <c r="QRT47" s="674"/>
      <c r="QRU47" s="674"/>
      <c r="QRV47" s="674"/>
      <c r="QRW47" s="674"/>
      <c r="QRX47" s="674"/>
      <c r="QRY47" s="674"/>
      <c r="QRZ47" s="674"/>
      <c r="QSA47" s="674"/>
      <c r="QSB47" s="674"/>
      <c r="QSC47" s="674"/>
      <c r="QSD47" s="674"/>
      <c r="QSE47" s="674"/>
      <c r="QSF47" s="674"/>
      <c r="QSG47" s="674"/>
      <c r="QSH47" s="674"/>
      <c r="QSI47" s="674"/>
      <c r="QSJ47" s="674"/>
      <c r="QSK47" s="674"/>
      <c r="QSL47" s="674"/>
      <c r="QSM47" s="674"/>
      <c r="QSN47" s="674"/>
      <c r="QSO47" s="674"/>
      <c r="QSP47" s="674"/>
      <c r="QSQ47" s="674"/>
      <c r="QSR47" s="674"/>
      <c r="QSS47" s="674"/>
      <c r="QST47" s="674"/>
      <c r="QSU47" s="674"/>
      <c r="QSV47" s="674"/>
      <c r="QSW47" s="674"/>
      <c r="QSX47" s="674"/>
      <c r="QSY47" s="674"/>
      <c r="QSZ47" s="674"/>
      <c r="QTA47" s="674"/>
      <c r="QTB47" s="674"/>
      <c r="QTC47" s="674"/>
      <c r="QTD47" s="674"/>
      <c r="QTE47" s="674"/>
      <c r="QTF47" s="674"/>
      <c r="QTG47" s="674"/>
      <c r="QTH47" s="674"/>
      <c r="QTI47" s="674"/>
      <c r="QTJ47" s="674"/>
      <c r="QTK47" s="674"/>
      <c r="QTL47" s="674"/>
      <c r="QTM47" s="674"/>
      <c r="QTN47" s="674"/>
      <c r="QTO47" s="674"/>
      <c r="QTP47" s="674"/>
      <c r="QTQ47" s="674"/>
      <c r="QTR47" s="674"/>
      <c r="QTS47" s="674"/>
      <c r="QTT47" s="674"/>
      <c r="QTU47" s="674"/>
      <c r="QTV47" s="674"/>
      <c r="QTW47" s="674"/>
      <c r="QTX47" s="674"/>
      <c r="QTY47" s="674"/>
      <c r="QTZ47" s="674"/>
      <c r="QUA47" s="674"/>
      <c r="QUB47" s="674"/>
      <c r="QUC47" s="674"/>
      <c r="QUD47" s="674"/>
      <c r="QUE47" s="674"/>
      <c r="QUF47" s="674"/>
      <c r="QUG47" s="674"/>
      <c r="QUH47" s="674"/>
      <c r="QUI47" s="674"/>
      <c r="QUJ47" s="674"/>
      <c r="QUK47" s="674"/>
      <c r="QUL47" s="674"/>
      <c r="QUM47" s="674"/>
      <c r="QUN47" s="674"/>
      <c r="QUO47" s="674"/>
      <c r="QUP47" s="674"/>
      <c r="QUQ47" s="674"/>
      <c r="QUR47" s="674"/>
      <c r="QUS47" s="674"/>
      <c r="QUT47" s="674"/>
      <c r="QUU47" s="674"/>
      <c r="QUV47" s="674"/>
      <c r="QUW47" s="674"/>
      <c r="QUX47" s="674"/>
      <c r="QUY47" s="674"/>
      <c r="QUZ47" s="674"/>
      <c r="QVA47" s="674"/>
      <c r="QVB47" s="674"/>
      <c r="QVC47" s="674"/>
      <c r="QVD47" s="674"/>
      <c r="QVE47" s="674"/>
      <c r="QVF47" s="674"/>
      <c r="QVG47" s="674"/>
      <c r="QVH47" s="674"/>
      <c r="QVI47" s="674"/>
      <c r="QVJ47" s="674"/>
      <c r="QVK47" s="674"/>
      <c r="QVL47" s="674"/>
      <c r="QVM47" s="674"/>
      <c r="QVN47" s="674"/>
      <c r="QVO47" s="674"/>
      <c r="QVP47" s="674"/>
      <c r="QVQ47" s="674"/>
      <c r="QVR47" s="674"/>
      <c r="QVS47" s="674"/>
      <c r="QVT47" s="674"/>
      <c r="QVU47" s="674"/>
      <c r="QVV47" s="674"/>
      <c r="QVW47" s="674"/>
      <c r="QVX47" s="674"/>
      <c r="QVY47" s="674"/>
      <c r="QVZ47" s="674"/>
      <c r="QWA47" s="674"/>
      <c r="QWB47" s="674"/>
      <c r="QWC47" s="674"/>
      <c r="QWD47" s="674"/>
      <c r="QWE47" s="674"/>
      <c r="QWF47" s="674"/>
      <c r="QWG47" s="674"/>
      <c r="QWH47" s="674"/>
      <c r="QWI47" s="674"/>
      <c r="QWJ47" s="674"/>
      <c r="QWK47" s="674"/>
      <c r="QWL47" s="674"/>
      <c r="QWM47" s="674"/>
      <c r="QWN47" s="674"/>
      <c r="QWO47" s="674"/>
      <c r="QWP47" s="674"/>
      <c r="QWQ47" s="674"/>
      <c r="QWR47" s="674"/>
      <c r="QWS47" s="674"/>
      <c r="QWT47" s="674"/>
      <c r="QWU47" s="674"/>
      <c r="QWV47" s="674"/>
      <c r="QWW47" s="674"/>
      <c r="QWX47" s="674"/>
      <c r="QWY47" s="674"/>
      <c r="QWZ47" s="674"/>
      <c r="QXA47" s="674"/>
      <c r="QXB47" s="674"/>
      <c r="QXC47" s="674"/>
      <c r="QXD47" s="674"/>
      <c r="QXE47" s="674"/>
      <c r="QXF47" s="674"/>
      <c r="QXG47" s="674"/>
      <c r="QXH47" s="674"/>
      <c r="QXI47" s="674"/>
      <c r="QXJ47" s="674"/>
      <c r="QXK47" s="674"/>
      <c r="QXL47" s="674"/>
      <c r="QXM47" s="674"/>
      <c r="QXN47" s="674"/>
      <c r="QXO47" s="674"/>
      <c r="QXP47" s="674"/>
      <c r="QXQ47" s="674"/>
      <c r="QXR47" s="674"/>
      <c r="QXS47" s="674"/>
      <c r="QXT47" s="674"/>
      <c r="QXU47" s="674"/>
      <c r="QXV47" s="674"/>
      <c r="QXW47" s="674"/>
      <c r="QXX47" s="674"/>
      <c r="QXY47" s="674"/>
      <c r="QXZ47" s="674"/>
      <c r="QYA47" s="674"/>
      <c r="QYB47" s="674"/>
      <c r="QYC47" s="674"/>
      <c r="QYD47" s="674"/>
      <c r="QYE47" s="674"/>
      <c r="QYF47" s="674"/>
      <c r="QYG47" s="674"/>
      <c r="QYH47" s="674"/>
      <c r="QYI47" s="674"/>
      <c r="QYJ47" s="674"/>
      <c r="QYK47" s="674"/>
      <c r="QYL47" s="674"/>
      <c r="QYM47" s="674"/>
      <c r="QYN47" s="674"/>
      <c r="QYO47" s="674"/>
      <c r="QYP47" s="674"/>
      <c r="QYQ47" s="674"/>
      <c r="QYR47" s="674"/>
      <c r="QYS47" s="674"/>
      <c r="QYT47" s="674"/>
      <c r="QYU47" s="674"/>
      <c r="QYV47" s="674"/>
      <c r="QYW47" s="674"/>
      <c r="QYX47" s="674"/>
      <c r="QYY47" s="674"/>
      <c r="QYZ47" s="674"/>
      <c r="QZA47" s="674"/>
      <c r="QZB47" s="674"/>
      <c r="QZC47" s="674"/>
      <c r="QZD47" s="674"/>
      <c r="QZE47" s="674"/>
      <c r="QZF47" s="674"/>
      <c r="QZG47" s="674"/>
      <c r="QZH47" s="674"/>
      <c r="QZI47" s="674"/>
      <c r="QZJ47" s="674"/>
      <c r="QZK47" s="674"/>
      <c r="QZL47" s="674"/>
      <c r="QZM47" s="674"/>
      <c r="QZN47" s="674"/>
      <c r="QZO47" s="674"/>
      <c r="QZP47" s="674"/>
      <c r="QZQ47" s="674"/>
      <c r="QZR47" s="674"/>
      <c r="QZS47" s="674"/>
      <c r="QZT47" s="674"/>
      <c r="QZU47" s="674"/>
      <c r="QZV47" s="674"/>
      <c r="QZW47" s="674"/>
      <c r="QZX47" s="674"/>
      <c r="QZY47" s="674"/>
      <c r="QZZ47" s="674"/>
      <c r="RAA47" s="674"/>
      <c r="RAB47" s="674"/>
      <c r="RAC47" s="674"/>
      <c r="RAD47" s="674"/>
      <c r="RAE47" s="674"/>
      <c r="RAF47" s="674"/>
      <c r="RAG47" s="674"/>
      <c r="RAH47" s="674"/>
      <c r="RAI47" s="674"/>
      <c r="RAJ47" s="674"/>
      <c r="RAK47" s="674"/>
      <c r="RAL47" s="674"/>
      <c r="RAM47" s="674"/>
      <c r="RAN47" s="674"/>
      <c r="RAO47" s="674"/>
      <c r="RAP47" s="674"/>
      <c r="RAQ47" s="674"/>
      <c r="RAR47" s="674"/>
      <c r="RAS47" s="674"/>
      <c r="RAT47" s="674"/>
      <c r="RAU47" s="674"/>
      <c r="RAV47" s="674"/>
      <c r="RAW47" s="674"/>
      <c r="RAX47" s="674"/>
      <c r="RAY47" s="674"/>
      <c r="RAZ47" s="674"/>
      <c r="RBA47" s="674"/>
      <c r="RBB47" s="674"/>
      <c r="RBC47" s="674"/>
      <c r="RBD47" s="674"/>
      <c r="RBE47" s="674"/>
      <c r="RBF47" s="674"/>
      <c r="RBG47" s="674"/>
      <c r="RBH47" s="674"/>
      <c r="RBI47" s="674"/>
      <c r="RBJ47" s="674"/>
      <c r="RBK47" s="674"/>
      <c r="RBL47" s="674"/>
      <c r="RBM47" s="674"/>
      <c r="RBN47" s="674"/>
      <c r="RBO47" s="674"/>
      <c r="RBP47" s="674"/>
      <c r="RBQ47" s="674"/>
      <c r="RBR47" s="674"/>
      <c r="RBS47" s="674"/>
      <c r="RBT47" s="674"/>
      <c r="RBU47" s="674"/>
      <c r="RBV47" s="674"/>
      <c r="RBW47" s="674"/>
      <c r="RBX47" s="674"/>
      <c r="RBY47" s="674"/>
      <c r="RBZ47" s="674"/>
      <c r="RCA47" s="674"/>
      <c r="RCB47" s="674"/>
      <c r="RCC47" s="674"/>
      <c r="RCD47" s="674"/>
      <c r="RCE47" s="674"/>
      <c r="RCF47" s="674"/>
      <c r="RCG47" s="674"/>
      <c r="RCH47" s="674"/>
      <c r="RCI47" s="674"/>
      <c r="RCJ47" s="674"/>
      <c r="RCK47" s="674"/>
      <c r="RCL47" s="674"/>
      <c r="RCM47" s="674"/>
      <c r="RCN47" s="674"/>
      <c r="RCO47" s="674"/>
      <c r="RCP47" s="674"/>
      <c r="RCQ47" s="674"/>
      <c r="RCR47" s="674"/>
      <c r="RCS47" s="674"/>
      <c r="RCT47" s="674"/>
      <c r="RCU47" s="674"/>
      <c r="RCV47" s="674"/>
      <c r="RCW47" s="674"/>
      <c r="RCX47" s="674"/>
      <c r="RCY47" s="674"/>
      <c r="RCZ47" s="674"/>
      <c r="RDA47" s="674"/>
      <c r="RDB47" s="674"/>
      <c r="RDC47" s="674"/>
      <c r="RDD47" s="674"/>
      <c r="RDE47" s="674"/>
      <c r="RDF47" s="674"/>
      <c r="RDG47" s="674"/>
      <c r="RDH47" s="674"/>
      <c r="RDI47" s="674"/>
      <c r="RDJ47" s="674"/>
      <c r="RDK47" s="674"/>
      <c r="RDL47" s="674"/>
      <c r="RDM47" s="674"/>
      <c r="RDN47" s="674"/>
      <c r="RDO47" s="674"/>
      <c r="RDP47" s="674"/>
      <c r="RDQ47" s="674"/>
      <c r="RDR47" s="674"/>
      <c r="RDS47" s="674"/>
      <c r="RDT47" s="674"/>
      <c r="RDU47" s="674"/>
      <c r="RDV47" s="674"/>
      <c r="RDW47" s="674"/>
      <c r="RDX47" s="674"/>
      <c r="RDY47" s="674"/>
      <c r="RDZ47" s="674"/>
      <c r="REA47" s="674"/>
      <c r="REB47" s="674"/>
      <c r="REC47" s="674"/>
      <c r="RED47" s="674"/>
      <c r="REE47" s="674"/>
      <c r="REF47" s="674"/>
      <c r="REG47" s="674"/>
      <c r="REH47" s="674"/>
      <c r="REI47" s="674"/>
      <c r="REJ47" s="674"/>
      <c r="REK47" s="674"/>
      <c r="REL47" s="674"/>
      <c r="REM47" s="674"/>
      <c r="REN47" s="674"/>
      <c r="REO47" s="674"/>
      <c r="REP47" s="674"/>
      <c r="REQ47" s="674"/>
      <c r="RER47" s="674"/>
      <c r="RES47" s="674"/>
      <c r="RET47" s="674"/>
      <c r="REU47" s="674"/>
      <c r="REV47" s="674"/>
      <c r="REW47" s="674"/>
      <c r="REX47" s="674"/>
      <c r="REY47" s="674"/>
      <c r="REZ47" s="674"/>
      <c r="RFA47" s="674"/>
      <c r="RFB47" s="674"/>
      <c r="RFC47" s="674"/>
      <c r="RFD47" s="674"/>
      <c r="RFE47" s="674"/>
      <c r="RFF47" s="674"/>
      <c r="RFG47" s="674"/>
      <c r="RFH47" s="674"/>
      <c r="RFI47" s="674"/>
      <c r="RFJ47" s="674"/>
      <c r="RFK47" s="674"/>
      <c r="RFL47" s="674"/>
      <c r="RFM47" s="674"/>
      <c r="RFN47" s="674"/>
      <c r="RFO47" s="674"/>
      <c r="RFP47" s="674"/>
      <c r="RFQ47" s="674"/>
      <c r="RFR47" s="674"/>
      <c r="RFS47" s="674"/>
      <c r="RFT47" s="674"/>
      <c r="RFU47" s="674"/>
      <c r="RFV47" s="674"/>
      <c r="RFW47" s="674"/>
      <c r="RFX47" s="674"/>
      <c r="RFY47" s="674"/>
      <c r="RFZ47" s="674"/>
      <c r="RGA47" s="674"/>
      <c r="RGB47" s="674"/>
      <c r="RGC47" s="674"/>
      <c r="RGD47" s="674"/>
      <c r="RGE47" s="674"/>
      <c r="RGF47" s="674"/>
      <c r="RGG47" s="674"/>
      <c r="RGH47" s="674"/>
      <c r="RGI47" s="674"/>
      <c r="RGJ47" s="674"/>
      <c r="RGK47" s="674"/>
      <c r="RGL47" s="674"/>
      <c r="RGM47" s="674"/>
      <c r="RGN47" s="674"/>
      <c r="RGO47" s="674"/>
      <c r="RGP47" s="674"/>
      <c r="RGQ47" s="674"/>
      <c r="RGR47" s="674"/>
      <c r="RGS47" s="674"/>
      <c r="RGT47" s="674"/>
      <c r="RGU47" s="674"/>
      <c r="RGV47" s="674"/>
      <c r="RGW47" s="674"/>
      <c r="RGX47" s="674"/>
      <c r="RGY47" s="674"/>
      <c r="RGZ47" s="674"/>
      <c r="RHA47" s="674"/>
      <c r="RHB47" s="674"/>
      <c r="RHC47" s="674"/>
      <c r="RHD47" s="674"/>
      <c r="RHE47" s="674"/>
      <c r="RHF47" s="674"/>
      <c r="RHG47" s="674"/>
      <c r="RHH47" s="674"/>
      <c r="RHI47" s="674"/>
      <c r="RHJ47" s="674"/>
      <c r="RHK47" s="674"/>
      <c r="RHL47" s="674"/>
      <c r="RHM47" s="674"/>
      <c r="RHN47" s="674"/>
      <c r="RHO47" s="674"/>
      <c r="RHP47" s="674"/>
      <c r="RHQ47" s="674"/>
      <c r="RHR47" s="674"/>
      <c r="RHS47" s="674"/>
      <c r="RHT47" s="674"/>
      <c r="RHU47" s="674"/>
      <c r="RHV47" s="674"/>
      <c r="RHW47" s="674"/>
      <c r="RHX47" s="674"/>
      <c r="RHY47" s="674"/>
      <c r="RHZ47" s="674"/>
      <c r="RIA47" s="674"/>
      <c r="RIB47" s="674"/>
      <c r="RIC47" s="674"/>
      <c r="RID47" s="674"/>
      <c r="RIE47" s="674"/>
      <c r="RIF47" s="674"/>
      <c r="RIG47" s="674"/>
      <c r="RIH47" s="674"/>
      <c r="RII47" s="674"/>
      <c r="RIJ47" s="674"/>
      <c r="RIK47" s="674"/>
      <c r="RIL47" s="674"/>
      <c r="RIM47" s="674"/>
      <c r="RIN47" s="674"/>
      <c r="RIO47" s="674"/>
      <c r="RIP47" s="674"/>
      <c r="RIQ47" s="674"/>
      <c r="RIR47" s="674"/>
      <c r="RIS47" s="674"/>
      <c r="RIT47" s="674"/>
      <c r="RIU47" s="674"/>
      <c r="RIV47" s="674"/>
      <c r="RIW47" s="674"/>
      <c r="RIX47" s="674"/>
      <c r="RIY47" s="674"/>
      <c r="RIZ47" s="674"/>
      <c r="RJA47" s="674"/>
      <c r="RJB47" s="674"/>
      <c r="RJC47" s="674"/>
      <c r="RJD47" s="674"/>
      <c r="RJE47" s="674"/>
      <c r="RJF47" s="674"/>
      <c r="RJG47" s="674"/>
      <c r="RJH47" s="674"/>
      <c r="RJI47" s="674"/>
      <c r="RJJ47" s="674"/>
      <c r="RJK47" s="674"/>
      <c r="RJL47" s="674"/>
      <c r="RJM47" s="674"/>
      <c r="RJN47" s="674"/>
      <c r="RJO47" s="674"/>
      <c r="RJP47" s="674"/>
      <c r="RJQ47" s="674"/>
      <c r="RJR47" s="674"/>
      <c r="RJS47" s="674"/>
      <c r="RJT47" s="674"/>
      <c r="RJU47" s="674"/>
      <c r="RJV47" s="674"/>
      <c r="RJW47" s="674"/>
      <c r="RJX47" s="674"/>
      <c r="RJY47" s="674"/>
      <c r="RJZ47" s="674"/>
      <c r="RKA47" s="674"/>
      <c r="RKB47" s="674"/>
      <c r="RKC47" s="674"/>
      <c r="RKD47" s="674"/>
      <c r="RKE47" s="674"/>
      <c r="RKF47" s="674"/>
      <c r="RKG47" s="674"/>
      <c r="RKH47" s="674"/>
      <c r="RKI47" s="674"/>
      <c r="RKJ47" s="674"/>
      <c r="RKK47" s="674"/>
      <c r="RKL47" s="674"/>
      <c r="RKM47" s="674"/>
      <c r="RKN47" s="674"/>
      <c r="RKO47" s="674"/>
      <c r="RKP47" s="674"/>
      <c r="RKQ47" s="674"/>
      <c r="RKR47" s="674"/>
      <c r="RKS47" s="674"/>
      <c r="RKT47" s="674"/>
      <c r="RKU47" s="674"/>
      <c r="RKV47" s="674"/>
      <c r="RKW47" s="674"/>
      <c r="RKX47" s="674"/>
      <c r="RKY47" s="674"/>
      <c r="RKZ47" s="674"/>
      <c r="RLA47" s="674"/>
      <c r="RLB47" s="674"/>
      <c r="RLC47" s="674"/>
      <c r="RLD47" s="674"/>
      <c r="RLE47" s="674"/>
      <c r="RLF47" s="674"/>
      <c r="RLG47" s="674"/>
      <c r="RLH47" s="674"/>
      <c r="RLI47" s="674"/>
      <c r="RLJ47" s="674"/>
      <c r="RLK47" s="674"/>
      <c r="RLL47" s="674"/>
      <c r="RLM47" s="674"/>
      <c r="RLN47" s="674"/>
      <c r="RLO47" s="674"/>
      <c r="RLP47" s="674"/>
      <c r="RLQ47" s="674"/>
      <c r="RLR47" s="674"/>
      <c r="RLS47" s="674"/>
      <c r="RLT47" s="674"/>
      <c r="RLU47" s="674"/>
      <c r="RLV47" s="674"/>
      <c r="RLW47" s="674"/>
      <c r="RLX47" s="674"/>
      <c r="RLY47" s="674"/>
      <c r="RLZ47" s="674"/>
      <c r="RMA47" s="674"/>
      <c r="RMB47" s="674"/>
      <c r="RMC47" s="674"/>
      <c r="RMD47" s="674"/>
      <c r="RME47" s="674"/>
      <c r="RMF47" s="674"/>
      <c r="RMG47" s="674"/>
      <c r="RMH47" s="674"/>
      <c r="RMI47" s="674"/>
      <c r="RMJ47" s="674"/>
      <c r="RMK47" s="674"/>
      <c r="RML47" s="674"/>
      <c r="RMM47" s="674"/>
      <c r="RMN47" s="674"/>
      <c r="RMO47" s="674"/>
      <c r="RMP47" s="674"/>
      <c r="RMQ47" s="674"/>
      <c r="RMR47" s="674"/>
      <c r="RMS47" s="674"/>
      <c r="RMT47" s="674"/>
      <c r="RMU47" s="674"/>
      <c r="RMV47" s="674"/>
      <c r="RMW47" s="674"/>
      <c r="RMX47" s="674"/>
      <c r="RMY47" s="674"/>
      <c r="RMZ47" s="674"/>
      <c r="RNA47" s="674"/>
      <c r="RNB47" s="674"/>
      <c r="RNC47" s="674"/>
      <c r="RND47" s="674"/>
      <c r="RNE47" s="674"/>
      <c r="RNF47" s="674"/>
      <c r="RNG47" s="674"/>
      <c r="RNH47" s="674"/>
      <c r="RNI47" s="674"/>
      <c r="RNJ47" s="674"/>
      <c r="RNK47" s="674"/>
      <c r="RNL47" s="674"/>
      <c r="RNM47" s="674"/>
      <c r="RNN47" s="674"/>
      <c r="RNO47" s="674"/>
      <c r="RNP47" s="674"/>
      <c r="RNQ47" s="674"/>
      <c r="RNR47" s="674"/>
      <c r="RNS47" s="674"/>
      <c r="RNT47" s="674"/>
      <c r="RNU47" s="674"/>
      <c r="RNV47" s="674"/>
      <c r="RNW47" s="674"/>
      <c r="RNX47" s="674"/>
      <c r="RNY47" s="674"/>
      <c r="RNZ47" s="674"/>
      <c r="ROA47" s="674"/>
      <c r="ROB47" s="674"/>
      <c r="ROC47" s="674"/>
      <c r="ROD47" s="674"/>
      <c r="ROE47" s="674"/>
      <c r="ROF47" s="674"/>
      <c r="ROG47" s="674"/>
      <c r="ROH47" s="674"/>
      <c r="ROI47" s="674"/>
      <c r="ROJ47" s="674"/>
      <c r="ROK47" s="674"/>
      <c r="ROL47" s="674"/>
      <c r="ROM47" s="674"/>
      <c r="RON47" s="674"/>
      <c r="ROO47" s="674"/>
      <c r="ROP47" s="674"/>
      <c r="ROQ47" s="674"/>
      <c r="ROR47" s="674"/>
      <c r="ROS47" s="674"/>
      <c r="ROT47" s="674"/>
      <c r="ROU47" s="674"/>
      <c r="ROV47" s="674"/>
      <c r="ROW47" s="674"/>
      <c r="ROX47" s="674"/>
      <c r="ROY47" s="674"/>
      <c r="ROZ47" s="674"/>
      <c r="RPA47" s="674"/>
      <c r="RPB47" s="674"/>
      <c r="RPC47" s="674"/>
      <c r="RPD47" s="674"/>
      <c r="RPE47" s="674"/>
      <c r="RPF47" s="674"/>
      <c r="RPG47" s="674"/>
      <c r="RPH47" s="674"/>
      <c r="RPI47" s="674"/>
      <c r="RPJ47" s="674"/>
      <c r="RPK47" s="674"/>
      <c r="RPL47" s="674"/>
      <c r="RPM47" s="674"/>
      <c r="RPN47" s="674"/>
      <c r="RPO47" s="674"/>
      <c r="RPP47" s="674"/>
      <c r="RPQ47" s="674"/>
      <c r="RPR47" s="674"/>
      <c r="RPS47" s="674"/>
      <c r="RPT47" s="674"/>
      <c r="RPU47" s="674"/>
      <c r="RPV47" s="674"/>
      <c r="RPW47" s="674"/>
      <c r="RPX47" s="674"/>
      <c r="RPY47" s="674"/>
      <c r="RPZ47" s="674"/>
      <c r="RQA47" s="674"/>
      <c r="RQB47" s="674"/>
      <c r="RQC47" s="674"/>
      <c r="RQD47" s="674"/>
      <c r="RQE47" s="674"/>
      <c r="RQF47" s="674"/>
      <c r="RQG47" s="674"/>
      <c r="RQH47" s="674"/>
      <c r="RQI47" s="674"/>
      <c r="RQJ47" s="674"/>
      <c r="RQK47" s="674"/>
      <c r="RQL47" s="674"/>
      <c r="RQM47" s="674"/>
      <c r="RQN47" s="674"/>
      <c r="RQO47" s="674"/>
      <c r="RQP47" s="674"/>
      <c r="RQQ47" s="674"/>
      <c r="RQR47" s="674"/>
      <c r="RQS47" s="674"/>
      <c r="RQT47" s="674"/>
      <c r="RQU47" s="674"/>
      <c r="RQV47" s="674"/>
      <c r="RQW47" s="674"/>
      <c r="RQX47" s="674"/>
      <c r="RQY47" s="674"/>
      <c r="RQZ47" s="674"/>
      <c r="RRA47" s="674"/>
      <c r="RRB47" s="674"/>
      <c r="RRC47" s="674"/>
      <c r="RRD47" s="674"/>
      <c r="RRE47" s="674"/>
      <c r="RRF47" s="674"/>
      <c r="RRG47" s="674"/>
      <c r="RRH47" s="674"/>
      <c r="RRI47" s="674"/>
      <c r="RRJ47" s="674"/>
      <c r="RRK47" s="674"/>
      <c r="RRL47" s="674"/>
      <c r="RRM47" s="674"/>
      <c r="RRN47" s="674"/>
      <c r="RRO47" s="674"/>
      <c r="RRP47" s="674"/>
      <c r="RRQ47" s="674"/>
      <c r="RRR47" s="674"/>
      <c r="RRS47" s="674"/>
      <c r="RRT47" s="674"/>
      <c r="RRU47" s="674"/>
      <c r="RRV47" s="674"/>
      <c r="RRW47" s="674"/>
      <c r="RRX47" s="674"/>
      <c r="RRY47" s="674"/>
      <c r="RRZ47" s="674"/>
      <c r="RSA47" s="674"/>
      <c r="RSB47" s="674"/>
      <c r="RSC47" s="674"/>
      <c r="RSD47" s="674"/>
      <c r="RSE47" s="674"/>
      <c r="RSF47" s="674"/>
      <c r="RSG47" s="674"/>
      <c r="RSH47" s="674"/>
      <c r="RSI47" s="674"/>
      <c r="RSJ47" s="674"/>
      <c r="RSK47" s="674"/>
      <c r="RSL47" s="674"/>
      <c r="RSM47" s="674"/>
      <c r="RSN47" s="674"/>
      <c r="RSO47" s="674"/>
      <c r="RSP47" s="674"/>
      <c r="RSQ47" s="674"/>
      <c r="RSR47" s="674"/>
      <c r="RSS47" s="674"/>
      <c r="RST47" s="674"/>
      <c r="RSU47" s="674"/>
      <c r="RSV47" s="674"/>
      <c r="RSW47" s="674"/>
      <c r="RSX47" s="674"/>
      <c r="RSY47" s="674"/>
      <c r="RSZ47" s="674"/>
      <c r="RTA47" s="674"/>
      <c r="RTB47" s="674"/>
      <c r="RTC47" s="674"/>
      <c r="RTD47" s="674"/>
      <c r="RTE47" s="674"/>
      <c r="RTF47" s="674"/>
      <c r="RTG47" s="674"/>
      <c r="RTH47" s="674"/>
      <c r="RTI47" s="674"/>
      <c r="RTJ47" s="674"/>
      <c r="RTK47" s="674"/>
      <c r="RTL47" s="674"/>
      <c r="RTM47" s="674"/>
      <c r="RTN47" s="674"/>
      <c r="RTO47" s="674"/>
      <c r="RTP47" s="674"/>
      <c r="RTQ47" s="674"/>
      <c r="RTR47" s="674"/>
      <c r="RTS47" s="674"/>
      <c r="RTT47" s="674"/>
      <c r="RTU47" s="674"/>
      <c r="RTV47" s="674"/>
      <c r="RTW47" s="674"/>
      <c r="RTX47" s="674"/>
      <c r="RTY47" s="674"/>
      <c r="RTZ47" s="674"/>
      <c r="RUA47" s="674"/>
      <c r="RUB47" s="674"/>
      <c r="RUC47" s="674"/>
      <c r="RUD47" s="674"/>
      <c r="RUE47" s="674"/>
      <c r="RUF47" s="674"/>
      <c r="RUG47" s="674"/>
      <c r="RUH47" s="674"/>
      <c r="RUI47" s="674"/>
      <c r="RUJ47" s="674"/>
      <c r="RUK47" s="674"/>
      <c r="RUL47" s="674"/>
      <c r="RUM47" s="674"/>
      <c r="RUN47" s="674"/>
      <c r="RUO47" s="674"/>
      <c r="RUP47" s="674"/>
      <c r="RUQ47" s="674"/>
      <c r="RUR47" s="674"/>
      <c r="RUS47" s="674"/>
      <c r="RUT47" s="674"/>
      <c r="RUU47" s="674"/>
      <c r="RUV47" s="674"/>
      <c r="RUW47" s="674"/>
      <c r="RUX47" s="674"/>
      <c r="RUY47" s="674"/>
      <c r="RUZ47" s="674"/>
      <c r="RVA47" s="674"/>
      <c r="RVB47" s="674"/>
      <c r="RVC47" s="674"/>
      <c r="RVD47" s="674"/>
      <c r="RVE47" s="674"/>
      <c r="RVF47" s="674"/>
      <c r="RVG47" s="674"/>
      <c r="RVH47" s="674"/>
      <c r="RVI47" s="674"/>
      <c r="RVJ47" s="674"/>
      <c r="RVK47" s="674"/>
      <c r="RVL47" s="674"/>
      <c r="RVM47" s="674"/>
      <c r="RVN47" s="674"/>
      <c r="RVO47" s="674"/>
      <c r="RVP47" s="674"/>
      <c r="RVQ47" s="674"/>
      <c r="RVR47" s="674"/>
      <c r="RVS47" s="674"/>
      <c r="RVT47" s="674"/>
      <c r="RVU47" s="674"/>
      <c r="RVV47" s="674"/>
      <c r="RVW47" s="674"/>
      <c r="RVX47" s="674"/>
      <c r="RVY47" s="674"/>
      <c r="RVZ47" s="674"/>
      <c r="RWA47" s="674"/>
      <c r="RWB47" s="674"/>
      <c r="RWC47" s="674"/>
      <c r="RWD47" s="674"/>
      <c r="RWE47" s="674"/>
      <c r="RWF47" s="674"/>
      <c r="RWG47" s="674"/>
      <c r="RWH47" s="674"/>
      <c r="RWI47" s="674"/>
      <c r="RWJ47" s="674"/>
      <c r="RWK47" s="674"/>
      <c r="RWL47" s="674"/>
      <c r="RWM47" s="674"/>
      <c r="RWN47" s="674"/>
      <c r="RWO47" s="674"/>
      <c r="RWP47" s="674"/>
      <c r="RWQ47" s="674"/>
      <c r="RWR47" s="674"/>
      <c r="RWS47" s="674"/>
      <c r="RWT47" s="674"/>
      <c r="RWU47" s="674"/>
      <c r="RWV47" s="674"/>
      <c r="RWW47" s="674"/>
      <c r="RWX47" s="674"/>
      <c r="RWY47" s="674"/>
      <c r="RWZ47" s="674"/>
      <c r="RXA47" s="674"/>
      <c r="RXB47" s="674"/>
      <c r="RXC47" s="674"/>
      <c r="RXD47" s="674"/>
      <c r="RXE47" s="674"/>
      <c r="RXF47" s="674"/>
      <c r="RXG47" s="674"/>
      <c r="RXH47" s="674"/>
      <c r="RXI47" s="674"/>
      <c r="RXJ47" s="674"/>
      <c r="RXK47" s="674"/>
      <c r="RXL47" s="674"/>
      <c r="RXM47" s="674"/>
      <c r="RXN47" s="674"/>
      <c r="RXO47" s="674"/>
      <c r="RXP47" s="674"/>
      <c r="RXQ47" s="674"/>
      <c r="RXR47" s="674"/>
      <c r="RXS47" s="674"/>
      <c r="RXT47" s="674"/>
      <c r="RXU47" s="674"/>
      <c r="RXV47" s="674"/>
      <c r="RXW47" s="674"/>
      <c r="RXX47" s="674"/>
      <c r="RXY47" s="674"/>
      <c r="RXZ47" s="674"/>
      <c r="RYA47" s="674"/>
      <c r="RYB47" s="674"/>
      <c r="RYC47" s="674"/>
      <c r="RYD47" s="674"/>
      <c r="RYE47" s="674"/>
      <c r="RYF47" s="674"/>
      <c r="RYG47" s="674"/>
      <c r="RYH47" s="674"/>
      <c r="RYI47" s="674"/>
      <c r="RYJ47" s="674"/>
      <c r="RYK47" s="674"/>
      <c r="RYL47" s="674"/>
      <c r="RYM47" s="674"/>
      <c r="RYN47" s="674"/>
      <c r="RYO47" s="674"/>
      <c r="RYP47" s="674"/>
      <c r="RYQ47" s="674"/>
      <c r="RYR47" s="674"/>
      <c r="RYS47" s="674"/>
      <c r="RYT47" s="674"/>
      <c r="RYU47" s="674"/>
      <c r="RYV47" s="674"/>
      <c r="RYW47" s="674"/>
      <c r="RYX47" s="674"/>
      <c r="RYY47" s="674"/>
      <c r="RYZ47" s="674"/>
      <c r="RZA47" s="674"/>
      <c r="RZB47" s="674"/>
      <c r="RZC47" s="674"/>
      <c r="RZD47" s="674"/>
      <c r="RZE47" s="674"/>
      <c r="RZF47" s="674"/>
      <c r="RZG47" s="674"/>
      <c r="RZH47" s="674"/>
      <c r="RZI47" s="674"/>
      <c r="RZJ47" s="674"/>
      <c r="RZK47" s="674"/>
      <c r="RZL47" s="674"/>
      <c r="RZM47" s="674"/>
      <c r="RZN47" s="674"/>
      <c r="RZO47" s="674"/>
      <c r="RZP47" s="674"/>
      <c r="RZQ47" s="674"/>
      <c r="RZR47" s="674"/>
      <c r="RZS47" s="674"/>
      <c r="RZT47" s="674"/>
      <c r="RZU47" s="674"/>
      <c r="RZV47" s="674"/>
      <c r="RZW47" s="674"/>
      <c r="RZX47" s="674"/>
      <c r="RZY47" s="674"/>
      <c r="RZZ47" s="674"/>
      <c r="SAA47" s="674"/>
      <c r="SAB47" s="674"/>
      <c r="SAC47" s="674"/>
      <c r="SAD47" s="674"/>
      <c r="SAE47" s="674"/>
      <c r="SAF47" s="674"/>
      <c r="SAG47" s="674"/>
      <c r="SAH47" s="674"/>
      <c r="SAI47" s="674"/>
      <c r="SAJ47" s="674"/>
      <c r="SAK47" s="674"/>
      <c r="SAL47" s="674"/>
      <c r="SAM47" s="674"/>
      <c r="SAN47" s="674"/>
      <c r="SAO47" s="674"/>
      <c r="SAP47" s="674"/>
      <c r="SAQ47" s="674"/>
      <c r="SAR47" s="674"/>
      <c r="SAS47" s="674"/>
      <c r="SAT47" s="674"/>
      <c r="SAU47" s="674"/>
      <c r="SAV47" s="674"/>
      <c r="SAW47" s="674"/>
      <c r="SAX47" s="674"/>
      <c r="SAY47" s="674"/>
      <c r="SAZ47" s="674"/>
      <c r="SBA47" s="674"/>
      <c r="SBB47" s="674"/>
      <c r="SBC47" s="674"/>
      <c r="SBD47" s="674"/>
      <c r="SBE47" s="674"/>
      <c r="SBF47" s="674"/>
      <c r="SBG47" s="674"/>
      <c r="SBH47" s="674"/>
      <c r="SBI47" s="674"/>
      <c r="SBJ47" s="674"/>
      <c r="SBK47" s="674"/>
      <c r="SBL47" s="674"/>
      <c r="SBM47" s="674"/>
      <c r="SBN47" s="674"/>
      <c r="SBO47" s="674"/>
      <c r="SBP47" s="674"/>
      <c r="SBQ47" s="674"/>
      <c r="SBR47" s="674"/>
      <c r="SBS47" s="674"/>
      <c r="SBT47" s="674"/>
      <c r="SBU47" s="674"/>
      <c r="SBV47" s="674"/>
      <c r="SBW47" s="674"/>
      <c r="SBX47" s="674"/>
      <c r="SBY47" s="674"/>
      <c r="SBZ47" s="674"/>
      <c r="SCA47" s="674"/>
      <c r="SCB47" s="674"/>
      <c r="SCC47" s="674"/>
      <c r="SCD47" s="674"/>
      <c r="SCE47" s="674"/>
      <c r="SCF47" s="674"/>
      <c r="SCG47" s="674"/>
      <c r="SCH47" s="674"/>
      <c r="SCI47" s="674"/>
      <c r="SCJ47" s="674"/>
      <c r="SCK47" s="674"/>
      <c r="SCL47" s="674"/>
      <c r="SCM47" s="674"/>
      <c r="SCN47" s="674"/>
      <c r="SCO47" s="674"/>
      <c r="SCP47" s="674"/>
      <c r="SCQ47" s="674"/>
      <c r="SCR47" s="674"/>
      <c r="SCS47" s="674"/>
      <c r="SCT47" s="674"/>
      <c r="SCU47" s="674"/>
      <c r="SCV47" s="674"/>
      <c r="SCW47" s="674"/>
      <c r="SCX47" s="674"/>
      <c r="SCY47" s="674"/>
      <c r="SCZ47" s="674"/>
      <c r="SDA47" s="674"/>
      <c r="SDB47" s="674"/>
      <c r="SDC47" s="674"/>
      <c r="SDD47" s="674"/>
      <c r="SDE47" s="674"/>
      <c r="SDF47" s="674"/>
      <c r="SDG47" s="674"/>
      <c r="SDH47" s="674"/>
      <c r="SDI47" s="674"/>
      <c r="SDJ47" s="674"/>
      <c r="SDK47" s="674"/>
      <c r="SDL47" s="674"/>
      <c r="SDM47" s="674"/>
      <c r="SDN47" s="674"/>
      <c r="SDO47" s="674"/>
      <c r="SDP47" s="674"/>
      <c r="SDQ47" s="674"/>
      <c r="SDR47" s="674"/>
      <c r="SDS47" s="674"/>
      <c r="SDT47" s="674"/>
      <c r="SDU47" s="674"/>
      <c r="SDV47" s="674"/>
      <c r="SDW47" s="674"/>
      <c r="SDX47" s="674"/>
      <c r="SDY47" s="674"/>
      <c r="SDZ47" s="674"/>
      <c r="SEA47" s="674"/>
      <c r="SEB47" s="674"/>
      <c r="SEC47" s="674"/>
      <c r="SED47" s="674"/>
      <c r="SEE47" s="674"/>
      <c r="SEF47" s="674"/>
      <c r="SEG47" s="674"/>
      <c r="SEH47" s="674"/>
      <c r="SEI47" s="674"/>
      <c r="SEJ47" s="674"/>
      <c r="SEK47" s="674"/>
      <c r="SEL47" s="674"/>
      <c r="SEM47" s="674"/>
      <c r="SEN47" s="674"/>
      <c r="SEO47" s="674"/>
      <c r="SEP47" s="674"/>
      <c r="SEQ47" s="674"/>
      <c r="SER47" s="674"/>
      <c r="SES47" s="674"/>
      <c r="SET47" s="674"/>
      <c r="SEU47" s="674"/>
      <c r="SEV47" s="674"/>
      <c r="SEW47" s="674"/>
      <c r="SEX47" s="674"/>
      <c r="SEY47" s="674"/>
      <c r="SEZ47" s="674"/>
      <c r="SFA47" s="674"/>
      <c r="SFB47" s="674"/>
      <c r="SFC47" s="674"/>
      <c r="SFD47" s="674"/>
      <c r="SFE47" s="674"/>
      <c r="SFF47" s="674"/>
      <c r="SFG47" s="674"/>
      <c r="SFH47" s="674"/>
      <c r="SFI47" s="674"/>
      <c r="SFJ47" s="674"/>
      <c r="SFK47" s="674"/>
      <c r="SFL47" s="674"/>
      <c r="SFM47" s="674"/>
      <c r="SFN47" s="674"/>
      <c r="SFO47" s="674"/>
      <c r="SFP47" s="674"/>
      <c r="SFQ47" s="674"/>
      <c r="SFR47" s="674"/>
      <c r="SFS47" s="674"/>
      <c r="SFT47" s="674"/>
      <c r="SFU47" s="674"/>
      <c r="SFV47" s="674"/>
      <c r="SFW47" s="674"/>
      <c r="SFX47" s="674"/>
      <c r="SFY47" s="674"/>
      <c r="SFZ47" s="674"/>
      <c r="SGA47" s="674"/>
      <c r="SGB47" s="674"/>
      <c r="SGC47" s="674"/>
      <c r="SGD47" s="674"/>
      <c r="SGE47" s="674"/>
      <c r="SGF47" s="674"/>
      <c r="SGG47" s="674"/>
      <c r="SGH47" s="674"/>
      <c r="SGI47" s="674"/>
      <c r="SGJ47" s="674"/>
      <c r="SGK47" s="674"/>
      <c r="SGL47" s="674"/>
      <c r="SGM47" s="674"/>
      <c r="SGN47" s="674"/>
      <c r="SGO47" s="674"/>
      <c r="SGP47" s="674"/>
      <c r="SGQ47" s="674"/>
      <c r="SGR47" s="674"/>
      <c r="SGS47" s="674"/>
      <c r="SGT47" s="674"/>
      <c r="SGU47" s="674"/>
      <c r="SGV47" s="674"/>
      <c r="SGW47" s="674"/>
      <c r="SGX47" s="674"/>
      <c r="SGY47" s="674"/>
      <c r="SGZ47" s="674"/>
      <c r="SHA47" s="674"/>
      <c r="SHB47" s="674"/>
      <c r="SHC47" s="674"/>
      <c r="SHD47" s="674"/>
      <c r="SHE47" s="674"/>
      <c r="SHF47" s="674"/>
      <c r="SHG47" s="674"/>
      <c r="SHH47" s="674"/>
      <c r="SHI47" s="674"/>
      <c r="SHJ47" s="674"/>
      <c r="SHK47" s="674"/>
      <c r="SHL47" s="674"/>
      <c r="SHM47" s="674"/>
      <c r="SHN47" s="674"/>
      <c r="SHO47" s="674"/>
      <c r="SHP47" s="674"/>
      <c r="SHQ47" s="674"/>
      <c r="SHR47" s="674"/>
      <c r="SHS47" s="674"/>
      <c r="SHT47" s="674"/>
      <c r="SHU47" s="674"/>
      <c r="SHV47" s="674"/>
      <c r="SHW47" s="674"/>
      <c r="SHX47" s="674"/>
      <c r="SHY47" s="674"/>
      <c r="SHZ47" s="674"/>
      <c r="SIA47" s="674"/>
      <c r="SIB47" s="674"/>
      <c r="SIC47" s="674"/>
      <c r="SID47" s="674"/>
      <c r="SIE47" s="674"/>
      <c r="SIF47" s="674"/>
      <c r="SIG47" s="674"/>
      <c r="SIH47" s="674"/>
      <c r="SII47" s="674"/>
      <c r="SIJ47" s="674"/>
      <c r="SIK47" s="674"/>
      <c r="SIL47" s="674"/>
      <c r="SIM47" s="674"/>
      <c r="SIN47" s="674"/>
      <c r="SIO47" s="674"/>
      <c r="SIP47" s="674"/>
      <c r="SIQ47" s="674"/>
      <c r="SIR47" s="674"/>
      <c r="SIS47" s="674"/>
      <c r="SIT47" s="674"/>
      <c r="SIU47" s="674"/>
      <c r="SIV47" s="674"/>
      <c r="SIW47" s="674"/>
      <c r="SIX47" s="674"/>
      <c r="SIY47" s="674"/>
      <c r="SIZ47" s="674"/>
      <c r="SJA47" s="674"/>
      <c r="SJB47" s="674"/>
      <c r="SJC47" s="674"/>
      <c r="SJD47" s="674"/>
      <c r="SJE47" s="674"/>
      <c r="SJF47" s="674"/>
      <c r="SJG47" s="674"/>
      <c r="SJH47" s="674"/>
      <c r="SJI47" s="674"/>
      <c r="SJJ47" s="674"/>
      <c r="SJK47" s="674"/>
      <c r="SJL47" s="674"/>
      <c r="SJM47" s="674"/>
      <c r="SJN47" s="674"/>
      <c r="SJO47" s="674"/>
      <c r="SJP47" s="674"/>
      <c r="SJQ47" s="674"/>
      <c r="SJR47" s="674"/>
      <c r="SJS47" s="674"/>
      <c r="SJT47" s="674"/>
      <c r="SJU47" s="674"/>
      <c r="SJV47" s="674"/>
      <c r="SJW47" s="674"/>
      <c r="SJX47" s="674"/>
      <c r="SJY47" s="674"/>
      <c r="SJZ47" s="674"/>
      <c r="SKA47" s="674"/>
      <c r="SKB47" s="674"/>
      <c r="SKC47" s="674"/>
      <c r="SKD47" s="674"/>
      <c r="SKE47" s="674"/>
      <c r="SKF47" s="674"/>
      <c r="SKG47" s="674"/>
      <c r="SKH47" s="674"/>
      <c r="SKI47" s="674"/>
      <c r="SKJ47" s="674"/>
      <c r="SKK47" s="674"/>
      <c r="SKL47" s="674"/>
      <c r="SKM47" s="674"/>
      <c r="SKN47" s="674"/>
      <c r="SKO47" s="674"/>
      <c r="SKP47" s="674"/>
      <c r="SKQ47" s="674"/>
      <c r="SKR47" s="674"/>
      <c r="SKS47" s="674"/>
      <c r="SKT47" s="674"/>
      <c r="SKU47" s="674"/>
      <c r="SKV47" s="674"/>
      <c r="SKW47" s="674"/>
      <c r="SKX47" s="674"/>
      <c r="SKY47" s="674"/>
      <c r="SKZ47" s="674"/>
      <c r="SLA47" s="674"/>
      <c r="SLB47" s="674"/>
      <c r="SLC47" s="674"/>
      <c r="SLD47" s="674"/>
      <c r="SLE47" s="674"/>
      <c r="SLF47" s="674"/>
      <c r="SLG47" s="674"/>
      <c r="SLH47" s="674"/>
      <c r="SLI47" s="674"/>
      <c r="SLJ47" s="674"/>
      <c r="SLK47" s="674"/>
      <c r="SLL47" s="674"/>
      <c r="SLM47" s="674"/>
      <c r="SLN47" s="674"/>
      <c r="SLO47" s="674"/>
      <c r="SLP47" s="674"/>
      <c r="SLQ47" s="674"/>
      <c r="SLR47" s="674"/>
      <c r="SLS47" s="674"/>
      <c r="SLT47" s="674"/>
      <c r="SLU47" s="674"/>
      <c r="SLV47" s="674"/>
      <c r="SLW47" s="674"/>
      <c r="SLX47" s="674"/>
      <c r="SLY47" s="674"/>
      <c r="SLZ47" s="674"/>
      <c r="SMA47" s="674"/>
      <c r="SMB47" s="674"/>
      <c r="SMC47" s="674"/>
      <c r="SMD47" s="674"/>
      <c r="SME47" s="674"/>
      <c r="SMF47" s="674"/>
      <c r="SMG47" s="674"/>
      <c r="SMH47" s="674"/>
      <c r="SMI47" s="674"/>
      <c r="SMJ47" s="674"/>
      <c r="SMK47" s="674"/>
      <c r="SML47" s="674"/>
      <c r="SMM47" s="674"/>
      <c r="SMN47" s="674"/>
      <c r="SMO47" s="674"/>
      <c r="SMP47" s="674"/>
      <c r="SMQ47" s="674"/>
      <c r="SMR47" s="674"/>
      <c r="SMS47" s="674"/>
      <c r="SMT47" s="674"/>
      <c r="SMU47" s="674"/>
      <c r="SMV47" s="674"/>
      <c r="SMW47" s="674"/>
      <c r="SMX47" s="674"/>
      <c r="SMY47" s="674"/>
      <c r="SMZ47" s="674"/>
      <c r="SNA47" s="674"/>
      <c r="SNB47" s="674"/>
      <c r="SNC47" s="674"/>
      <c r="SND47" s="674"/>
      <c r="SNE47" s="674"/>
      <c r="SNF47" s="674"/>
      <c r="SNG47" s="674"/>
      <c r="SNH47" s="674"/>
      <c r="SNI47" s="674"/>
      <c r="SNJ47" s="674"/>
      <c r="SNK47" s="674"/>
      <c r="SNL47" s="674"/>
      <c r="SNM47" s="674"/>
      <c r="SNN47" s="674"/>
      <c r="SNO47" s="674"/>
      <c r="SNP47" s="674"/>
      <c r="SNQ47" s="674"/>
      <c r="SNR47" s="674"/>
      <c r="SNS47" s="674"/>
      <c r="SNT47" s="674"/>
      <c r="SNU47" s="674"/>
      <c r="SNV47" s="674"/>
      <c r="SNW47" s="674"/>
      <c r="SNX47" s="674"/>
      <c r="SNY47" s="674"/>
      <c r="SNZ47" s="674"/>
      <c r="SOA47" s="674"/>
      <c r="SOB47" s="674"/>
      <c r="SOC47" s="674"/>
      <c r="SOD47" s="674"/>
      <c r="SOE47" s="674"/>
      <c r="SOF47" s="674"/>
      <c r="SOG47" s="674"/>
      <c r="SOH47" s="674"/>
      <c r="SOI47" s="674"/>
      <c r="SOJ47" s="674"/>
      <c r="SOK47" s="674"/>
      <c r="SOL47" s="674"/>
      <c r="SOM47" s="674"/>
      <c r="SON47" s="674"/>
      <c r="SOO47" s="674"/>
      <c r="SOP47" s="674"/>
      <c r="SOQ47" s="674"/>
      <c r="SOR47" s="674"/>
      <c r="SOS47" s="674"/>
      <c r="SOT47" s="674"/>
      <c r="SOU47" s="674"/>
      <c r="SOV47" s="674"/>
      <c r="SOW47" s="674"/>
      <c r="SOX47" s="674"/>
      <c r="SOY47" s="674"/>
      <c r="SOZ47" s="674"/>
      <c r="SPA47" s="674"/>
      <c r="SPB47" s="674"/>
      <c r="SPC47" s="674"/>
      <c r="SPD47" s="674"/>
      <c r="SPE47" s="674"/>
      <c r="SPF47" s="674"/>
      <c r="SPG47" s="674"/>
      <c r="SPH47" s="674"/>
      <c r="SPI47" s="674"/>
      <c r="SPJ47" s="674"/>
      <c r="SPK47" s="674"/>
      <c r="SPL47" s="674"/>
      <c r="SPM47" s="674"/>
      <c r="SPN47" s="674"/>
      <c r="SPO47" s="674"/>
      <c r="SPP47" s="674"/>
      <c r="SPQ47" s="674"/>
      <c r="SPR47" s="674"/>
      <c r="SPS47" s="674"/>
      <c r="SPT47" s="674"/>
      <c r="SPU47" s="674"/>
      <c r="SPV47" s="674"/>
      <c r="SPW47" s="674"/>
      <c r="SPX47" s="674"/>
      <c r="SPY47" s="674"/>
      <c r="SPZ47" s="674"/>
      <c r="SQA47" s="674"/>
      <c r="SQB47" s="674"/>
      <c r="SQC47" s="674"/>
      <c r="SQD47" s="674"/>
      <c r="SQE47" s="674"/>
      <c r="SQF47" s="674"/>
      <c r="SQG47" s="674"/>
      <c r="SQH47" s="674"/>
      <c r="SQI47" s="674"/>
      <c r="SQJ47" s="674"/>
      <c r="SQK47" s="674"/>
      <c r="SQL47" s="674"/>
      <c r="SQM47" s="674"/>
      <c r="SQN47" s="674"/>
      <c r="SQO47" s="674"/>
      <c r="SQP47" s="674"/>
      <c r="SQQ47" s="674"/>
      <c r="SQR47" s="674"/>
      <c r="SQS47" s="674"/>
      <c r="SQT47" s="674"/>
      <c r="SQU47" s="674"/>
      <c r="SQV47" s="674"/>
      <c r="SQW47" s="674"/>
      <c r="SQX47" s="674"/>
      <c r="SQY47" s="674"/>
      <c r="SQZ47" s="674"/>
      <c r="SRA47" s="674"/>
      <c r="SRB47" s="674"/>
      <c r="SRC47" s="674"/>
      <c r="SRD47" s="674"/>
      <c r="SRE47" s="674"/>
      <c r="SRF47" s="674"/>
      <c r="SRG47" s="674"/>
      <c r="SRH47" s="674"/>
      <c r="SRI47" s="674"/>
      <c r="SRJ47" s="674"/>
      <c r="SRK47" s="674"/>
      <c r="SRL47" s="674"/>
      <c r="SRM47" s="674"/>
      <c r="SRN47" s="674"/>
      <c r="SRO47" s="674"/>
      <c r="SRP47" s="674"/>
      <c r="SRQ47" s="674"/>
      <c r="SRR47" s="674"/>
      <c r="SRS47" s="674"/>
      <c r="SRT47" s="674"/>
      <c r="SRU47" s="674"/>
      <c r="SRV47" s="674"/>
      <c r="SRW47" s="674"/>
      <c r="SRX47" s="674"/>
      <c r="SRY47" s="674"/>
      <c r="SRZ47" s="674"/>
      <c r="SSA47" s="674"/>
      <c r="SSB47" s="674"/>
      <c r="SSC47" s="674"/>
      <c r="SSD47" s="674"/>
      <c r="SSE47" s="674"/>
      <c r="SSF47" s="674"/>
      <c r="SSG47" s="674"/>
      <c r="SSH47" s="674"/>
      <c r="SSI47" s="674"/>
      <c r="SSJ47" s="674"/>
      <c r="SSK47" s="674"/>
      <c r="SSL47" s="674"/>
      <c r="SSM47" s="674"/>
      <c r="SSN47" s="674"/>
      <c r="SSO47" s="674"/>
      <c r="SSP47" s="674"/>
      <c r="SSQ47" s="674"/>
      <c r="SSR47" s="674"/>
      <c r="SSS47" s="674"/>
      <c r="SST47" s="674"/>
      <c r="SSU47" s="674"/>
      <c r="SSV47" s="674"/>
      <c r="SSW47" s="674"/>
      <c r="SSX47" s="674"/>
      <c r="SSY47" s="674"/>
      <c r="SSZ47" s="674"/>
      <c r="STA47" s="674"/>
      <c r="STB47" s="674"/>
      <c r="STC47" s="674"/>
      <c r="STD47" s="674"/>
      <c r="STE47" s="674"/>
      <c r="STF47" s="674"/>
      <c r="STG47" s="674"/>
      <c r="STH47" s="674"/>
      <c r="STI47" s="674"/>
      <c r="STJ47" s="674"/>
      <c r="STK47" s="674"/>
      <c r="STL47" s="674"/>
      <c r="STM47" s="674"/>
      <c r="STN47" s="674"/>
      <c r="STO47" s="674"/>
      <c r="STP47" s="674"/>
      <c r="STQ47" s="674"/>
      <c r="STR47" s="674"/>
      <c r="STS47" s="674"/>
      <c r="STT47" s="674"/>
      <c r="STU47" s="674"/>
      <c r="STV47" s="674"/>
      <c r="STW47" s="674"/>
      <c r="STX47" s="674"/>
      <c r="STY47" s="674"/>
      <c r="STZ47" s="674"/>
      <c r="SUA47" s="674"/>
      <c r="SUB47" s="674"/>
      <c r="SUC47" s="674"/>
      <c r="SUD47" s="674"/>
      <c r="SUE47" s="674"/>
      <c r="SUF47" s="674"/>
      <c r="SUG47" s="674"/>
      <c r="SUH47" s="674"/>
      <c r="SUI47" s="674"/>
      <c r="SUJ47" s="674"/>
      <c r="SUK47" s="674"/>
      <c r="SUL47" s="674"/>
      <c r="SUM47" s="674"/>
      <c r="SUN47" s="674"/>
      <c r="SUO47" s="674"/>
      <c r="SUP47" s="674"/>
      <c r="SUQ47" s="674"/>
      <c r="SUR47" s="674"/>
      <c r="SUS47" s="674"/>
      <c r="SUT47" s="674"/>
      <c r="SUU47" s="674"/>
      <c r="SUV47" s="674"/>
      <c r="SUW47" s="674"/>
      <c r="SUX47" s="674"/>
      <c r="SUY47" s="674"/>
      <c r="SUZ47" s="674"/>
      <c r="SVA47" s="674"/>
      <c r="SVB47" s="674"/>
      <c r="SVC47" s="674"/>
      <c r="SVD47" s="674"/>
      <c r="SVE47" s="674"/>
      <c r="SVF47" s="674"/>
      <c r="SVG47" s="674"/>
      <c r="SVH47" s="674"/>
      <c r="SVI47" s="674"/>
      <c r="SVJ47" s="674"/>
      <c r="SVK47" s="674"/>
      <c r="SVL47" s="674"/>
      <c r="SVM47" s="674"/>
      <c r="SVN47" s="674"/>
      <c r="SVO47" s="674"/>
      <c r="SVP47" s="674"/>
      <c r="SVQ47" s="674"/>
      <c r="SVR47" s="674"/>
      <c r="SVS47" s="674"/>
      <c r="SVT47" s="674"/>
      <c r="SVU47" s="674"/>
      <c r="SVV47" s="674"/>
      <c r="SVW47" s="674"/>
      <c r="SVX47" s="674"/>
      <c r="SVY47" s="674"/>
      <c r="SVZ47" s="674"/>
      <c r="SWA47" s="674"/>
      <c r="SWB47" s="674"/>
      <c r="SWC47" s="674"/>
      <c r="SWD47" s="674"/>
      <c r="SWE47" s="674"/>
      <c r="SWF47" s="674"/>
      <c r="SWG47" s="674"/>
      <c r="SWH47" s="674"/>
      <c r="SWI47" s="674"/>
      <c r="SWJ47" s="674"/>
      <c r="SWK47" s="674"/>
      <c r="SWL47" s="674"/>
      <c r="SWM47" s="674"/>
      <c r="SWN47" s="674"/>
      <c r="SWO47" s="674"/>
      <c r="SWP47" s="674"/>
      <c r="SWQ47" s="674"/>
      <c r="SWR47" s="674"/>
      <c r="SWS47" s="674"/>
      <c r="SWT47" s="674"/>
      <c r="SWU47" s="674"/>
      <c r="SWV47" s="674"/>
      <c r="SWW47" s="674"/>
      <c r="SWX47" s="674"/>
      <c r="SWY47" s="674"/>
      <c r="SWZ47" s="674"/>
      <c r="SXA47" s="674"/>
      <c r="SXB47" s="674"/>
      <c r="SXC47" s="674"/>
      <c r="SXD47" s="674"/>
      <c r="SXE47" s="674"/>
      <c r="SXF47" s="674"/>
      <c r="SXG47" s="674"/>
      <c r="SXH47" s="674"/>
      <c r="SXI47" s="674"/>
      <c r="SXJ47" s="674"/>
      <c r="SXK47" s="674"/>
      <c r="SXL47" s="674"/>
      <c r="SXM47" s="674"/>
      <c r="SXN47" s="674"/>
      <c r="SXO47" s="674"/>
      <c r="SXP47" s="674"/>
      <c r="SXQ47" s="674"/>
      <c r="SXR47" s="674"/>
      <c r="SXS47" s="674"/>
      <c r="SXT47" s="674"/>
      <c r="SXU47" s="674"/>
      <c r="SXV47" s="674"/>
      <c r="SXW47" s="674"/>
      <c r="SXX47" s="674"/>
      <c r="SXY47" s="674"/>
      <c r="SXZ47" s="674"/>
      <c r="SYA47" s="674"/>
      <c r="SYB47" s="674"/>
      <c r="SYC47" s="674"/>
      <c r="SYD47" s="674"/>
      <c r="SYE47" s="674"/>
      <c r="SYF47" s="674"/>
      <c r="SYG47" s="674"/>
      <c r="SYH47" s="674"/>
      <c r="SYI47" s="674"/>
      <c r="SYJ47" s="674"/>
      <c r="SYK47" s="674"/>
      <c r="SYL47" s="674"/>
      <c r="SYM47" s="674"/>
      <c r="SYN47" s="674"/>
      <c r="SYO47" s="674"/>
      <c r="SYP47" s="674"/>
      <c r="SYQ47" s="674"/>
      <c r="SYR47" s="674"/>
      <c r="SYS47" s="674"/>
      <c r="SYT47" s="674"/>
      <c r="SYU47" s="674"/>
      <c r="SYV47" s="674"/>
      <c r="SYW47" s="674"/>
      <c r="SYX47" s="674"/>
      <c r="SYY47" s="674"/>
      <c r="SYZ47" s="674"/>
      <c r="SZA47" s="674"/>
      <c r="SZB47" s="674"/>
      <c r="SZC47" s="674"/>
      <c r="SZD47" s="674"/>
      <c r="SZE47" s="674"/>
      <c r="SZF47" s="674"/>
      <c r="SZG47" s="674"/>
      <c r="SZH47" s="674"/>
      <c r="SZI47" s="674"/>
      <c r="SZJ47" s="674"/>
      <c r="SZK47" s="674"/>
      <c r="SZL47" s="674"/>
      <c r="SZM47" s="674"/>
      <c r="SZN47" s="674"/>
      <c r="SZO47" s="674"/>
      <c r="SZP47" s="674"/>
      <c r="SZQ47" s="674"/>
      <c r="SZR47" s="674"/>
      <c r="SZS47" s="674"/>
      <c r="SZT47" s="674"/>
      <c r="SZU47" s="674"/>
      <c r="SZV47" s="674"/>
      <c r="SZW47" s="674"/>
      <c r="SZX47" s="674"/>
      <c r="SZY47" s="674"/>
      <c r="SZZ47" s="674"/>
      <c r="TAA47" s="674"/>
      <c r="TAB47" s="674"/>
      <c r="TAC47" s="674"/>
      <c r="TAD47" s="674"/>
      <c r="TAE47" s="674"/>
      <c r="TAF47" s="674"/>
      <c r="TAG47" s="674"/>
      <c r="TAH47" s="674"/>
      <c r="TAI47" s="674"/>
      <c r="TAJ47" s="674"/>
      <c r="TAK47" s="674"/>
      <c r="TAL47" s="674"/>
      <c r="TAM47" s="674"/>
      <c r="TAN47" s="674"/>
      <c r="TAO47" s="674"/>
      <c r="TAP47" s="674"/>
      <c r="TAQ47" s="674"/>
      <c r="TAR47" s="674"/>
      <c r="TAS47" s="674"/>
      <c r="TAT47" s="674"/>
      <c r="TAU47" s="674"/>
      <c r="TAV47" s="674"/>
      <c r="TAW47" s="674"/>
      <c r="TAX47" s="674"/>
      <c r="TAY47" s="674"/>
      <c r="TAZ47" s="674"/>
      <c r="TBA47" s="674"/>
      <c r="TBB47" s="674"/>
      <c r="TBC47" s="674"/>
      <c r="TBD47" s="674"/>
      <c r="TBE47" s="674"/>
      <c r="TBF47" s="674"/>
      <c r="TBG47" s="674"/>
      <c r="TBH47" s="674"/>
      <c r="TBI47" s="674"/>
      <c r="TBJ47" s="674"/>
      <c r="TBK47" s="674"/>
      <c r="TBL47" s="674"/>
      <c r="TBM47" s="674"/>
      <c r="TBN47" s="674"/>
      <c r="TBO47" s="674"/>
      <c r="TBP47" s="674"/>
      <c r="TBQ47" s="674"/>
      <c r="TBR47" s="674"/>
      <c r="TBS47" s="674"/>
      <c r="TBT47" s="674"/>
      <c r="TBU47" s="674"/>
      <c r="TBV47" s="674"/>
      <c r="TBW47" s="674"/>
      <c r="TBX47" s="674"/>
      <c r="TBY47" s="674"/>
      <c r="TBZ47" s="674"/>
      <c r="TCA47" s="674"/>
      <c r="TCB47" s="674"/>
      <c r="TCC47" s="674"/>
      <c r="TCD47" s="674"/>
      <c r="TCE47" s="674"/>
      <c r="TCF47" s="674"/>
      <c r="TCG47" s="674"/>
      <c r="TCH47" s="674"/>
      <c r="TCI47" s="674"/>
      <c r="TCJ47" s="674"/>
      <c r="TCK47" s="674"/>
      <c r="TCL47" s="674"/>
      <c r="TCM47" s="674"/>
      <c r="TCN47" s="674"/>
      <c r="TCO47" s="674"/>
      <c r="TCP47" s="674"/>
      <c r="TCQ47" s="674"/>
      <c r="TCR47" s="674"/>
      <c r="TCS47" s="674"/>
      <c r="TCT47" s="674"/>
      <c r="TCU47" s="674"/>
      <c r="TCV47" s="674"/>
      <c r="TCW47" s="674"/>
      <c r="TCX47" s="674"/>
      <c r="TCY47" s="674"/>
      <c r="TCZ47" s="674"/>
      <c r="TDA47" s="674"/>
      <c r="TDB47" s="674"/>
      <c r="TDC47" s="674"/>
      <c r="TDD47" s="674"/>
      <c r="TDE47" s="674"/>
      <c r="TDF47" s="674"/>
      <c r="TDG47" s="674"/>
      <c r="TDH47" s="674"/>
      <c r="TDI47" s="674"/>
      <c r="TDJ47" s="674"/>
      <c r="TDK47" s="674"/>
      <c r="TDL47" s="674"/>
      <c r="TDM47" s="674"/>
      <c r="TDN47" s="674"/>
      <c r="TDO47" s="674"/>
      <c r="TDP47" s="674"/>
      <c r="TDQ47" s="674"/>
      <c r="TDR47" s="674"/>
      <c r="TDS47" s="674"/>
      <c r="TDT47" s="674"/>
      <c r="TDU47" s="674"/>
      <c r="TDV47" s="674"/>
      <c r="TDW47" s="674"/>
      <c r="TDX47" s="674"/>
      <c r="TDY47" s="674"/>
      <c r="TDZ47" s="674"/>
      <c r="TEA47" s="674"/>
      <c r="TEB47" s="674"/>
      <c r="TEC47" s="674"/>
      <c r="TED47" s="674"/>
      <c r="TEE47" s="674"/>
      <c r="TEF47" s="674"/>
      <c r="TEG47" s="674"/>
      <c r="TEH47" s="674"/>
      <c r="TEI47" s="674"/>
      <c r="TEJ47" s="674"/>
      <c r="TEK47" s="674"/>
      <c r="TEL47" s="674"/>
      <c r="TEM47" s="674"/>
      <c r="TEN47" s="674"/>
      <c r="TEO47" s="674"/>
      <c r="TEP47" s="674"/>
      <c r="TEQ47" s="674"/>
      <c r="TER47" s="674"/>
      <c r="TES47" s="674"/>
      <c r="TET47" s="674"/>
      <c r="TEU47" s="674"/>
      <c r="TEV47" s="674"/>
      <c r="TEW47" s="674"/>
      <c r="TEX47" s="674"/>
      <c r="TEY47" s="674"/>
      <c r="TEZ47" s="674"/>
      <c r="TFA47" s="674"/>
      <c r="TFB47" s="674"/>
      <c r="TFC47" s="674"/>
      <c r="TFD47" s="674"/>
      <c r="TFE47" s="674"/>
      <c r="TFF47" s="674"/>
      <c r="TFG47" s="674"/>
      <c r="TFH47" s="674"/>
      <c r="TFI47" s="674"/>
      <c r="TFJ47" s="674"/>
      <c r="TFK47" s="674"/>
      <c r="TFL47" s="674"/>
      <c r="TFM47" s="674"/>
      <c r="TFN47" s="674"/>
      <c r="TFO47" s="674"/>
      <c r="TFP47" s="674"/>
      <c r="TFQ47" s="674"/>
      <c r="TFR47" s="674"/>
      <c r="TFS47" s="674"/>
      <c r="TFT47" s="674"/>
      <c r="TFU47" s="674"/>
      <c r="TFV47" s="674"/>
      <c r="TFW47" s="674"/>
      <c r="TFX47" s="674"/>
      <c r="TFY47" s="674"/>
      <c r="TFZ47" s="674"/>
      <c r="TGA47" s="674"/>
      <c r="TGB47" s="674"/>
      <c r="TGC47" s="674"/>
      <c r="TGD47" s="674"/>
      <c r="TGE47" s="674"/>
      <c r="TGF47" s="674"/>
      <c r="TGG47" s="674"/>
      <c r="TGH47" s="674"/>
      <c r="TGI47" s="674"/>
      <c r="TGJ47" s="674"/>
      <c r="TGK47" s="674"/>
      <c r="TGL47" s="674"/>
      <c r="TGM47" s="674"/>
      <c r="TGN47" s="674"/>
      <c r="TGO47" s="674"/>
      <c r="TGP47" s="674"/>
      <c r="TGQ47" s="674"/>
      <c r="TGR47" s="674"/>
      <c r="TGS47" s="674"/>
      <c r="TGT47" s="674"/>
      <c r="TGU47" s="674"/>
      <c r="TGV47" s="674"/>
      <c r="TGW47" s="674"/>
      <c r="TGX47" s="674"/>
      <c r="TGY47" s="674"/>
      <c r="TGZ47" s="674"/>
      <c r="THA47" s="674"/>
      <c r="THB47" s="674"/>
      <c r="THC47" s="674"/>
      <c r="THD47" s="674"/>
      <c r="THE47" s="674"/>
      <c r="THF47" s="674"/>
      <c r="THG47" s="674"/>
      <c r="THH47" s="674"/>
      <c r="THI47" s="674"/>
      <c r="THJ47" s="674"/>
      <c r="THK47" s="674"/>
      <c r="THL47" s="674"/>
      <c r="THM47" s="674"/>
      <c r="THN47" s="674"/>
      <c r="THO47" s="674"/>
      <c r="THP47" s="674"/>
      <c r="THQ47" s="674"/>
      <c r="THR47" s="674"/>
      <c r="THS47" s="674"/>
      <c r="THT47" s="674"/>
      <c r="THU47" s="674"/>
      <c r="THV47" s="674"/>
      <c r="THW47" s="674"/>
      <c r="THX47" s="674"/>
      <c r="THY47" s="674"/>
      <c r="THZ47" s="674"/>
      <c r="TIA47" s="674"/>
      <c r="TIB47" s="674"/>
      <c r="TIC47" s="674"/>
      <c r="TID47" s="674"/>
      <c r="TIE47" s="674"/>
      <c r="TIF47" s="674"/>
      <c r="TIG47" s="674"/>
      <c r="TIH47" s="674"/>
      <c r="TII47" s="674"/>
      <c r="TIJ47" s="674"/>
      <c r="TIK47" s="674"/>
      <c r="TIL47" s="674"/>
      <c r="TIM47" s="674"/>
      <c r="TIN47" s="674"/>
      <c r="TIO47" s="674"/>
      <c r="TIP47" s="674"/>
      <c r="TIQ47" s="674"/>
      <c r="TIR47" s="674"/>
      <c r="TIS47" s="674"/>
      <c r="TIT47" s="674"/>
      <c r="TIU47" s="674"/>
      <c r="TIV47" s="674"/>
      <c r="TIW47" s="674"/>
      <c r="TIX47" s="674"/>
      <c r="TIY47" s="674"/>
      <c r="TIZ47" s="674"/>
      <c r="TJA47" s="674"/>
      <c r="TJB47" s="674"/>
      <c r="TJC47" s="674"/>
      <c r="TJD47" s="674"/>
      <c r="TJE47" s="674"/>
      <c r="TJF47" s="674"/>
      <c r="TJG47" s="674"/>
      <c r="TJH47" s="674"/>
      <c r="TJI47" s="674"/>
      <c r="TJJ47" s="674"/>
      <c r="TJK47" s="674"/>
      <c r="TJL47" s="674"/>
      <c r="TJM47" s="674"/>
      <c r="TJN47" s="674"/>
      <c r="TJO47" s="674"/>
      <c r="TJP47" s="674"/>
      <c r="TJQ47" s="674"/>
      <c r="TJR47" s="674"/>
      <c r="TJS47" s="674"/>
      <c r="TJT47" s="674"/>
      <c r="TJU47" s="674"/>
      <c r="TJV47" s="674"/>
      <c r="TJW47" s="674"/>
      <c r="TJX47" s="674"/>
      <c r="TJY47" s="674"/>
      <c r="TJZ47" s="674"/>
      <c r="TKA47" s="674"/>
      <c r="TKB47" s="674"/>
      <c r="TKC47" s="674"/>
      <c r="TKD47" s="674"/>
      <c r="TKE47" s="674"/>
      <c r="TKF47" s="674"/>
      <c r="TKG47" s="674"/>
      <c r="TKH47" s="674"/>
      <c r="TKI47" s="674"/>
      <c r="TKJ47" s="674"/>
      <c r="TKK47" s="674"/>
      <c r="TKL47" s="674"/>
      <c r="TKM47" s="674"/>
      <c r="TKN47" s="674"/>
      <c r="TKO47" s="674"/>
      <c r="TKP47" s="674"/>
      <c r="TKQ47" s="674"/>
      <c r="TKR47" s="674"/>
      <c r="TKS47" s="674"/>
      <c r="TKT47" s="674"/>
      <c r="TKU47" s="674"/>
      <c r="TKV47" s="674"/>
      <c r="TKW47" s="674"/>
      <c r="TKX47" s="674"/>
      <c r="TKY47" s="674"/>
      <c r="TKZ47" s="674"/>
      <c r="TLA47" s="674"/>
      <c r="TLB47" s="674"/>
      <c r="TLC47" s="674"/>
      <c r="TLD47" s="674"/>
      <c r="TLE47" s="674"/>
      <c r="TLF47" s="674"/>
      <c r="TLG47" s="674"/>
      <c r="TLH47" s="674"/>
      <c r="TLI47" s="674"/>
      <c r="TLJ47" s="674"/>
      <c r="TLK47" s="674"/>
      <c r="TLL47" s="674"/>
      <c r="TLM47" s="674"/>
      <c r="TLN47" s="674"/>
      <c r="TLO47" s="674"/>
      <c r="TLP47" s="674"/>
      <c r="TLQ47" s="674"/>
      <c r="TLR47" s="674"/>
      <c r="TLS47" s="674"/>
      <c r="TLT47" s="674"/>
      <c r="TLU47" s="674"/>
      <c r="TLV47" s="674"/>
      <c r="TLW47" s="674"/>
      <c r="TLX47" s="674"/>
      <c r="TLY47" s="674"/>
      <c r="TLZ47" s="674"/>
      <c r="TMA47" s="674"/>
      <c r="TMB47" s="674"/>
      <c r="TMC47" s="674"/>
      <c r="TMD47" s="674"/>
      <c r="TME47" s="674"/>
      <c r="TMF47" s="674"/>
      <c r="TMG47" s="674"/>
      <c r="TMH47" s="674"/>
      <c r="TMI47" s="674"/>
      <c r="TMJ47" s="674"/>
      <c r="TMK47" s="674"/>
      <c r="TML47" s="674"/>
      <c r="TMM47" s="674"/>
      <c r="TMN47" s="674"/>
      <c r="TMO47" s="674"/>
      <c r="TMP47" s="674"/>
      <c r="TMQ47" s="674"/>
      <c r="TMR47" s="674"/>
      <c r="TMS47" s="674"/>
      <c r="TMT47" s="674"/>
      <c r="TMU47" s="674"/>
      <c r="TMV47" s="674"/>
      <c r="TMW47" s="674"/>
      <c r="TMX47" s="674"/>
      <c r="TMY47" s="674"/>
      <c r="TMZ47" s="674"/>
      <c r="TNA47" s="674"/>
      <c r="TNB47" s="674"/>
      <c r="TNC47" s="674"/>
      <c r="TND47" s="674"/>
      <c r="TNE47" s="674"/>
      <c r="TNF47" s="674"/>
      <c r="TNG47" s="674"/>
      <c r="TNH47" s="674"/>
      <c r="TNI47" s="674"/>
      <c r="TNJ47" s="674"/>
      <c r="TNK47" s="674"/>
      <c r="TNL47" s="674"/>
      <c r="TNM47" s="674"/>
      <c r="TNN47" s="674"/>
      <c r="TNO47" s="674"/>
      <c r="TNP47" s="674"/>
      <c r="TNQ47" s="674"/>
      <c r="TNR47" s="674"/>
      <c r="TNS47" s="674"/>
      <c r="TNT47" s="674"/>
      <c r="TNU47" s="674"/>
      <c r="TNV47" s="674"/>
      <c r="TNW47" s="674"/>
      <c r="TNX47" s="674"/>
      <c r="TNY47" s="674"/>
      <c r="TNZ47" s="674"/>
      <c r="TOA47" s="674"/>
      <c r="TOB47" s="674"/>
      <c r="TOC47" s="674"/>
      <c r="TOD47" s="674"/>
      <c r="TOE47" s="674"/>
      <c r="TOF47" s="674"/>
      <c r="TOG47" s="674"/>
      <c r="TOH47" s="674"/>
      <c r="TOI47" s="674"/>
      <c r="TOJ47" s="674"/>
      <c r="TOK47" s="674"/>
      <c r="TOL47" s="674"/>
      <c r="TOM47" s="674"/>
      <c r="TON47" s="674"/>
      <c r="TOO47" s="674"/>
      <c r="TOP47" s="674"/>
      <c r="TOQ47" s="674"/>
      <c r="TOR47" s="674"/>
      <c r="TOS47" s="674"/>
      <c r="TOT47" s="674"/>
      <c r="TOU47" s="674"/>
      <c r="TOV47" s="674"/>
      <c r="TOW47" s="674"/>
      <c r="TOX47" s="674"/>
      <c r="TOY47" s="674"/>
      <c r="TOZ47" s="674"/>
      <c r="TPA47" s="674"/>
      <c r="TPB47" s="674"/>
      <c r="TPC47" s="674"/>
      <c r="TPD47" s="674"/>
      <c r="TPE47" s="674"/>
      <c r="TPF47" s="674"/>
      <c r="TPG47" s="674"/>
      <c r="TPH47" s="674"/>
      <c r="TPI47" s="674"/>
      <c r="TPJ47" s="674"/>
      <c r="TPK47" s="674"/>
      <c r="TPL47" s="674"/>
      <c r="TPM47" s="674"/>
      <c r="TPN47" s="674"/>
      <c r="TPO47" s="674"/>
      <c r="TPP47" s="674"/>
      <c r="TPQ47" s="674"/>
      <c r="TPR47" s="674"/>
      <c r="TPS47" s="674"/>
      <c r="TPT47" s="674"/>
      <c r="TPU47" s="674"/>
      <c r="TPV47" s="674"/>
      <c r="TPW47" s="674"/>
      <c r="TPX47" s="674"/>
      <c r="TPY47" s="674"/>
      <c r="TPZ47" s="674"/>
      <c r="TQA47" s="674"/>
      <c r="TQB47" s="674"/>
      <c r="TQC47" s="674"/>
      <c r="TQD47" s="674"/>
      <c r="TQE47" s="674"/>
      <c r="TQF47" s="674"/>
      <c r="TQG47" s="674"/>
      <c r="TQH47" s="674"/>
      <c r="TQI47" s="674"/>
      <c r="TQJ47" s="674"/>
      <c r="TQK47" s="674"/>
      <c r="TQL47" s="674"/>
      <c r="TQM47" s="674"/>
      <c r="TQN47" s="674"/>
      <c r="TQO47" s="674"/>
      <c r="TQP47" s="674"/>
      <c r="TQQ47" s="674"/>
      <c r="TQR47" s="674"/>
      <c r="TQS47" s="674"/>
      <c r="TQT47" s="674"/>
      <c r="TQU47" s="674"/>
      <c r="TQV47" s="674"/>
      <c r="TQW47" s="674"/>
      <c r="TQX47" s="674"/>
      <c r="TQY47" s="674"/>
      <c r="TQZ47" s="674"/>
      <c r="TRA47" s="674"/>
      <c r="TRB47" s="674"/>
      <c r="TRC47" s="674"/>
      <c r="TRD47" s="674"/>
      <c r="TRE47" s="674"/>
      <c r="TRF47" s="674"/>
      <c r="TRG47" s="674"/>
      <c r="TRH47" s="674"/>
      <c r="TRI47" s="674"/>
      <c r="TRJ47" s="674"/>
      <c r="TRK47" s="674"/>
      <c r="TRL47" s="674"/>
      <c r="TRM47" s="674"/>
      <c r="TRN47" s="674"/>
      <c r="TRO47" s="674"/>
      <c r="TRP47" s="674"/>
      <c r="TRQ47" s="674"/>
      <c r="TRR47" s="674"/>
      <c r="TRS47" s="674"/>
      <c r="TRT47" s="674"/>
      <c r="TRU47" s="674"/>
      <c r="TRV47" s="674"/>
      <c r="TRW47" s="674"/>
      <c r="TRX47" s="674"/>
      <c r="TRY47" s="674"/>
      <c r="TRZ47" s="674"/>
      <c r="TSA47" s="674"/>
      <c r="TSB47" s="674"/>
      <c r="TSC47" s="674"/>
      <c r="TSD47" s="674"/>
      <c r="TSE47" s="674"/>
      <c r="TSF47" s="674"/>
      <c r="TSG47" s="674"/>
      <c r="TSH47" s="674"/>
      <c r="TSI47" s="674"/>
      <c r="TSJ47" s="674"/>
      <c r="TSK47" s="674"/>
      <c r="TSL47" s="674"/>
      <c r="TSM47" s="674"/>
      <c r="TSN47" s="674"/>
      <c r="TSO47" s="674"/>
      <c r="TSP47" s="674"/>
      <c r="TSQ47" s="674"/>
      <c r="TSR47" s="674"/>
      <c r="TSS47" s="674"/>
      <c r="TST47" s="674"/>
      <c r="TSU47" s="674"/>
      <c r="TSV47" s="674"/>
      <c r="TSW47" s="674"/>
      <c r="TSX47" s="674"/>
      <c r="TSY47" s="674"/>
      <c r="TSZ47" s="674"/>
      <c r="TTA47" s="674"/>
      <c r="TTB47" s="674"/>
      <c r="TTC47" s="674"/>
      <c r="TTD47" s="674"/>
      <c r="TTE47" s="674"/>
      <c r="TTF47" s="674"/>
      <c r="TTG47" s="674"/>
      <c r="TTH47" s="674"/>
      <c r="TTI47" s="674"/>
      <c r="TTJ47" s="674"/>
      <c r="TTK47" s="674"/>
      <c r="TTL47" s="674"/>
      <c r="TTM47" s="674"/>
      <c r="TTN47" s="674"/>
      <c r="TTO47" s="674"/>
      <c r="TTP47" s="674"/>
      <c r="TTQ47" s="674"/>
      <c r="TTR47" s="674"/>
      <c r="TTS47" s="674"/>
      <c r="TTT47" s="674"/>
      <c r="TTU47" s="674"/>
      <c r="TTV47" s="674"/>
      <c r="TTW47" s="674"/>
      <c r="TTX47" s="674"/>
      <c r="TTY47" s="674"/>
      <c r="TTZ47" s="674"/>
      <c r="TUA47" s="674"/>
      <c r="TUB47" s="674"/>
      <c r="TUC47" s="674"/>
      <c r="TUD47" s="674"/>
      <c r="TUE47" s="674"/>
      <c r="TUF47" s="674"/>
      <c r="TUG47" s="674"/>
      <c r="TUH47" s="674"/>
      <c r="TUI47" s="674"/>
      <c r="TUJ47" s="674"/>
      <c r="TUK47" s="674"/>
      <c r="TUL47" s="674"/>
      <c r="TUM47" s="674"/>
      <c r="TUN47" s="674"/>
      <c r="TUO47" s="674"/>
      <c r="TUP47" s="674"/>
      <c r="TUQ47" s="674"/>
      <c r="TUR47" s="674"/>
      <c r="TUS47" s="674"/>
      <c r="TUT47" s="674"/>
      <c r="TUU47" s="674"/>
      <c r="TUV47" s="674"/>
      <c r="TUW47" s="674"/>
      <c r="TUX47" s="674"/>
      <c r="TUY47" s="674"/>
      <c r="TUZ47" s="674"/>
      <c r="TVA47" s="674"/>
      <c r="TVB47" s="674"/>
      <c r="TVC47" s="674"/>
      <c r="TVD47" s="674"/>
      <c r="TVE47" s="674"/>
      <c r="TVF47" s="674"/>
      <c r="TVG47" s="674"/>
      <c r="TVH47" s="674"/>
      <c r="TVI47" s="674"/>
      <c r="TVJ47" s="674"/>
      <c r="TVK47" s="674"/>
      <c r="TVL47" s="674"/>
      <c r="TVM47" s="674"/>
      <c r="TVN47" s="674"/>
      <c r="TVO47" s="674"/>
      <c r="TVP47" s="674"/>
      <c r="TVQ47" s="674"/>
      <c r="TVR47" s="674"/>
      <c r="TVS47" s="674"/>
      <c r="TVT47" s="674"/>
      <c r="TVU47" s="674"/>
      <c r="TVV47" s="674"/>
      <c r="TVW47" s="674"/>
      <c r="TVX47" s="674"/>
      <c r="TVY47" s="674"/>
      <c r="TVZ47" s="674"/>
      <c r="TWA47" s="674"/>
      <c r="TWB47" s="674"/>
      <c r="TWC47" s="674"/>
      <c r="TWD47" s="674"/>
      <c r="TWE47" s="674"/>
      <c r="TWF47" s="674"/>
      <c r="TWG47" s="674"/>
      <c r="TWH47" s="674"/>
      <c r="TWI47" s="674"/>
      <c r="TWJ47" s="674"/>
      <c r="TWK47" s="674"/>
      <c r="TWL47" s="674"/>
      <c r="TWM47" s="674"/>
      <c r="TWN47" s="674"/>
      <c r="TWO47" s="674"/>
      <c r="TWP47" s="674"/>
      <c r="TWQ47" s="674"/>
      <c r="TWR47" s="674"/>
      <c r="TWS47" s="674"/>
      <c r="TWT47" s="674"/>
      <c r="TWU47" s="674"/>
      <c r="TWV47" s="674"/>
      <c r="TWW47" s="674"/>
      <c r="TWX47" s="674"/>
      <c r="TWY47" s="674"/>
      <c r="TWZ47" s="674"/>
      <c r="TXA47" s="674"/>
      <c r="TXB47" s="674"/>
      <c r="TXC47" s="674"/>
      <c r="TXD47" s="674"/>
      <c r="TXE47" s="674"/>
      <c r="TXF47" s="674"/>
      <c r="TXG47" s="674"/>
      <c r="TXH47" s="674"/>
      <c r="TXI47" s="674"/>
      <c r="TXJ47" s="674"/>
      <c r="TXK47" s="674"/>
      <c r="TXL47" s="674"/>
      <c r="TXM47" s="674"/>
      <c r="TXN47" s="674"/>
      <c r="TXO47" s="674"/>
      <c r="TXP47" s="674"/>
      <c r="TXQ47" s="674"/>
      <c r="TXR47" s="674"/>
      <c r="TXS47" s="674"/>
      <c r="TXT47" s="674"/>
      <c r="TXU47" s="674"/>
      <c r="TXV47" s="674"/>
      <c r="TXW47" s="674"/>
      <c r="TXX47" s="674"/>
      <c r="TXY47" s="674"/>
      <c r="TXZ47" s="674"/>
      <c r="TYA47" s="674"/>
      <c r="TYB47" s="674"/>
      <c r="TYC47" s="674"/>
      <c r="TYD47" s="674"/>
      <c r="TYE47" s="674"/>
      <c r="TYF47" s="674"/>
      <c r="TYG47" s="674"/>
      <c r="TYH47" s="674"/>
      <c r="TYI47" s="674"/>
      <c r="TYJ47" s="674"/>
      <c r="TYK47" s="674"/>
      <c r="TYL47" s="674"/>
      <c r="TYM47" s="674"/>
      <c r="TYN47" s="674"/>
      <c r="TYO47" s="674"/>
      <c r="TYP47" s="674"/>
      <c r="TYQ47" s="674"/>
      <c r="TYR47" s="674"/>
      <c r="TYS47" s="674"/>
      <c r="TYT47" s="674"/>
      <c r="TYU47" s="674"/>
      <c r="TYV47" s="674"/>
      <c r="TYW47" s="674"/>
      <c r="TYX47" s="674"/>
      <c r="TYY47" s="674"/>
      <c r="TYZ47" s="674"/>
      <c r="TZA47" s="674"/>
      <c r="TZB47" s="674"/>
      <c r="TZC47" s="674"/>
      <c r="TZD47" s="674"/>
      <c r="TZE47" s="674"/>
      <c r="TZF47" s="674"/>
      <c r="TZG47" s="674"/>
      <c r="TZH47" s="674"/>
      <c r="TZI47" s="674"/>
      <c r="TZJ47" s="674"/>
      <c r="TZK47" s="674"/>
      <c r="TZL47" s="674"/>
      <c r="TZM47" s="674"/>
      <c r="TZN47" s="674"/>
      <c r="TZO47" s="674"/>
      <c r="TZP47" s="674"/>
      <c r="TZQ47" s="674"/>
      <c r="TZR47" s="674"/>
      <c r="TZS47" s="674"/>
      <c r="TZT47" s="674"/>
      <c r="TZU47" s="674"/>
      <c r="TZV47" s="674"/>
      <c r="TZW47" s="674"/>
      <c r="TZX47" s="674"/>
      <c r="TZY47" s="674"/>
      <c r="TZZ47" s="674"/>
      <c r="UAA47" s="674"/>
      <c r="UAB47" s="674"/>
      <c r="UAC47" s="674"/>
      <c r="UAD47" s="674"/>
      <c r="UAE47" s="674"/>
      <c r="UAF47" s="674"/>
      <c r="UAG47" s="674"/>
      <c r="UAH47" s="674"/>
      <c r="UAI47" s="674"/>
      <c r="UAJ47" s="674"/>
      <c r="UAK47" s="674"/>
      <c r="UAL47" s="674"/>
      <c r="UAM47" s="674"/>
      <c r="UAN47" s="674"/>
      <c r="UAO47" s="674"/>
      <c r="UAP47" s="674"/>
      <c r="UAQ47" s="674"/>
      <c r="UAR47" s="674"/>
      <c r="UAS47" s="674"/>
      <c r="UAT47" s="674"/>
      <c r="UAU47" s="674"/>
      <c r="UAV47" s="674"/>
      <c r="UAW47" s="674"/>
      <c r="UAX47" s="674"/>
      <c r="UAY47" s="674"/>
      <c r="UAZ47" s="674"/>
      <c r="UBA47" s="674"/>
      <c r="UBB47" s="674"/>
      <c r="UBC47" s="674"/>
      <c r="UBD47" s="674"/>
      <c r="UBE47" s="674"/>
      <c r="UBF47" s="674"/>
      <c r="UBG47" s="674"/>
      <c r="UBH47" s="674"/>
      <c r="UBI47" s="674"/>
      <c r="UBJ47" s="674"/>
      <c r="UBK47" s="674"/>
      <c r="UBL47" s="674"/>
      <c r="UBM47" s="674"/>
      <c r="UBN47" s="674"/>
      <c r="UBO47" s="674"/>
      <c r="UBP47" s="674"/>
      <c r="UBQ47" s="674"/>
      <c r="UBR47" s="674"/>
      <c r="UBS47" s="674"/>
      <c r="UBT47" s="674"/>
      <c r="UBU47" s="674"/>
      <c r="UBV47" s="674"/>
      <c r="UBW47" s="674"/>
      <c r="UBX47" s="674"/>
      <c r="UBY47" s="674"/>
      <c r="UBZ47" s="674"/>
      <c r="UCA47" s="674"/>
      <c r="UCB47" s="674"/>
      <c r="UCC47" s="674"/>
      <c r="UCD47" s="674"/>
      <c r="UCE47" s="674"/>
      <c r="UCF47" s="674"/>
      <c r="UCG47" s="674"/>
      <c r="UCH47" s="674"/>
      <c r="UCI47" s="674"/>
      <c r="UCJ47" s="674"/>
      <c r="UCK47" s="674"/>
      <c r="UCL47" s="674"/>
      <c r="UCM47" s="674"/>
      <c r="UCN47" s="674"/>
      <c r="UCO47" s="674"/>
      <c r="UCP47" s="674"/>
      <c r="UCQ47" s="674"/>
      <c r="UCR47" s="674"/>
      <c r="UCS47" s="674"/>
      <c r="UCT47" s="674"/>
      <c r="UCU47" s="674"/>
      <c r="UCV47" s="674"/>
      <c r="UCW47" s="674"/>
      <c r="UCX47" s="674"/>
      <c r="UCY47" s="674"/>
      <c r="UCZ47" s="674"/>
      <c r="UDA47" s="674"/>
      <c r="UDB47" s="674"/>
      <c r="UDC47" s="674"/>
      <c r="UDD47" s="674"/>
      <c r="UDE47" s="674"/>
      <c r="UDF47" s="674"/>
      <c r="UDG47" s="674"/>
      <c r="UDH47" s="674"/>
      <c r="UDI47" s="674"/>
      <c r="UDJ47" s="674"/>
      <c r="UDK47" s="674"/>
      <c r="UDL47" s="674"/>
      <c r="UDM47" s="674"/>
      <c r="UDN47" s="674"/>
      <c r="UDO47" s="674"/>
      <c r="UDP47" s="674"/>
      <c r="UDQ47" s="674"/>
      <c r="UDR47" s="674"/>
      <c r="UDS47" s="674"/>
      <c r="UDT47" s="674"/>
      <c r="UDU47" s="674"/>
      <c r="UDV47" s="674"/>
      <c r="UDW47" s="674"/>
      <c r="UDX47" s="674"/>
      <c r="UDY47" s="674"/>
      <c r="UDZ47" s="674"/>
      <c r="UEA47" s="674"/>
      <c r="UEB47" s="674"/>
      <c r="UEC47" s="674"/>
      <c r="UED47" s="674"/>
      <c r="UEE47" s="674"/>
      <c r="UEF47" s="674"/>
      <c r="UEG47" s="674"/>
      <c r="UEH47" s="674"/>
      <c r="UEI47" s="674"/>
      <c r="UEJ47" s="674"/>
      <c r="UEK47" s="674"/>
      <c r="UEL47" s="674"/>
      <c r="UEM47" s="674"/>
      <c r="UEN47" s="674"/>
      <c r="UEO47" s="674"/>
      <c r="UEP47" s="674"/>
      <c r="UEQ47" s="674"/>
      <c r="UER47" s="674"/>
      <c r="UES47" s="674"/>
      <c r="UET47" s="674"/>
      <c r="UEU47" s="674"/>
      <c r="UEV47" s="674"/>
      <c r="UEW47" s="674"/>
      <c r="UEX47" s="674"/>
      <c r="UEY47" s="674"/>
      <c r="UEZ47" s="674"/>
      <c r="UFA47" s="674"/>
      <c r="UFB47" s="674"/>
      <c r="UFC47" s="674"/>
      <c r="UFD47" s="674"/>
      <c r="UFE47" s="674"/>
      <c r="UFF47" s="674"/>
      <c r="UFG47" s="674"/>
      <c r="UFH47" s="674"/>
      <c r="UFI47" s="674"/>
      <c r="UFJ47" s="674"/>
      <c r="UFK47" s="674"/>
      <c r="UFL47" s="674"/>
      <c r="UFM47" s="674"/>
      <c r="UFN47" s="674"/>
      <c r="UFO47" s="674"/>
      <c r="UFP47" s="674"/>
      <c r="UFQ47" s="674"/>
      <c r="UFR47" s="674"/>
      <c r="UFS47" s="674"/>
      <c r="UFT47" s="674"/>
      <c r="UFU47" s="674"/>
      <c r="UFV47" s="674"/>
      <c r="UFW47" s="674"/>
      <c r="UFX47" s="674"/>
      <c r="UFY47" s="674"/>
      <c r="UFZ47" s="674"/>
      <c r="UGA47" s="674"/>
      <c r="UGB47" s="674"/>
      <c r="UGC47" s="674"/>
      <c r="UGD47" s="674"/>
      <c r="UGE47" s="674"/>
      <c r="UGF47" s="674"/>
      <c r="UGG47" s="674"/>
      <c r="UGH47" s="674"/>
      <c r="UGI47" s="674"/>
      <c r="UGJ47" s="674"/>
      <c r="UGK47" s="674"/>
      <c r="UGL47" s="674"/>
      <c r="UGM47" s="674"/>
      <c r="UGN47" s="674"/>
      <c r="UGO47" s="674"/>
      <c r="UGP47" s="674"/>
      <c r="UGQ47" s="674"/>
      <c r="UGR47" s="674"/>
      <c r="UGS47" s="674"/>
      <c r="UGT47" s="674"/>
      <c r="UGU47" s="674"/>
      <c r="UGV47" s="674"/>
      <c r="UGW47" s="674"/>
      <c r="UGX47" s="674"/>
      <c r="UGY47" s="674"/>
      <c r="UGZ47" s="674"/>
      <c r="UHA47" s="674"/>
      <c r="UHB47" s="674"/>
      <c r="UHC47" s="674"/>
      <c r="UHD47" s="674"/>
      <c r="UHE47" s="674"/>
      <c r="UHF47" s="674"/>
      <c r="UHG47" s="674"/>
      <c r="UHH47" s="674"/>
      <c r="UHI47" s="674"/>
      <c r="UHJ47" s="674"/>
      <c r="UHK47" s="674"/>
      <c r="UHL47" s="674"/>
      <c r="UHM47" s="674"/>
      <c r="UHN47" s="674"/>
      <c r="UHO47" s="674"/>
      <c r="UHP47" s="674"/>
      <c r="UHQ47" s="674"/>
      <c r="UHR47" s="674"/>
      <c r="UHS47" s="674"/>
      <c r="UHT47" s="674"/>
      <c r="UHU47" s="674"/>
      <c r="UHV47" s="674"/>
      <c r="UHW47" s="674"/>
      <c r="UHX47" s="674"/>
      <c r="UHY47" s="674"/>
      <c r="UHZ47" s="674"/>
      <c r="UIA47" s="674"/>
      <c r="UIB47" s="674"/>
      <c r="UIC47" s="674"/>
      <c r="UID47" s="674"/>
      <c r="UIE47" s="674"/>
      <c r="UIF47" s="674"/>
      <c r="UIG47" s="674"/>
      <c r="UIH47" s="674"/>
      <c r="UII47" s="674"/>
      <c r="UIJ47" s="674"/>
      <c r="UIK47" s="674"/>
      <c r="UIL47" s="674"/>
      <c r="UIM47" s="674"/>
      <c r="UIN47" s="674"/>
      <c r="UIO47" s="674"/>
      <c r="UIP47" s="674"/>
      <c r="UIQ47" s="674"/>
      <c r="UIR47" s="674"/>
      <c r="UIS47" s="674"/>
      <c r="UIT47" s="674"/>
      <c r="UIU47" s="674"/>
      <c r="UIV47" s="674"/>
      <c r="UIW47" s="674"/>
      <c r="UIX47" s="674"/>
      <c r="UIY47" s="674"/>
      <c r="UIZ47" s="674"/>
      <c r="UJA47" s="674"/>
      <c r="UJB47" s="674"/>
      <c r="UJC47" s="674"/>
      <c r="UJD47" s="674"/>
      <c r="UJE47" s="674"/>
      <c r="UJF47" s="674"/>
      <c r="UJG47" s="674"/>
      <c r="UJH47" s="674"/>
      <c r="UJI47" s="674"/>
      <c r="UJJ47" s="674"/>
      <c r="UJK47" s="674"/>
      <c r="UJL47" s="674"/>
      <c r="UJM47" s="674"/>
      <c r="UJN47" s="674"/>
      <c r="UJO47" s="674"/>
      <c r="UJP47" s="674"/>
      <c r="UJQ47" s="674"/>
      <c r="UJR47" s="674"/>
      <c r="UJS47" s="674"/>
      <c r="UJT47" s="674"/>
      <c r="UJU47" s="674"/>
      <c r="UJV47" s="674"/>
      <c r="UJW47" s="674"/>
      <c r="UJX47" s="674"/>
      <c r="UJY47" s="674"/>
      <c r="UJZ47" s="674"/>
      <c r="UKA47" s="674"/>
      <c r="UKB47" s="674"/>
      <c r="UKC47" s="674"/>
      <c r="UKD47" s="674"/>
      <c r="UKE47" s="674"/>
      <c r="UKF47" s="674"/>
      <c r="UKG47" s="674"/>
      <c r="UKH47" s="674"/>
      <c r="UKI47" s="674"/>
      <c r="UKJ47" s="674"/>
      <c r="UKK47" s="674"/>
      <c r="UKL47" s="674"/>
      <c r="UKM47" s="674"/>
      <c r="UKN47" s="674"/>
      <c r="UKO47" s="674"/>
      <c r="UKP47" s="674"/>
      <c r="UKQ47" s="674"/>
      <c r="UKR47" s="674"/>
      <c r="UKS47" s="674"/>
      <c r="UKT47" s="674"/>
      <c r="UKU47" s="674"/>
      <c r="UKV47" s="674"/>
      <c r="UKW47" s="674"/>
      <c r="UKX47" s="674"/>
      <c r="UKY47" s="674"/>
      <c r="UKZ47" s="674"/>
      <c r="ULA47" s="674"/>
      <c r="ULB47" s="674"/>
      <c r="ULC47" s="674"/>
      <c r="ULD47" s="674"/>
      <c r="ULE47" s="674"/>
      <c r="ULF47" s="674"/>
      <c r="ULG47" s="674"/>
      <c r="ULH47" s="674"/>
      <c r="ULI47" s="674"/>
      <c r="ULJ47" s="674"/>
      <c r="ULK47" s="674"/>
      <c r="ULL47" s="674"/>
      <c r="ULM47" s="674"/>
      <c r="ULN47" s="674"/>
      <c r="ULO47" s="674"/>
      <c r="ULP47" s="674"/>
      <c r="ULQ47" s="674"/>
      <c r="ULR47" s="674"/>
      <c r="ULS47" s="674"/>
      <c r="ULT47" s="674"/>
      <c r="ULU47" s="674"/>
      <c r="ULV47" s="674"/>
      <c r="ULW47" s="674"/>
      <c r="ULX47" s="674"/>
      <c r="ULY47" s="674"/>
      <c r="ULZ47" s="674"/>
      <c r="UMA47" s="674"/>
      <c r="UMB47" s="674"/>
      <c r="UMC47" s="674"/>
      <c r="UMD47" s="674"/>
      <c r="UME47" s="674"/>
      <c r="UMF47" s="674"/>
      <c r="UMG47" s="674"/>
      <c r="UMH47" s="674"/>
      <c r="UMI47" s="674"/>
      <c r="UMJ47" s="674"/>
      <c r="UMK47" s="674"/>
      <c r="UML47" s="674"/>
      <c r="UMM47" s="674"/>
      <c r="UMN47" s="674"/>
      <c r="UMO47" s="674"/>
      <c r="UMP47" s="674"/>
      <c r="UMQ47" s="674"/>
      <c r="UMR47" s="674"/>
      <c r="UMS47" s="674"/>
      <c r="UMT47" s="674"/>
      <c r="UMU47" s="674"/>
      <c r="UMV47" s="674"/>
      <c r="UMW47" s="674"/>
      <c r="UMX47" s="674"/>
      <c r="UMY47" s="674"/>
      <c r="UMZ47" s="674"/>
      <c r="UNA47" s="674"/>
      <c r="UNB47" s="674"/>
      <c r="UNC47" s="674"/>
      <c r="UND47" s="674"/>
      <c r="UNE47" s="674"/>
      <c r="UNF47" s="674"/>
      <c r="UNG47" s="674"/>
      <c r="UNH47" s="674"/>
      <c r="UNI47" s="674"/>
      <c r="UNJ47" s="674"/>
      <c r="UNK47" s="674"/>
      <c r="UNL47" s="674"/>
      <c r="UNM47" s="674"/>
      <c r="UNN47" s="674"/>
      <c r="UNO47" s="674"/>
      <c r="UNP47" s="674"/>
      <c r="UNQ47" s="674"/>
      <c r="UNR47" s="674"/>
      <c r="UNS47" s="674"/>
      <c r="UNT47" s="674"/>
      <c r="UNU47" s="674"/>
      <c r="UNV47" s="674"/>
      <c r="UNW47" s="674"/>
      <c r="UNX47" s="674"/>
      <c r="UNY47" s="674"/>
      <c r="UNZ47" s="674"/>
      <c r="UOA47" s="674"/>
      <c r="UOB47" s="674"/>
      <c r="UOC47" s="674"/>
      <c r="UOD47" s="674"/>
      <c r="UOE47" s="674"/>
      <c r="UOF47" s="674"/>
      <c r="UOG47" s="674"/>
      <c r="UOH47" s="674"/>
      <c r="UOI47" s="674"/>
      <c r="UOJ47" s="674"/>
      <c r="UOK47" s="674"/>
      <c r="UOL47" s="674"/>
      <c r="UOM47" s="674"/>
      <c r="UON47" s="674"/>
      <c r="UOO47" s="674"/>
      <c r="UOP47" s="674"/>
      <c r="UOQ47" s="674"/>
      <c r="UOR47" s="674"/>
      <c r="UOS47" s="674"/>
      <c r="UOT47" s="674"/>
      <c r="UOU47" s="674"/>
      <c r="UOV47" s="674"/>
      <c r="UOW47" s="674"/>
      <c r="UOX47" s="674"/>
      <c r="UOY47" s="674"/>
      <c r="UOZ47" s="674"/>
      <c r="UPA47" s="674"/>
      <c r="UPB47" s="674"/>
      <c r="UPC47" s="674"/>
      <c r="UPD47" s="674"/>
      <c r="UPE47" s="674"/>
      <c r="UPF47" s="674"/>
      <c r="UPG47" s="674"/>
      <c r="UPH47" s="674"/>
      <c r="UPI47" s="674"/>
      <c r="UPJ47" s="674"/>
      <c r="UPK47" s="674"/>
      <c r="UPL47" s="674"/>
      <c r="UPM47" s="674"/>
      <c r="UPN47" s="674"/>
      <c r="UPO47" s="674"/>
      <c r="UPP47" s="674"/>
      <c r="UPQ47" s="674"/>
      <c r="UPR47" s="674"/>
      <c r="UPS47" s="674"/>
      <c r="UPT47" s="674"/>
      <c r="UPU47" s="674"/>
      <c r="UPV47" s="674"/>
      <c r="UPW47" s="674"/>
      <c r="UPX47" s="674"/>
      <c r="UPY47" s="674"/>
      <c r="UPZ47" s="674"/>
      <c r="UQA47" s="674"/>
      <c r="UQB47" s="674"/>
      <c r="UQC47" s="674"/>
      <c r="UQD47" s="674"/>
      <c r="UQE47" s="674"/>
      <c r="UQF47" s="674"/>
      <c r="UQG47" s="674"/>
      <c r="UQH47" s="674"/>
      <c r="UQI47" s="674"/>
      <c r="UQJ47" s="674"/>
      <c r="UQK47" s="674"/>
      <c r="UQL47" s="674"/>
      <c r="UQM47" s="674"/>
      <c r="UQN47" s="674"/>
      <c r="UQO47" s="674"/>
      <c r="UQP47" s="674"/>
      <c r="UQQ47" s="674"/>
      <c r="UQR47" s="674"/>
      <c r="UQS47" s="674"/>
      <c r="UQT47" s="674"/>
      <c r="UQU47" s="674"/>
      <c r="UQV47" s="674"/>
      <c r="UQW47" s="674"/>
      <c r="UQX47" s="674"/>
      <c r="UQY47" s="674"/>
      <c r="UQZ47" s="674"/>
      <c r="URA47" s="674"/>
      <c r="URB47" s="674"/>
      <c r="URC47" s="674"/>
      <c r="URD47" s="674"/>
      <c r="URE47" s="674"/>
      <c r="URF47" s="674"/>
      <c r="URG47" s="674"/>
      <c r="URH47" s="674"/>
      <c r="URI47" s="674"/>
      <c r="URJ47" s="674"/>
      <c r="URK47" s="674"/>
      <c r="URL47" s="674"/>
      <c r="URM47" s="674"/>
      <c r="URN47" s="674"/>
      <c r="URO47" s="674"/>
      <c r="URP47" s="674"/>
      <c r="URQ47" s="674"/>
      <c r="URR47" s="674"/>
      <c r="URS47" s="674"/>
      <c r="URT47" s="674"/>
      <c r="URU47" s="674"/>
      <c r="URV47" s="674"/>
      <c r="URW47" s="674"/>
      <c r="URX47" s="674"/>
      <c r="URY47" s="674"/>
      <c r="URZ47" s="674"/>
      <c r="USA47" s="674"/>
      <c r="USB47" s="674"/>
      <c r="USC47" s="674"/>
      <c r="USD47" s="674"/>
      <c r="USE47" s="674"/>
      <c r="USF47" s="674"/>
      <c r="USG47" s="674"/>
      <c r="USH47" s="674"/>
      <c r="USI47" s="674"/>
      <c r="USJ47" s="674"/>
      <c r="USK47" s="674"/>
      <c r="USL47" s="674"/>
      <c r="USM47" s="674"/>
      <c r="USN47" s="674"/>
      <c r="USO47" s="674"/>
      <c r="USP47" s="674"/>
      <c r="USQ47" s="674"/>
      <c r="USR47" s="674"/>
      <c r="USS47" s="674"/>
      <c r="UST47" s="674"/>
      <c r="USU47" s="674"/>
      <c r="USV47" s="674"/>
      <c r="USW47" s="674"/>
      <c r="USX47" s="674"/>
      <c r="USY47" s="674"/>
      <c r="USZ47" s="674"/>
      <c r="UTA47" s="674"/>
      <c r="UTB47" s="674"/>
      <c r="UTC47" s="674"/>
      <c r="UTD47" s="674"/>
      <c r="UTE47" s="674"/>
      <c r="UTF47" s="674"/>
      <c r="UTG47" s="674"/>
      <c r="UTH47" s="674"/>
      <c r="UTI47" s="674"/>
      <c r="UTJ47" s="674"/>
      <c r="UTK47" s="674"/>
      <c r="UTL47" s="674"/>
      <c r="UTM47" s="674"/>
      <c r="UTN47" s="674"/>
      <c r="UTO47" s="674"/>
      <c r="UTP47" s="674"/>
      <c r="UTQ47" s="674"/>
      <c r="UTR47" s="674"/>
      <c r="UTS47" s="674"/>
      <c r="UTT47" s="674"/>
      <c r="UTU47" s="674"/>
      <c r="UTV47" s="674"/>
      <c r="UTW47" s="674"/>
      <c r="UTX47" s="674"/>
      <c r="UTY47" s="674"/>
      <c r="UTZ47" s="674"/>
      <c r="UUA47" s="674"/>
      <c r="UUB47" s="674"/>
      <c r="UUC47" s="674"/>
      <c r="UUD47" s="674"/>
      <c r="UUE47" s="674"/>
      <c r="UUF47" s="674"/>
      <c r="UUG47" s="674"/>
      <c r="UUH47" s="674"/>
      <c r="UUI47" s="674"/>
      <c r="UUJ47" s="674"/>
      <c r="UUK47" s="674"/>
      <c r="UUL47" s="674"/>
      <c r="UUM47" s="674"/>
      <c r="UUN47" s="674"/>
      <c r="UUO47" s="674"/>
      <c r="UUP47" s="674"/>
      <c r="UUQ47" s="674"/>
      <c r="UUR47" s="674"/>
      <c r="UUS47" s="674"/>
      <c r="UUT47" s="674"/>
      <c r="UUU47" s="674"/>
      <c r="UUV47" s="674"/>
      <c r="UUW47" s="674"/>
      <c r="UUX47" s="674"/>
      <c r="UUY47" s="674"/>
      <c r="UUZ47" s="674"/>
      <c r="UVA47" s="674"/>
      <c r="UVB47" s="674"/>
      <c r="UVC47" s="674"/>
      <c r="UVD47" s="674"/>
      <c r="UVE47" s="674"/>
      <c r="UVF47" s="674"/>
      <c r="UVG47" s="674"/>
      <c r="UVH47" s="674"/>
      <c r="UVI47" s="674"/>
      <c r="UVJ47" s="674"/>
      <c r="UVK47" s="674"/>
      <c r="UVL47" s="674"/>
      <c r="UVM47" s="674"/>
      <c r="UVN47" s="674"/>
      <c r="UVO47" s="674"/>
      <c r="UVP47" s="674"/>
      <c r="UVQ47" s="674"/>
      <c r="UVR47" s="674"/>
      <c r="UVS47" s="674"/>
      <c r="UVT47" s="674"/>
      <c r="UVU47" s="674"/>
      <c r="UVV47" s="674"/>
      <c r="UVW47" s="674"/>
      <c r="UVX47" s="674"/>
      <c r="UVY47" s="674"/>
      <c r="UVZ47" s="674"/>
      <c r="UWA47" s="674"/>
      <c r="UWB47" s="674"/>
      <c r="UWC47" s="674"/>
      <c r="UWD47" s="674"/>
      <c r="UWE47" s="674"/>
      <c r="UWF47" s="674"/>
      <c r="UWG47" s="674"/>
      <c r="UWH47" s="674"/>
      <c r="UWI47" s="674"/>
      <c r="UWJ47" s="674"/>
      <c r="UWK47" s="674"/>
      <c r="UWL47" s="674"/>
      <c r="UWM47" s="674"/>
      <c r="UWN47" s="674"/>
      <c r="UWO47" s="674"/>
      <c r="UWP47" s="674"/>
      <c r="UWQ47" s="674"/>
      <c r="UWR47" s="674"/>
      <c r="UWS47" s="674"/>
      <c r="UWT47" s="674"/>
      <c r="UWU47" s="674"/>
      <c r="UWV47" s="674"/>
      <c r="UWW47" s="674"/>
      <c r="UWX47" s="674"/>
      <c r="UWY47" s="674"/>
      <c r="UWZ47" s="674"/>
      <c r="UXA47" s="674"/>
      <c r="UXB47" s="674"/>
      <c r="UXC47" s="674"/>
      <c r="UXD47" s="674"/>
      <c r="UXE47" s="674"/>
      <c r="UXF47" s="674"/>
      <c r="UXG47" s="674"/>
      <c r="UXH47" s="674"/>
      <c r="UXI47" s="674"/>
      <c r="UXJ47" s="674"/>
      <c r="UXK47" s="674"/>
      <c r="UXL47" s="674"/>
      <c r="UXM47" s="674"/>
      <c r="UXN47" s="674"/>
      <c r="UXO47" s="674"/>
      <c r="UXP47" s="674"/>
      <c r="UXQ47" s="674"/>
      <c r="UXR47" s="674"/>
      <c r="UXS47" s="674"/>
      <c r="UXT47" s="674"/>
      <c r="UXU47" s="674"/>
      <c r="UXV47" s="674"/>
      <c r="UXW47" s="674"/>
      <c r="UXX47" s="674"/>
      <c r="UXY47" s="674"/>
      <c r="UXZ47" s="674"/>
      <c r="UYA47" s="674"/>
      <c r="UYB47" s="674"/>
      <c r="UYC47" s="674"/>
      <c r="UYD47" s="674"/>
      <c r="UYE47" s="674"/>
      <c r="UYF47" s="674"/>
      <c r="UYG47" s="674"/>
      <c r="UYH47" s="674"/>
      <c r="UYI47" s="674"/>
      <c r="UYJ47" s="674"/>
      <c r="UYK47" s="674"/>
      <c r="UYL47" s="674"/>
      <c r="UYM47" s="674"/>
      <c r="UYN47" s="674"/>
      <c r="UYO47" s="674"/>
      <c r="UYP47" s="674"/>
      <c r="UYQ47" s="674"/>
      <c r="UYR47" s="674"/>
      <c r="UYS47" s="674"/>
      <c r="UYT47" s="674"/>
      <c r="UYU47" s="674"/>
      <c r="UYV47" s="674"/>
      <c r="UYW47" s="674"/>
      <c r="UYX47" s="674"/>
      <c r="UYY47" s="674"/>
      <c r="UYZ47" s="674"/>
      <c r="UZA47" s="674"/>
      <c r="UZB47" s="674"/>
      <c r="UZC47" s="674"/>
      <c r="UZD47" s="674"/>
      <c r="UZE47" s="674"/>
      <c r="UZF47" s="674"/>
      <c r="UZG47" s="674"/>
      <c r="UZH47" s="674"/>
      <c r="UZI47" s="674"/>
      <c r="UZJ47" s="674"/>
      <c r="UZK47" s="674"/>
      <c r="UZL47" s="674"/>
      <c r="UZM47" s="674"/>
      <c r="UZN47" s="674"/>
      <c r="UZO47" s="674"/>
      <c r="UZP47" s="674"/>
      <c r="UZQ47" s="674"/>
      <c r="UZR47" s="674"/>
      <c r="UZS47" s="674"/>
      <c r="UZT47" s="674"/>
      <c r="UZU47" s="674"/>
      <c r="UZV47" s="674"/>
      <c r="UZW47" s="674"/>
      <c r="UZX47" s="674"/>
      <c r="UZY47" s="674"/>
      <c r="UZZ47" s="674"/>
      <c r="VAA47" s="674"/>
      <c r="VAB47" s="674"/>
      <c r="VAC47" s="674"/>
      <c r="VAD47" s="674"/>
      <c r="VAE47" s="674"/>
      <c r="VAF47" s="674"/>
      <c r="VAG47" s="674"/>
      <c r="VAH47" s="674"/>
      <c r="VAI47" s="674"/>
      <c r="VAJ47" s="674"/>
      <c r="VAK47" s="674"/>
      <c r="VAL47" s="674"/>
      <c r="VAM47" s="674"/>
      <c r="VAN47" s="674"/>
      <c r="VAO47" s="674"/>
      <c r="VAP47" s="674"/>
      <c r="VAQ47" s="674"/>
      <c r="VAR47" s="674"/>
      <c r="VAS47" s="674"/>
      <c r="VAT47" s="674"/>
      <c r="VAU47" s="674"/>
      <c r="VAV47" s="674"/>
      <c r="VAW47" s="674"/>
      <c r="VAX47" s="674"/>
      <c r="VAY47" s="674"/>
      <c r="VAZ47" s="674"/>
      <c r="VBA47" s="674"/>
      <c r="VBB47" s="674"/>
      <c r="VBC47" s="674"/>
      <c r="VBD47" s="674"/>
      <c r="VBE47" s="674"/>
      <c r="VBF47" s="674"/>
      <c r="VBG47" s="674"/>
      <c r="VBH47" s="674"/>
      <c r="VBI47" s="674"/>
      <c r="VBJ47" s="674"/>
      <c r="VBK47" s="674"/>
      <c r="VBL47" s="674"/>
      <c r="VBM47" s="674"/>
      <c r="VBN47" s="674"/>
      <c r="VBO47" s="674"/>
      <c r="VBP47" s="674"/>
      <c r="VBQ47" s="674"/>
      <c r="VBR47" s="674"/>
      <c r="VBS47" s="674"/>
      <c r="VBT47" s="674"/>
      <c r="VBU47" s="674"/>
      <c r="VBV47" s="674"/>
      <c r="VBW47" s="674"/>
      <c r="VBX47" s="674"/>
      <c r="VBY47" s="674"/>
      <c r="VBZ47" s="674"/>
      <c r="VCA47" s="674"/>
      <c r="VCB47" s="674"/>
      <c r="VCC47" s="674"/>
      <c r="VCD47" s="674"/>
      <c r="VCE47" s="674"/>
      <c r="VCF47" s="674"/>
      <c r="VCG47" s="674"/>
      <c r="VCH47" s="674"/>
      <c r="VCI47" s="674"/>
      <c r="VCJ47" s="674"/>
      <c r="VCK47" s="674"/>
      <c r="VCL47" s="674"/>
      <c r="VCM47" s="674"/>
      <c r="VCN47" s="674"/>
      <c r="VCO47" s="674"/>
      <c r="VCP47" s="674"/>
      <c r="VCQ47" s="674"/>
      <c r="VCR47" s="674"/>
      <c r="VCS47" s="674"/>
      <c r="VCT47" s="674"/>
      <c r="VCU47" s="674"/>
      <c r="VCV47" s="674"/>
      <c r="VCW47" s="674"/>
      <c r="VCX47" s="674"/>
      <c r="VCY47" s="674"/>
      <c r="VCZ47" s="674"/>
      <c r="VDA47" s="674"/>
      <c r="VDB47" s="674"/>
      <c r="VDC47" s="674"/>
      <c r="VDD47" s="674"/>
      <c r="VDE47" s="674"/>
      <c r="VDF47" s="674"/>
      <c r="VDG47" s="674"/>
      <c r="VDH47" s="674"/>
      <c r="VDI47" s="674"/>
      <c r="VDJ47" s="674"/>
      <c r="VDK47" s="674"/>
      <c r="VDL47" s="674"/>
      <c r="VDM47" s="674"/>
      <c r="VDN47" s="674"/>
      <c r="VDO47" s="674"/>
      <c r="VDP47" s="674"/>
      <c r="VDQ47" s="674"/>
      <c r="VDR47" s="674"/>
      <c r="VDS47" s="674"/>
      <c r="VDT47" s="674"/>
      <c r="VDU47" s="674"/>
      <c r="VDV47" s="674"/>
      <c r="VDW47" s="674"/>
      <c r="VDX47" s="674"/>
      <c r="VDY47" s="674"/>
      <c r="VDZ47" s="674"/>
      <c r="VEA47" s="674"/>
      <c r="VEB47" s="674"/>
      <c r="VEC47" s="674"/>
      <c r="VED47" s="674"/>
      <c r="VEE47" s="674"/>
      <c r="VEF47" s="674"/>
      <c r="VEG47" s="674"/>
      <c r="VEH47" s="674"/>
      <c r="VEI47" s="674"/>
      <c r="VEJ47" s="674"/>
      <c r="VEK47" s="674"/>
      <c r="VEL47" s="674"/>
      <c r="VEM47" s="674"/>
      <c r="VEN47" s="674"/>
      <c r="VEO47" s="674"/>
      <c r="VEP47" s="674"/>
      <c r="VEQ47" s="674"/>
      <c r="VER47" s="674"/>
      <c r="VES47" s="674"/>
      <c r="VET47" s="674"/>
      <c r="VEU47" s="674"/>
      <c r="VEV47" s="674"/>
      <c r="VEW47" s="674"/>
      <c r="VEX47" s="674"/>
      <c r="VEY47" s="674"/>
      <c r="VEZ47" s="674"/>
      <c r="VFA47" s="674"/>
      <c r="VFB47" s="674"/>
      <c r="VFC47" s="674"/>
      <c r="VFD47" s="674"/>
      <c r="VFE47" s="674"/>
      <c r="VFF47" s="674"/>
      <c r="VFG47" s="674"/>
      <c r="VFH47" s="674"/>
      <c r="VFI47" s="674"/>
      <c r="VFJ47" s="674"/>
      <c r="VFK47" s="674"/>
      <c r="VFL47" s="674"/>
      <c r="VFM47" s="674"/>
      <c r="VFN47" s="674"/>
      <c r="VFO47" s="674"/>
      <c r="VFP47" s="674"/>
      <c r="VFQ47" s="674"/>
      <c r="VFR47" s="674"/>
      <c r="VFS47" s="674"/>
      <c r="VFT47" s="674"/>
      <c r="VFU47" s="674"/>
      <c r="VFV47" s="674"/>
      <c r="VFW47" s="674"/>
      <c r="VFX47" s="674"/>
      <c r="VFY47" s="674"/>
      <c r="VFZ47" s="674"/>
      <c r="VGA47" s="674"/>
      <c r="VGB47" s="674"/>
      <c r="VGC47" s="674"/>
      <c r="VGD47" s="674"/>
      <c r="VGE47" s="674"/>
      <c r="VGF47" s="674"/>
      <c r="VGG47" s="674"/>
      <c r="VGH47" s="674"/>
      <c r="VGI47" s="674"/>
      <c r="VGJ47" s="674"/>
      <c r="VGK47" s="674"/>
      <c r="VGL47" s="674"/>
      <c r="VGM47" s="674"/>
      <c r="VGN47" s="674"/>
      <c r="VGO47" s="674"/>
      <c r="VGP47" s="674"/>
      <c r="VGQ47" s="674"/>
      <c r="VGR47" s="674"/>
      <c r="VGS47" s="674"/>
      <c r="VGT47" s="674"/>
      <c r="VGU47" s="674"/>
      <c r="VGV47" s="674"/>
      <c r="VGW47" s="674"/>
      <c r="VGX47" s="674"/>
      <c r="VGY47" s="674"/>
      <c r="VGZ47" s="674"/>
      <c r="VHA47" s="674"/>
      <c r="VHB47" s="674"/>
      <c r="VHC47" s="674"/>
      <c r="VHD47" s="674"/>
      <c r="VHE47" s="674"/>
      <c r="VHF47" s="674"/>
      <c r="VHG47" s="674"/>
      <c r="VHH47" s="674"/>
      <c r="VHI47" s="674"/>
      <c r="VHJ47" s="674"/>
      <c r="VHK47" s="674"/>
      <c r="VHL47" s="674"/>
      <c r="VHM47" s="674"/>
      <c r="VHN47" s="674"/>
      <c r="VHO47" s="674"/>
      <c r="VHP47" s="674"/>
      <c r="VHQ47" s="674"/>
      <c r="VHR47" s="674"/>
      <c r="VHS47" s="674"/>
      <c r="VHT47" s="674"/>
      <c r="VHU47" s="674"/>
      <c r="VHV47" s="674"/>
      <c r="VHW47" s="674"/>
      <c r="VHX47" s="674"/>
      <c r="VHY47" s="674"/>
      <c r="VHZ47" s="674"/>
      <c r="VIA47" s="674"/>
      <c r="VIB47" s="674"/>
      <c r="VIC47" s="674"/>
      <c r="VID47" s="674"/>
      <c r="VIE47" s="674"/>
      <c r="VIF47" s="674"/>
      <c r="VIG47" s="674"/>
      <c r="VIH47" s="674"/>
      <c r="VII47" s="674"/>
      <c r="VIJ47" s="674"/>
      <c r="VIK47" s="674"/>
      <c r="VIL47" s="674"/>
      <c r="VIM47" s="674"/>
      <c r="VIN47" s="674"/>
      <c r="VIO47" s="674"/>
      <c r="VIP47" s="674"/>
      <c r="VIQ47" s="674"/>
      <c r="VIR47" s="674"/>
      <c r="VIS47" s="674"/>
      <c r="VIT47" s="674"/>
      <c r="VIU47" s="674"/>
      <c r="VIV47" s="674"/>
      <c r="VIW47" s="674"/>
      <c r="VIX47" s="674"/>
      <c r="VIY47" s="674"/>
      <c r="VIZ47" s="674"/>
      <c r="VJA47" s="674"/>
      <c r="VJB47" s="674"/>
      <c r="VJC47" s="674"/>
      <c r="VJD47" s="674"/>
      <c r="VJE47" s="674"/>
      <c r="VJF47" s="674"/>
      <c r="VJG47" s="674"/>
      <c r="VJH47" s="674"/>
      <c r="VJI47" s="674"/>
      <c r="VJJ47" s="674"/>
      <c r="VJK47" s="674"/>
      <c r="VJL47" s="674"/>
      <c r="VJM47" s="674"/>
      <c r="VJN47" s="674"/>
      <c r="VJO47" s="674"/>
      <c r="VJP47" s="674"/>
      <c r="VJQ47" s="674"/>
      <c r="VJR47" s="674"/>
      <c r="VJS47" s="674"/>
      <c r="VJT47" s="674"/>
      <c r="VJU47" s="674"/>
      <c r="VJV47" s="674"/>
      <c r="VJW47" s="674"/>
      <c r="VJX47" s="674"/>
      <c r="VJY47" s="674"/>
      <c r="VJZ47" s="674"/>
      <c r="VKA47" s="674"/>
      <c r="VKB47" s="674"/>
      <c r="VKC47" s="674"/>
      <c r="VKD47" s="674"/>
      <c r="VKE47" s="674"/>
      <c r="VKF47" s="674"/>
      <c r="VKG47" s="674"/>
      <c r="VKH47" s="674"/>
      <c r="VKI47" s="674"/>
      <c r="VKJ47" s="674"/>
      <c r="VKK47" s="674"/>
      <c r="VKL47" s="674"/>
      <c r="VKM47" s="674"/>
      <c r="VKN47" s="674"/>
      <c r="VKO47" s="674"/>
      <c r="VKP47" s="674"/>
      <c r="VKQ47" s="674"/>
      <c r="VKR47" s="674"/>
      <c r="VKS47" s="674"/>
      <c r="VKT47" s="674"/>
      <c r="VKU47" s="674"/>
      <c r="VKV47" s="674"/>
      <c r="VKW47" s="674"/>
      <c r="VKX47" s="674"/>
      <c r="VKY47" s="674"/>
      <c r="VKZ47" s="674"/>
      <c r="VLA47" s="674"/>
      <c r="VLB47" s="674"/>
      <c r="VLC47" s="674"/>
      <c r="VLD47" s="674"/>
      <c r="VLE47" s="674"/>
      <c r="VLF47" s="674"/>
      <c r="VLG47" s="674"/>
      <c r="VLH47" s="674"/>
      <c r="VLI47" s="674"/>
      <c r="VLJ47" s="674"/>
      <c r="VLK47" s="674"/>
      <c r="VLL47" s="674"/>
      <c r="VLM47" s="674"/>
      <c r="VLN47" s="674"/>
      <c r="VLO47" s="674"/>
      <c r="VLP47" s="674"/>
      <c r="VLQ47" s="674"/>
      <c r="VLR47" s="674"/>
      <c r="VLS47" s="674"/>
      <c r="VLT47" s="674"/>
      <c r="VLU47" s="674"/>
      <c r="VLV47" s="674"/>
      <c r="VLW47" s="674"/>
      <c r="VLX47" s="674"/>
      <c r="VLY47" s="674"/>
      <c r="VLZ47" s="674"/>
      <c r="VMA47" s="674"/>
      <c r="VMB47" s="674"/>
      <c r="VMC47" s="674"/>
      <c r="VMD47" s="674"/>
      <c r="VME47" s="674"/>
      <c r="VMF47" s="674"/>
      <c r="VMG47" s="674"/>
      <c r="VMH47" s="674"/>
      <c r="VMI47" s="674"/>
      <c r="VMJ47" s="674"/>
      <c r="VMK47" s="674"/>
      <c r="VML47" s="674"/>
      <c r="VMM47" s="674"/>
      <c r="VMN47" s="674"/>
      <c r="VMO47" s="674"/>
      <c r="VMP47" s="674"/>
      <c r="VMQ47" s="674"/>
      <c r="VMR47" s="674"/>
      <c r="VMS47" s="674"/>
      <c r="VMT47" s="674"/>
      <c r="VMU47" s="674"/>
      <c r="VMV47" s="674"/>
      <c r="VMW47" s="674"/>
      <c r="VMX47" s="674"/>
      <c r="VMY47" s="674"/>
      <c r="VMZ47" s="674"/>
      <c r="VNA47" s="674"/>
      <c r="VNB47" s="674"/>
      <c r="VNC47" s="674"/>
      <c r="VND47" s="674"/>
      <c r="VNE47" s="674"/>
      <c r="VNF47" s="674"/>
      <c r="VNG47" s="674"/>
      <c r="VNH47" s="674"/>
      <c r="VNI47" s="674"/>
      <c r="VNJ47" s="674"/>
      <c r="VNK47" s="674"/>
      <c r="VNL47" s="674"/>
      <c r="VNM47" s="674"/>
      <c r="VNN47" s="674"/>
      <c r="VNO47" s="674"/>
      <c r="VNP47" s="674"/>
      <c r="VNQ47" s="674"/>
      <c r="VNR47" s="674"/>
      <c r="VNS47" s="674"/>
      <c r="VNT47" s="674"/>
      <c r="VNU47" s="674"/>
      <c r="VNV47" s="674"/>
      <c r="VNW47" s="674"/>
      <c r="VNX47" s="674"/>
      <c r="VNY47" s="674"/>
      <c r="VNZ47" s="674"/>
      <c r="VOA47" s="674"/>
      <c r="VOB47" s="674"/>
      <c r="VOC47" s="674"/>
      <c r="VOD47" s="674"/>
      <c r="VOE47" s="674"/>
      <c r="VOF47" s="674"/>
      <c r="VOG47" s="674"/>
      <c r="VOH47" s="674"/>
      <c r="VOI47" s="674"/>
      <c r="VOJ47" s="674"/>
      <c r="VOK47" s="674"/>
      <c r="VOL47" s="674"/>
      <c r="VOM47" s="674"/>
      <c r="VON47" s="674"/>
      <c r="VOO47" s="674"/>
      <c r="VOP47" s="674"/>
      <c r="VOQ47" s="674"/>
      <c r="VOR47" s="674"/>
      <c r="VOS47" s="674"/>
      <c r="VOT47" s="674"/>
      <c r="VOU47" s="674"/>
      <c r="VOV47" s="674"/>
      <c r="VOW47" s="674"/>
      <c r="VOX47" s="674"/>
      <c r="VOY47" s="674"/>
      <c r="VOZ47" s="674"/>
      <c r="VPA47" s="674"/>
      <c r="VPB47" s="674"/>
      <c r="VPC47" s="674"/>
      <c r="VPD47" s="674"/>
      <c r="VPE47" s="674"/>
      <c r="VPF47" s="674"/>
      <c r="VPG47" s="674"/>
      <c r="VPH47" s="674"/>
      <c r="VPI47" s="674"/>
      <c r="VPJ47" s="674"/>
      <c r="VPK47" s="674"/>
      <c r="VPL47" s="674"/>
      <c r="VPM47" s="674"/>
      <c r="VPN47" s="674"/>
      <c r="VPO47" s="674"/>
      <c r="VPP47" s="674"/>
      <c r="VPQ47" s="674"/>
      <c r="VPR47" s="674"/>
      <c r="VPS47" s="674"/>
      <c r="VPT47" s="674"/>
      <c r="VPU47" s="674"/>
      <c r="VPV47" s="674"/>
      <c r="VPW47" s="674"/>
      <c r="VPX47" s="674"/>
      <c r="VPY47" s="674"/>
      <c r="VPZ47" s="674"/>
      <c r="VQA47" s="674"/>
      <c r="VQB47" s="674"/>
      <c r="VQC47" s="674"/>
      <c r="VQD47" s="674"/>
      <c r="VQE47" s="674"/>
      <c r="VQF47" s="674"/>
      <c r="VQG47" s="674"/>
      <c r="VQH47" s="674"/>
      <c r="VQI47" s="674"/>
      <c r="VQJ47" s="674"/>
      <c r="VQK47" s="674"/>
      <c r="VQL47" s="674"/>
      <c r="VQM47" s="674"/>
      <c r="VQN47" s="674"/>
      <c r="VQO47" s="674"/>
      <c r="VQP47" s="674"/>
      <c r="VQQ47" s="674"/>
      <c r="VQR47" s="674"/>
      <c r="VQS47" s="674"/>
      <c r="VQT47" s="674"/>
      <c r="VQU47" s="674"/>
      <c r="VQV47" s="674"/>
      <c r="VQW47" s="674"/>
      <c r="VQX47" s="674"/>
      <c r="VQY47" s="674"/>
      <c r="VQZ47" s="674"/>
      <c r="VRA47" s="674"/>
      <c r="VRB47" s="674"/>
      <c r="VRC47" s="674"/>
      <c r="VRD47" s="674"/>
      <c r="VRE47" s="674"/>
      <c r="VRF47" s="674"/>
      <c r="VRG47" s="674"/>
      <c r="VRH47" s="674"/>
      <c r="VRI47" s="674"/>
      <c r="VRJ47" s="674"/>
      <c r="VRK47" s="674"/>
      <c r="VRL47" s="674"/>
      <c r="VRM47" s="674"/>
      <c r="VRN47" s="674"/>
      <c r="VRO47" s="674"/>
      <c r="VRP47" s="674"/>
      <c r="VRQ47" s="674"/>
      <c r="VRR47" s="674"/>
      <c r="VRS47" s="674"/>
      <c r="VRT47" s="674"/>
      <c r="VRU47" s="674"/>
      <c r="VRV47" s="674"/>
      <c r="VRW47" s="674"/>
      <c r="VRX47" s="674"/>
      <c r="VRY47" s="674"/>
      <c r="VRZ47" s="674"/>
      <c r="VSA47" s="674"/>
      <c r="VSB47" s="674"/>
      <c r="VSC47" s="674"/>
      <c r="VSD47" s="674"/>
      <c r="VSE47" s="674"/>
      <c r="VSF47" s="674"/>
      <c r="VSG47" s="674"/>
      <c r="VSH47" s="674"/>
      <c r="VSI47" s="674"/>
      <c r="VSJ47" s="674"/>
      <c r="VSK47" s="674"/>
      <c r="VSL47" s="674"/>
      <c r="VSM47" s="674"/>
      <c r="VSN47" s="674"/>
      <c r="VSO47" s="674"/>
      <c r="VSP47" s="674"/>
      <c r="VSQ47" s="674"/>
      <c r="VSR47" s="674"/>
      <c r="VSS47" s="674"/>
      <c r="VST47" s="674"/>
      <c r="VSU47" s="674"/>
      <c r="VSV47" s="674"/>
      <c r="VSW47" s="674"/>
      <c r="VSX47" s="674"/>
      <c r="VSY47" s="674"/>
      <c r="VSZ47" s="674"/>
      <c r="VTA47" s="674"/>
      <c r="VTB47" s="674"/>
      <c r="VTC47" s="674"/>
      <c r="VTD47" s="674"/>
      <c r="VTE47" s="674"/>
      <c r="VTF47" s="674"/>
      <c r="VTG47" s="674"/>
      <c r="VTH47" s="674"/>
      <c r="VTI47" s="674"/>
      <c r="VTJ47" s="674"/>
      <c r="VTK47" s="674"/>
      <c r="VTL47" s="674"/>
      <c r="VTM47" s="674"/>
      <c r="VTN47" s="674"/>
      <c r="VTO47" s="674"/>
      <c r="VTP47" s="674"/>
      <c r="VTQ47" s="674"/>
      <c r="VTR47" s="674"/>
      <c r="VTS47" s="674"/>
      <c r="VTT47" s="674"/>
      <c r="VTU47" s="674"/>
      <c r="VTV47" s="674"/>
      <c r="VTW47" s="674"/>
      <c r="VTX47" s="674"/>
      <c r="VTY47" s="674"/>
      <c r="VTZ47" s="674"/>
      <c r="VUA47" s="674"/>
      <c r="VUB47" s="674"/>
      <c r="VUC47" s="674"/>
      <c r="VUD47" s="674"/>
      <c r="VUE47" s="674"/>
      <c r="VUF47" s="674"/>
      <c r="VUG47" s="674"/>
      <c r="VUH47" s="674"/>
      <c r="VUI47" s="674"/>
      <c r="VUJ47" s="674"/>
      <c r="VUK47" s="674"/>
      <c r="VUL47" s="674"/>
      <c r="VUM47" s="674"/>
      <c r="VUN47" s="674"/>
      <c r="VUO47" s="674"/>
      <c r="VUP47" s="674"/>
      <c r="VUQ47" s="674"/>
      <c r="VUR47" s="674"/>
      <c r="VUS47" s="674"/>
      <c r="VUT47" s="674"/>
      <c r="VUU47" s="674"/>
      <c r="VUV47" s="674"/>
      <c r="VUW47" s="674"/>
      <c r="VUX47" s="674"/>
      <c r="VUY47" s="674"/>
      <c r="VUZ47" s="674"/>
      <c r="VVA47" s="674"/>
      <c r="VVB47" s="674"/>
      <c r="VVC47" s="674"/>
      <c r="VVD47" s="674"/>
      <c r="VVE47" s="674"/>
      <c r="VVF47" s="674"/>
      <c r="VVG47" s="674"/>
      <c r="VVH47" s="674"/>
      <c r="VVI47" s="674"/>
      <c r="VVJ47" s="674"/>
      <c r="VVK47" s="674"/>
      <c r="VVL47" s="674"/>
      <c r="VVM47" s="674"/>
      <c r="VVN47" s="674"/>
      <c r="VVO47" s="674"/>
      <c r="VVP47" s="674"/>
      <c r="VVQ47" s="674"/>
      <c r="VVR47" s="674"/>
      <c r="VVS47" s="674"/>
      <c r="VVT47" s="674"/>
      <c r="VVU47" s="674"/>
      <c r="VVV47" s="674"/>
      <c r="VVW47" s="674"/>
      <c r="VVX47" s="674"/>
      <c r="VVY47" s="674"/>
      <c r="VVZ47" s="674"/>
      <c r="VWA47" s="674"/>
      <c r="VWB47" s="674"/>
      <c r="VWC47" s="674"/>
      <c r="VWD47" s="674"/>
      <c r="VWE47" s="674"/>
      <c r="VWF47" s="674"/>
      <c r="VWG47" s="674"/>
      <c r="VWH47" s="674"/>
      <c r="VWI47" s="674"/>
      <c r="VWJ47" s="674"/>
      <c r="VWK47" s="674"/>
      <c r="VWL47" s="674"/>
      <c r="VWM47" s="674"/>
      <c r="VWN47" s="674"/>
      <c r="VWO47" s="674"/>
      <c r="VWP47" s="674"/>
      <c r="VWQ47" s="674"/>
      <c r="VWR47" s="674"/>
      <c r="VWS47" s="674"/>
      <c r="VWT47" s="674"/>
      <c r="VWU47" s="674"/>
      <c r="VWV47" s="674"/>
      <c r="VWW47" s="674"/>
      <c r="VWX47" s="674"/>
      <c r="VWY47" s="674"/>
      <c r="VWZ47" s="674"/>
      <c r="VXA47" s="674"/>
      <c r="VXB47" s="674"/>
      <c r="VXC47" s="674"/>
      <c r="VXD47" s="674"/>
      <c r="VXE47" s="674"/>
      <c r="VXF47" s="674"/>
      <c r="VXG47" s="674"/>
      <c r="VXH47" s="674"/>
      <c r="VXI47" s="674"/>
      <c r="VXJ47" s="674"/>
      <c r="VXK47" s="674"/>
      <c r="VXL47" s="674"/>
      <c r="VXM47" s="674"/>
      <c r="VXN47" s="674"/>
      <c r="VXO47" s="674"/>
      <c r="VXP47" s="674"/>
      <c r="VXQ47" s="674"/>
      <c r="VXR47" s="674"/>
      <c r="VXS47" s="674"/>
      <c r="VXT47" s="674"/>
      <c r="VXU47" s="674"/>
      <c r="VXV47" s="674"/>
      <c r="VXW47" s="674"/>
      <c r="VXX47" s="674"/>
      <c r="VXY47" s="674"/>
      <c r="VXZ47" s="674"/>
      <c r="VYA47" s="674"/>
      <c r="VYB47" s="674"/>
      <c r="VYC47" s="674"/>
      <c r="VYD47" s="674"/>
      <c r="VYE47" s="674"/>
      <c r="VYF47" s="674"/>
      <c r="VYG47" s="674"/>
      <c r="VYH47" s="674"/>
      <c r="VYI47" s="674"/>
      <c r="VYJ47" s="674"/>
      <c r="VYK47" s="674"/>
      <c r="VYL47" s="674"/>
      <c r="VYM47" s="674"/>
      <c r="VYN47" s="674"/>
      <c r="VYO47" s="674"/>
      <c r="VYP47" s="674"/>
      <c r="VYQ47" s="674"/>
      <c r="VYR47" s="674"/>
      <c r="VYS47" s="674"/>
      <c r="VYT47" s="674"/>
      <c r="VYU47" s="674"/>
      <c r="VYV47" s="674"/>
      <c r="VYW47" s="674"/>
      <c r="VYX47" s="674"/>
      <c r="VYY47" s="674"/>
      <c r="VYZ47" s="674"/>
      <c r="VZA47" s="674"/>
      <c r="VZB47" s="674"/>
      <c r="VZC47" s="674"/>
      <c r="VZD47" s="674"/>
      <c r="VZE47" s="674"/>
      <c r="VZF47" s="674"/>
      <c r="VZG47" s="674"/>
      <c r="VZH47" s="674"/>
      <c r="VZI47" s="674"/>
      <c r="VZJ47" s="674"/>
      <c r="VZK47" s="674"/>
      <c r="VZL47" s="674"/>
      <c r="VZM47" s="674"/>
      <c r="VZN47" s="674"/>
      <c r="VZO47" s="674"/>
      <c r="VZP47" s="674"/>
      <c r="VZQ47" s="674"/>
      <c r="VZR47" s="674"/>
      <c r="VZS47" s="674"/>
      <c r="VZT47" s="674"/>
      <c r="VZU47" s="674"/>
      <c r="VZV47" s="674"/>
      <c r="VZW47" s="674"/>
      <c r="VZX47" s="674"/>
      <c r="VZY47" s="674"/>
      <c r="VZZ47" s="674"/>
      <c r="WAA47" s="674"/>
      <c r="WAB47" s="674"/>
      <c r="WAC47" s="674"/>
      <c r="WAD47" s="674"/>
      <c r="WAE47" s="674"/>
      <c r="WAF47" s="674"/>
      <c r="WAG47" s="674"/>
      <c r="WAH47" s="674"/>
      <c r="WAI47" s="674"/>
      <c r="WAJ47" s="674"/>
      <c r="WAK47" s="674"/>
      <c r="WAL47" s="674"/>
      <c r="WAM47" s="674"/>
      <c r="WAN47" s="674"/>
      <c r="WAO47" s="674"/>
      <c r="WAP47" s="674"/>
      <c r="WAQ47" s="674"/>
      <c r="WAR47" s="674"/>
      <c r="WAS47" s="674"/>
      <c r="WAT47" s="674"/>
      <c r="WAU47" s="674"/>
      <c r="WAV47" s="674"/>
      <c r="WAW47" s="674"/>
      <c r="WAX47" s="674"/>
      <c r="WAY47" s="674"/>
      <c r="WAZ47" s="674"/>
      <c r="WBA47" s="674"/>
      <c r="WBB47" s="674"/>
      <c r="WBC47" s="674"/>
      <c r="WBD47" s="674"/>
      <c r="WBE47" s="674"/>
      <c r="WBF47" s="674"/>
      <c r="WBG47" s="674"/>
      <c r="WBH47" s="674"/>
      <c r="WBI47" s="674"/>
      <c r="WBJ47" s="674"/>
      <c r="WBK47" s="674"/>
      <c r="WBL47" s="674"/>
      <c r="WBM47" s="674"/>
      <c r="WBN47" s="674"/>
      <c r="WBO47" s="674"/>
      <c r="WBP47" s="674"/>
      <c r="WBQ47" s="674"/>
      <c r="WBR47" s="674"/>
      <c r="WBS47" s="674"/>
      <c r="WBT47" s="674"/>
      <c r="WBU47" s="674"/>
      <c r="WBV47" s="674"/>
      <c r="WBW47" s="674"/>
      <c r="WBX47" s="674"/>
      <c r="WBY47" s="674"/>
      <c r="WBZ47" s="674"/>
      <c r="WCA47" s="674"/>
      <c r="WCB47" s="674"/>
      <c r="WCC47" s="674"/>
      <c r="WCD47" s="674"/>
      <c r="WCE47" s="674"/>
      <c r="WCF47" s="674"/>
      <c r="WCG47" s="674"/>
      <c r="WCH47" s="674"/>
      <c r="WCI47" s="674"/>
      <c r="WCJ47" s="674"/>
      <c r="WCK47" s="674"/>
      <c r="WCL47" s="674"/>
      <c r="WCM47" s="674"/>
      <c r="WCN47" s="674"/>
      <c r="WCO47" s="674"/>
      <c r="WCP47" s="674"/>
      <c r="WCQ47" s="674"/>
      <c r="WCR47" s="674"/>
      <c r="WCS47" s="674"/>
      <c r="WCT47" s="674"/>
      <c r="WCU47" s="674"/>
      <c r="WCV47" s="674"/>
      <c r="WCW47" s="674"/>
      <c r="WCX47" s="674"/>
      <c r="WCY47" s="674"/>
      <c r="WCZ47" s="674"/>
      <c r="WDA47" s="674"/>
      <c r="WDB47" s="674"/>
      <c r="WDC47" s="674"/>
      <c r="WDD47" s="674"/>
      <c r="WDE47" s="674"/>
      <c r="WDF47" s="674"/>
      <c r="WDG47" s="674"/>
      <c r="WDH47" s="674"/>
      <c r="WDI47" s="674"/>
      <c r="WDJ47" s="674"/>
      <c r="WDK47" s="674"/>
      <c r="WDL47" s="674"/>
      <c r="WDM47" s="674"/>
      <c r="WDN47" s="674"/>
      <c r="WDO47" s="674"/>
      <c r="WDP47" s="674"/>
      <c r="WDQ47" s="674"/>
      <c r="WDR47" s="674"/>
      <c r="WDS47" s="674"/>
      <c r="WDT47" s="674"/>
      <c r="WDU47" s="674"/>
      <c r="WDV47" s="674"/>
      <c r="WDW47" s="674"/>
      <c r="WDX47" s="674"/>
      <c r="WDY47" s="674"/>
      <c r="WDZ47" s="674"/>
      <c r="WEA47" s="674"/>
      <c r="WEB47" s="674"/>
      <c r="WEC47" s="674"/>
      <c r="WED47" s="674"/>
      <c r="WEE47" s="674"/>
      <c r="WEF47" s="674"/>
      <c r="WEG47" s="674"/>
      <c r="WEH47" s="674"/>
      <c r="WEI47" s="674"/>
      <c r="WEJ47" s="674"/>
      <c r="WEK47" s="674"/>
      <c r="WEL47" s="674"/>
      <c r="WEM47" s="674"/>
      <c r="WEN47" s="674"/>
      <c r="WEO47" s="674"/>
      <c r="WEP47" s="674"/>
      <c r="WEQ47" s="674"/>
      <c r="WER47" s="674"/>
      <c r="WES47" s="674"/>
      <c r="WET47" s="674"/>
      <c r="WEU47" s="674"/>
      <c r="WEV47" s="674"/>
      <c r="WEW47" s="674"/>
      <c r="WEX47" s="674"/>
      <c r="WEY47" s="674"/>
      <c r="WEZ47" s="674"/>
      <c r="WFA47" s="674"/>
      <c r="WFB47" s="674"/>
      <c r="WFC47" s="674"/>
      <c r="WFD47" s="674"/>
      <c r="WFE47" s="674"/>
      <c r="WFF47" s="674"/>
      <c r="WFG47" s="674"/>
      <c r="WFH47" s="674"/>
      <c r="WFI47" s="674"/>
      <c r="WFJ47" s="674"/>
      <c r="WFK47" s="674"/>
      <c r="WFL47" s="674"/>
      <c r="WFM47" s="674"/>
      <c r="WFN47" s="674"/>
      <c r="WFO47" s="674"/>
      <c r="WFP47" s="674"/>
      <c r="WFQ47" s="674"/>
      <c r="WFR47" s="674"/>
      <c r="WFS47" s="674"/>
      <c r="WFT47" s="674"/>
      <c r="WFU47" s="674"/>
      <c r="WFV47" s="674"/>
      <c r="WFW47" s="674"/>
      <c r="WFX47" s="674"/>
      <c r="WFY47" s="674"/>
      <c r="WFZ47" s="674"/>
      <c r="WGA47" s="674"/>
      <c r="WGB47" s="674"/>
      <c r="WGC47" s="674"/>
      <c r="WGD47" s="674"/>
      <c r="WGE47" s="674"/>
      <c r="WGF47" s="674"/>
      <c r="WGG47" s="674"/>
      <c r="WGH47" s="674"/>
      <c r="WGI47" s="674"/>
      <c r="WGJ47" s="674"/>
      <c r="WGK47" s="674"/>
      <c r="WGL47" s="674"/>
      <c r="WGM47" s="674"/>
      <c r="WGN47" s="674"/>
      <c r="WGO47" s="674"/>
      <c r="WGP47" s="674"/>
      <c r="WGQ47" s="674"/>
      <c r="WGR47" s="674"/>
      <c r="WGS47" s="674"/>
      <c r="WGT47" s="674"/>
      <c r="WGU47" s="674"/>
      <c r="WGV47" s="674"/>
      <c r="WGW47" s="674"/>
      <c r="WGX47" s="674"/>
      <c r="WGY47" s="674"/>
      <c r="WGZ47" s="674"/>
      <c r="WHA47" s="674"/>
      <c r="WHB47" s="674"/>
      <c r="WHC47" s="674"/>
      <c r="WHD47" s="674"/>
      <c r="WHE47" s="674"/>
      <c r="WHF47" s="674"/>
      <c r="WHG47" s="674"/>
      <c r="WHH47" s="674"/>
      <c r="WHI47" s="674"/>
      <c r="WHJ47" s="674"/>
      <c r="WHK47" s="674"/>
      <c r="WHL47" s="674"/>
      <c r="WHM47" s="674"/>
      <c r="WHN47" s="674"/>
      <c r="WHO47" s="674"/>
      <c r="WHP47" s="674"/>
      <c r="WHQ47" s="674"/>
      <c r="WHR47" s="674"/>
      <c r="WHS47" s="674"/>
      <c r="WHT47" s="674"/>
      <c r="WHU47" s="674"/>
      <c r="WHV47" s="674"/>
      <c r="WHW47" s="674"/>
      <c r="WHX47" s="674"/>
      <c r="WHY47" s="674"/>
      <c r="WHZ47" s="674"/>
      <c r="WIA47" s="674"/>
      <c r="WIB47" s="674"/>
      <c r="WIC47" s="674"/>
      <c r="WID47" s="674"/>
      <c r="WIE47" s="674"/>
      <c r="WIF47" s="674"/>
      <c r="WIG47" s="674"/>
      <c r="WIH47" s="674"/>
      <c r="WII47" s="674"/>
      <c r="WIJ47" s="674"/>
      <c r="WIK47" s="674"/>
      <c r="WIL47" s="674"/>
      <c r="WIM47" s="674"/>
      <c r="WIN47" s="674"/>
      <c r="WIO47" s="674"/>
      <c r="WIP47" s="674"/>
      <c r="WIQ47" s="674"/>
      <c r="WIR47" s="674"/>
      <c r="WIS47" s="674"/>
      <c r="WIT47" s="674"/>
      <c r="WIU47" s="674"/>
      <c r="WIV47" s="674"/>
      <c r="WIW47" s="674"/>
      <c r="WIX47" s="674"/>
      <c r="WIY47" s="674"/>
      <c r="WIZ47" s="674"/>
      <c r="WJA47" s="674"/>
      <c r="WJB47" s="674"/>
      <c r="WJC47" s="674"/>
      <c r="WJD47" s="674"/>
      <c r="WJE47" s="674"/>
      <c r="WJF47" s="674"/>
      <c r="WJG47" s="674"/>
      <c r="WJH47" s="674"/>
      <c r="WJI47" s="674"/>
      <c r="WJJ47" s="674"/>
      <c r="WJK47" s="674"/>
      <c r="WJL47" s="674"/>
      <c r="WJM47" s="674"/>
      <c r="WJN47" s="674"/>
      <c r="WJO47" s="674"/>
      <c r="WJP47" s="674"/>
      <c r="WJQ47" s="674"/>
      <c r="WJR47" s="674"/>
      <c r="WJS47" s="674"/>
      <c r="WJT47" s="674"/>
      <c r="WJU47" s="674"/>
      <c r="WJV47" s="674"/>
      <c r="WJW47" s="674"/>
      <c r="WJX47" s="674"/>
      <c r="WJY47" s="674"/>
      <c r="WJZ47" s="674"/>
      <c r="WKA47" s="674"/>
      <c r="WKB47" s="674"/>
      <c r="WKC47" s="674"/>
      <c r="WKD47" s="674"/>
      <c r="WKE47" s="674"/>
      <c r="WKF47" s="674"/>
      <c r="WKG47" s="674"/>
      <c r="WKH47" s="674"/>
      <c r="WKI47" s="674"/>
      <c r="WKJ47" s="674"/>
      <c r="WKK47" s="674"/>
      <c r="WKL47" s="674"/>
      <c r="WKM47" s="674"/>
      <c r="WKN47" s="674"/>
      <c r="WKO47" s="674"/>
      <c r="WKP47" s="674"/>
      <c r="WKQ47" s="674"/>
      <c r="WKR47" s="674"/>
      <c r="WKS47" s="674"/>
      <c r="WKT47" s="674"/>
      <c r="WKU47" s="674"/>
      <c r="WKV47" s="674"/>
      <c r="WKW47" s="674"/>
      <c r="WKX47" s="674"/>
      <c r="WKY47" s="674"/>
      <c r="WKZ47" s="674"/>
      <c r="WLA47" s="674"/>
      <c r="WLB47" s="674"/>
      <c r="WLC47" s="674"/>
      <c r="WLD47" s="674"/>
      <c r="WLE47" s="674"/>
      <c r="WLF47" s="674"/>
      <c r="WLG47" s="674"/>
      <c r="WLH47" s="674"/>
      <c r="WLI47" s="674"/>
      <c r="WLJ47" s="674"/>
      <c r="WLK47" s="674"/>
      <c r="WLL47" s="674"/>
      <c r="WLM47" s="674"/>
      <c r="WLN47" s="674"/>
      <c r="WLO47" s="674"/>
      <c r="WLP47" s="674"/>
      <c r="WLQ47" s="674"/>
      <c r="WLR47" s="674"/>
      <c r="WLS47" s="674"/>
      <c r="WLT47" s="674"/>
      <c r="WLU47" s="674"/>
      <c r="WLV47" s="674"/>
      <c r="WLW47" s="674"/>
      <c r="WLX47" s="674"/>
      <c r="WLY47" s="674"/>
      <c r="WLZ47" s="674"/>
      <c r="WMA47" s="674"/>
      <c r="WMB47" s="674"/>
      <c r="WMC47" s="674"/>
      <c r="WMD47" s="674"/>
      <c r="WME47" s="674"/>
      <c r="WMF47" s="674"/>
      <c r="WMG47" s="674"/>
      <c r="WMH47" s="674"/>
      <c r="WMI47" s="674"/>
      <c r="WMJ47" s="674"/>
      <c r="WMK47" s="674"/>
      <c r="WML47" s="674"/>
      <c r="WMM47" s="674"/>
      <c r="WMN47" s="674"/>
      <c r="WMO47" s="674"/>
      <c r="WMP47" s="674"/>
      <c r="WMQ47" s="674"/>
      <c r="WMR47" s="674"/>
      <c r="WMS47" s="674"/>
      <c r="WMT47" s="674"/>
      <c r="WMU47" s="674"/>
      <c r="WMV47" s="674"/>
      <c r="WMW47" s="674"/>
      <c r="WMX47" s="674"/>
      <c r="WMY47" s="674"/>
      <c r="WMZ47" s="674"/>
      <c r="WNA47" s="674"/>
      <c r="WNB47" s="674"/>
      <c r="WNC47" s="674"/>
      <c r="WND47" s="674"/>
      <c r="WNE47" s="674"/>
      <c r="WNF47" s="674"/>
      <c r="WNG47" s="674"/>
      <c r="WNH47" s="674"/>
      <c r="WNI47" s="674"/>
      <c r="WNJ47" s="674"/>
      <c r="WNK47" s="674"/>
      <c r="WNL47" s="674"/>
      <c r="WNM47" s="674"/>
      <c r="WNN47" s="674"/>
      <c r="WNO47" s="674"/>
      <c r="WNP47" s="674"/>
      <c r="WNQ47" s="674"/>
      <c r="WNR47" s="674"/>
      <c r="WNS47" s="674"/>
      <c r="WNT47" s="674"/>
      <c r="WNU47" s="674"/>
      <c r="WNV47" s="674"/>
      <c r="WNW47" s="674"/>
      <c r="WNX47" s="674"/>
      <c r="WNY47" s="674"/>
      <c r="WNZ47" s="674"/>
      <c r="WOA47" s="674"/>
      <c r="WOB47" s="674"/>
      <c r="WOC47" s="674"/>
      <c r="WOD47" s="674"/>
      <c r="WOE47" s="674"/>
      <c r="WOF47" s="674"/>
      <c r="WOG47" s="674"/>
      <c r="WOH47" s="674"/>
      <c r="WOI47" s="674"/>
      <c r="WOJ47" s="674"/>
      <c r="WOK47" s="674"/>
      <c r="WOL47" s="674"/>
      <c r="WOM47" s="674"/>
      <c r="WON47" s="674"/>
      <c r="WOO47" s="674"/>
      <c r="WOP47" s="674"/>
      <c r="WOQ47" s="674"/>
      <c r="WOR47" s="674"/>
      <c r="WOS47" s="674"/>
      <c r="WOT47" s="674"/>
      <c r="WOU47" s="674"/>
      <c r="WOV47" s="674"/>
      <c r="WOW47" s="674"/>
      <c r="WOX47" s="674"/>
      <c r="WOY47" s="674"/>
      <c r="WOZ47" s="674"/>
      <c r="WPA47" s="674"/>
      <c r="WPB47" s="674"/>
      <c r="WPC47" s="674"/>
      <c r="WPD47" s="674"/>
      <c r="WPE47" s="674"/>
      <c r="WPF47" s="674"/>
      <c r="WPG47" s="674"/>
      <c r="WPH47" s="674"/>
      <c r="WPI47" s="674"/>
      <c r="WPJ47" s="674"/>
      <c r="WPK47" s="674"/>
      <c r="WPL47" s="674"/>
      <c r="WPM47" s="674"/>
      <c r="WPN47" s="674"/>
      <c r="WPO47" s="674"/>
      <c r="WPP47" s="674"/>
      <c r="WPQ47" s="674"/>
      <c r="WPR47" s="674"/>
      <c r="WPS47" s="674"/>
      <c r="WPT47" s="674"/>
      <c r="WPU47" s="674"/>
      <c r="WPV47" s="674"/>
      <c r="WPW47" s="674"/>
      <c r="WPX47" s="674"/>
      <c r="WPY47" s="674"/>
      <c r="WPZ47" s="674"/>
      <c r="WQA47" s="674"/>
      <c r="WQB47" s="674"/>
      <c r="WQC47" s="674"/>
      <c r="WQD47" s="674"/>
      <c r="WQE47" s="674"/>
      <c r="WQF47" s="674"/>
      <c r="WQG47" s="674"/>
      <c r="WQH47" s="674"/>
      <c r="WQI47" s="674"/>
      <c r="WQJ47" s="674"/>
      <c r="WQK47" s="674"/>
      <c r="WQL47" s="674"/>
      <c r="WQM47" s="674"/>
      <c r="WQN47" s="674"/>
      <c r="WQO47" s="674"/>
      <c r="WQP47" s="674"/>
      <c r="WQQ47" s="674"/>
      <c r="WQR47" s="674"/>
      <c r="WQS47" s="674"/>
      <c r="WQT47" s="674"/>
      <c r="WQU47" s="674"/>
      <c r="WQV47" s="674"/>
      <c r="WQW47" s="674"/>
      <c r="WQX47" s="674"/>
      <c r="WQY47" s="674"/>
      <c r="WQZ47" s="674"/>
      <c r="WRA47" s="674"/>
      <c r="WRB47" s="674"/>
      <c r="WRC47" s="674"/>
      <c r="WRD47" s="674"/>
      <c r="WRE47" s="674"/>
      <c r="WRF47" s="674"/>
      <c r="WRG47" s="674"/>
      <c r="WRH47" s="674"/>
      <c r="WRI47" s="674"/>
      <c r="WRJ47" s="674"/>
      <c r="WRK47" s="674"/>
      <c r="WRL47" s="674"/>
      <c r="WRM47" s="674"/>
      <c r="WRN47" s="674"/>
      <c r="WRO47" s="674"/>
      <c r="WRP47" s="674"/>
      <c r="WRQ47" s="674"/>
      <c r="WRR47" s="674"/>
      <c r="WRS47" s="674"/>
      <c r="WRT47" s="674"/>
      <c r="WRU47" s="674"/>
      <c r="WRV47" s="674"/>
      <c r="WRW47" s="674"/>
      <c r="WRX47" s="674"/>
      <c r="WRY47" s="674"/>
      <c r="WRZ47" s="674"/>
      <c r="WSA47" s="674"/>
      <c r="WSB47" s="674"/>
      <c r="WSC47" s="674"/>
      <c r="WSD47" s="674"/>
      <c r="WSE47" s="674"/>
      <c r="WSF47" s="674"/>
      <c r="WSG47" s="674"/>
      <c r="WSH47" s="674"/>
      <c r="WSI47" s="674"/>
      <c r="WSJ47" s="674"/>
      <c r="WSK47" s="674"/>
      <c r="WSL47" s="674"/>
      <c r="WSM47" s="674"/>
      <c r="WSN47" s="674"/>
      <c r="WSO47" s="674"/>
      <c r="WSP47" s="674"/>
      <c r="WSQ47" s="674"/>
      <c r="WSR47" s="674"/>
      <c r="WSS47" s="674"/>
      <c r="WST47" s="674"/>
      <c r="WSU47" s="674"/>
      <c r="WSV47" s="674"/>
      <c r="WSW47" s="674"/>
      <c r="WSX47" s="674"/>
      <c r="WSY47" s="674"/>
      <c r="WSZ47" s="674"/>
      <c r="WTA47" s="674"/>
      <c r="WTB47" s="674"/>
      <c r="WTC47" s="674"/>
      <c r="WTD47" s="674"/>
      <c r="WTE47" s="674"/>
      <c r="WTF47" s="674"/>
      <c r="WTG47" s="674"/>
      <c r="WTH47" s="674"/>
      <c r="WTI47" s="674"/>
      <c r="WTJ47" s="674"/>
      <c r="WTK47" s="674"/>
      <c r="WTL47" s="674"/>
      <c r="WTM47" s="674"/>
      <c r="WTN47" s="674"/>
      <c r="WTO47" s="674"/>
      <c r="WTP47" s="674"/>
      <c r="WTQ47" s="674"/>
      <c r="WTR47" s="674"/>
      <c r="WTS47" s="674"/>
      <c r="WTT47" s="674"/>
      <c r="WTU47" s="674"/>
      <c r="WTV47" s="674"/>
      <c r="WTW47" s="674"/>
      <c r="WTX47" s="674"/>
      <c r="WTY47" s="674"/>
      <c r="WTZ47" s="674"/>
      <c r="WUA47" s="674"/>
      <c r="WUB47" s="674"/>
      <c r="WUC47" s="674"/>
      <c r="WUD47" s="674"/>
      <c r="WUE47" s="674"/>
      <c r="WUF47" s="674"/>
      <c r="WUG47" s="674"/>
      <c r="WUH47" s="674"/>
      <c r="WUI47" s="674"/>
      <c r="WUJ47" s="674"/>
      <c r="WUK47" s="674"/>
      <c r="WUL47" s="674"/>
      <c r="WUM47" s="674"/>
      <c r="WUN47" s="674"/>
      <c r="WUO47" s="674"/>
      <c r="WUP47" s="674"/>
      <c r="WUQ47" s="674"/>
      <c r="WUR47" s="674"/>
      <c r="WUS47" s="674"/>
      <c r="WUT47" s="674"/>
      <c r="WUU47" s="674"/>
      <c r="WUV47" s="674"/>
      <c r="WUW47" s="674"/>
      <c r="WUX47" s="674"/>
      <c r="WUY47" s="674"/>
      <c r="WUZ47" s="674"/>
      <c r="WVA47" s="674"/>
      <c r="WVB47" s="674"/>
      <c r="WVC47" s="674"/>
      <c r="WVD47" s="674"/>
      <c r="WVE47" s="674"/>
      <c r="WVF47" s="674"/>
      <c r="WVG47" s="674"/>
      <c r="WVH47" s="674"/>
      <c r="WVI47" s="674"/>
      <c r="WVJ47" s="674"/>
      <c r="WVK47" s="674"/>
      <c r="WVL47" s="674"/>
      <c r="WVM47" s="674"/>
      <c r="WVN47" s="674"/>
      <c r="WVO47" s="674"/>
      <c r="WVP47" s="674"/>
      <c r="WVQ47" s="674"/>
      <c r="WVR47" s="674"/>
      <c r="WVS47" s="674"/>
      <c r="WVT47" s="674"/>
      <c r="WVU47" s="674"/>
      <c r="WVV47" s="674"/>
      <c r="WVW47" s="674"/>
      <c r="WVX47" s="674"/>
      <c r="WVY47" s="674"/>
      <c r="WVZ47" s="674"/>
      <c r="WWA47" s="674"/>
      <c r="WWB47" s="674"/>
      <c r="WWC47" s="674"/>
      <c r="WWD47" s="674"/>
      <c r="WWE47" s="674"/>
      <c r="WWF47" s="674"/>
      <c r="WWG47" s="674"/>
      <c r="WWH47" s="674"/>
      <c r="WWI47" s="674"/>
      <c r="WWJ47" s="674"/>
      <c r="WWK47" s="674"/>
      <c r="WWL47" s="674"/>
      <c r="WWM47" s="674"/>
      <c r="WWN47" s="674"/>
      <c r="WWO47" s="674"/>
      <c r="WWP47" s="674"/>
      <c r="WWQ47" s="674"/>
      <c r="WWR47" s="674"/>
      <c r="WWS47" s="674"/>
      <c r="WWT47" s="674"/>
      <c r="WWU47" s="674"/>
      <c r="WWV47" s="674"/>
      <c r="WWW47" s="674"/>
      <c r="WWX47" s="674"/>
      <c r="WWY47" s="674"/>
      <c r="WWZ47" s="674"/>
      <c r="WXA47" s="674"/>
      <c r="WXB47" s="674"/>
      <c r="WXC47" s="674"/>
      <c r="WXD47" s="674"/>
      <c r="WXE47" s="674"/>
      <c r="WXF47" s="674"/>
      <c r="WXG47" s="674"/>
      <c r="WXH47" s="674"/>
      <c r="WXI47" s="674"/>
      <c r="WXJ47" s="674"/>
      <c r="WXK47" s="674"/>
      <c r="WXL47" s="674"/>
      <c r="WXM47" s="674"/>
      <c r="WXN47" s="674"/>
      <c r="WXO47" s="674"/>
      <c r="WXP47" s="674"/>
      <c r="WXQ47" s="674"/>
      <c r="WXR47" s="674"/>
      <c r="WXS47" s="674"/>
      <c r="WXT47" s="674"/>
      <c r="WXU47" s="674"/>
      <c r="WXV47" s="674"/>
      <c r="WXW47" s="674"/>
      <c r="WXX47" s="674"/>
      <c r="WXY47" s="674"/>
      <c r="WXZ47" s="674"/>
      <c r="WYA47" s="674"/>
      <c r="WYB47" s="674"/>
      <c r="WYC47" s="674"/>
      <c r="WYD47" s="674"/>
      <c r="WYE47" s="674"/>
      <c r="WYF47" s="674"/>
      <c r="WYG47" s="674"/>
      <c r="WYH47" s="674"/>
      <c r="WYI47" s="674"/>
      <c r="WYJ47" s="674"/>
      <c r="WYK47" s="674"/>
      <c r="WYL47" s="674"/>
      <c r="WYM47" s="674"/>
      <c r="WYN47" s="674"/>
      <c r="WYO47" s="674"/>
      <c r="WYP47" s="674"/>
      <c r="WYQ47" s="674"/>
      <c r="WYR47" s="674"/>
      <c r="WYS47" s="674"/>
      <c r="WYT47" s="674"/>
      <c r="WYU47" s="674"/>
      <c r="WYV47" s="674"/>
      <c r="WYW47" s="674"/>
      <c r="WYX47" s="674"/>
      <c r="WYY47" s="674"/>
      <c r="WYZ47" s="674"/>
      <c r="WZA47" s="674"/>
      <c r="WZB47" s="674"/>
      <c r="WZC47" s="674"/>
      <c r="WZD47" s="674"/>
      <c r="WZE47" s="674"/>
      <c r="WZF47" s="674"/>
      <c r="WZG47" s="674"/>
      <c r="WZH47" s="674"/>
      <c r="WZI47" s="674"/>
      <c r="WZJ47" s="674"/>
      <c r="WZK47" s="674"/>
      <c r="WZL47" s="674"/>
      <c r="WZM47" s="674"/>
      <c r="WZN47" s="674"/>
      <c r="WZO47" s="674"/>
      <c r="WZP47" s="674"/>
      <c r="WZQ47" s="674"/>
      <c r="WZR47" s="674"/>
      <c r="WZS47" s="674"/>
      <c r="WZT47" s="674"/>
      <c r="WZU47" s="674"/>
      <c r="WZV47" s="674"/>
      <c r="WZW47" s="674"/>
      <c r="WZX47" s="674"/>
      <c r="WZY47" s="674"/>
      <c r="WZZ47" s="674"/>
      <c r="XAA47" s="674"/>
      <c r="XAB47" s="674"/>
      <c r="XAC47" s="674"/>
      <c r="XAD47" s="674"/>
      <c r="XAE47" s="674"/>
      <c r="XAF47" s="674"/>
      <c r="XAG47" s="674"/>
      <c r="XAH47" s="674"/>
      <c r="XAI47" s="674"/>
      <c r="XAJ47" s="674"/>
      <c r="XAK47" s="674"/>
      <c r="XAL47" s="674"/>
      <c r="XAM47" s="674"/>
      <c r="XAN47" s="674"/>
      <c r="XAO47" s="674"/>
      <c r="XAP47" s="674"/>
      <c r="XAQ47" s="674"/>
      <c r="XAR47" s="674"/>
      <c r="XAS47" s="674"/>
      <c r="XAT47" s="674"/>
      <c r="XAU47" s="674"/>
      <c r="XAV47" s="674"/>
      <c r="XAW47" s="674"/>
      <c r="XAX47" s="674"/>
      <c r="XAY47" s="674"/>
      <c r="XAZ47" s="674"/>
      <c r="XBA47" s="674"/>
      <c r="XBB47" s="674"/>
      <c r="XBC47" s="674"/>
      <c r="XBD47" s="674"/>
      <c r="XBE47" s="674"/>
      <c r="XBF47" s="674"/>
      <c r="XBG47" s="674"/>
      <c r="XBH47" s="674"/>
      <c r="XBI47" s="674"/>
      <c r="XBJ47" s="674"/>
      <c r="XBK47" s="674"/>
      <c r="XBL47" s="674"/>
      <c r="XBM47" s="674"/>
      <c r="XBN47" s="674"/>
      <c r="XBO47" s="674"/>
      <c r="XBP47" s="674"/>
      <c r="XBQ47" s="674"/>
      <c r="XBR47" s="674"/>
      <c r="XBS47" s="674"/>
      <c r="XBT47" s="674"/>
      <c r="XBU47" s="674"/>
      <c r="XBV47" s="674"/>
      <c r="XBW47" s="674"/>
      <c r="XBX47" s="674"/>
      <c r="XBY47" s="674"/>
      <c r="XBZ47" s="674"/>
      <c r="XCA47" s="674"/>
      <c r="XCB47" s="674"/>
      <c r="XCC47" s="674"/>
      <c r="XCD47" s="674"/>
      <c r="XCE47" s="674"/>
      <c r="XCF47" s="674"/>
      <c r="XCG47" s="674"/>
      <c r="XCH47" s="674"/>
      <c r="XCI47" s="674"/>
      <c r="XCJ47" s="674"/>
      <c r="XCK47" s="674"/>
      <c r="XCL47" s="674"/>
      <c r="XCM47" s="674"/>
      <c r="XCN47" s="674"/>
      <c r="XCO47" s="674"/>
      <c r="XCP47" s="674"/>
      <c r="XCQ47" s="674"/>
      <c r="XCR47" s="674"/>
      <c r="XCS47" s="674"/>
      <c r="XCT47" s="674"/>
      <c r="XCU47" s="674"/>
      <c r="XCV47" s="674"/>
      <c r="XCW47" s="674"/>
      <c r="XCX47" s="674"/>
      <c r="XCY47" s="674"/>
      <c r="XCZ47" s="674"/>
      <c r="XDA47" s="674"/>
      <c r="XDB47" s="674"/>
      <c r="XDC47" s="674"/>
      <c r="XDD47" s="674"/>
      <c r="XDE47" s="674"/>
      <c r="XDF47" s="674"/>
      <c r="XDG47" s="674"/>
      <c r="XDH47" s="674"/>
      <c r="XDI47" s="674"/>
      <c r="XDJ47" s="674"/>
      <c r="XDK47" s="674"/>
      <c r="XDL47" s="674"/>
      <c r="XDM47" s="674"/>
      <c r="XDN47" s="674"/>
      <c r="XDO47" s="674"/>
      <c r="XDP47" s="674"/>
      <c r="XDQ47" s="674"/>
      <c r="XDR47" s="674"/>
      <c r="XDS47" s="674"/>
      <c r="XDT47" s="674"/>
      <c r="XDU47" s="674"/>
      <c r="XDV47" s="674"/>
      <c r="XDW47" s="674"/>
      <c r="XDX47" s="674"/>
      <c r="XDY47" s="674"/>
      <c r="XDZ47" s="674"/>
      <c r="XEA47" s="674"/>
      <c r="XEB47" s="674"/>
      <c r="XEC47" s="674"/>
      <c r="XED47" s="674"/>
      <c r="XEE47" s="674"/>
      <c r="XEF47" s="674"/>
      <c r="XEG47" s="674"/>
      <c r="XEH47" s="674"/>
      <c r="XEI47" s="674"/>
      <c r="XEJ47" s="674"/>
      <c r="XEK47" s="674"/>
      <c r="XEL47" s="674"/>
      <c r="XEM47" s="674"/>
      <c r="XEN47" s="674"/>
      <c r="XEO47" s="674"/>
      <c r="XEP47" s="674"/>
      <c r="XEQ47" s="674"/>
      <c r="XER47" s="674"/>
      <c r="XES47" s="674"/>
      <c r="XET47" s="674"/>
      <c r="XEU47" s="674"/>
      <c r="XEV47" s="674"/>
      <c r="XEW47" s="674"/>
      <c r="XEX47" s="674"/>
      <c r="XEY47" s="674"/>
      <c r="XEZ47" s="674"/>
      <c r="XFA47" s="674"/>
      <c r="XFB47" s="674"/>
      <c r="XFC47" s="674"/>
      <c r="XFD47" s="674"/>
    </row>
    <row r="48" spans="1:16384" ht="13">
      <c r="A48" s="692" t="s">
        <v>546</v>
      </c>
      <c r="B48" s="676"/>
      <c r="C48" s="676"/>
      <c r="D48" s="676"/>
      <c r="E48" s="676" t="s">
        <v>548</v>
      </c>
      <c r="F48" s="676" t="s">
        <v>548</v>
      </c>
      <c r="G48" s="677"/>
      <c r="H48" s="677"/>
      <c r="I48" s="677"/>
      <c r="J48" s="677"/>
      <c r="K48" s="677"/>
    </row>
    <row r="49" spans="1:11" ht="13">
      <c r="A49" s="670" t="s">
        <v>527</v>
      </c>
      <c r="B49" s="680"/>
      <c r="C49" s="680"/>
      <c r="D49" s="680"/>
      <c r="E49" s="678">
        <v>785</v>
      </c>
      <c r="F49" s="678">
        <v>785</v>
      </c>
      <c r="G49" s="680"/>
      <c r="H49" s="680"/>
      <c r="I49" s="680"/>
      <c r="J49" s="680"/>
      <c r="K49" s="680" t="s">
        <v>110</v>
      </c>
    </row>
    <row r="50" spans="1:11" ht="13">
      <c r="A50" s="672" t="s">
        <v>528</v>
      </c>
      <c r="B50" s="682"/>
      <c r="C50" s="682"/>
      <c r="D50" s="682"/>
      <c r="E50" s="681">
        <v>0.6</v>
      </c>
      <c r="F50" s="681">
        <v>0.6</v>
      </c>
      <c r="G50" s="682"/>
      <c r="H50" s="682"/>
      <c r="I50" s="682"/>
      <c r="J50" s="682"/>
      <c r="K50" s="682" t="s">
        <v>48</v>
      </c>
    </row>
    <row r="51" spans="1:11" ht="13">
      <c r="A51" s="674" t="s">
        <v>530</v>
      </c>
      <c r="B51" s="683"/>
      <c r="C51" s="683"/>
      <c r="D51" s="683"/>
      <c r="E51" s="688">
        <v>5.4</v>
      </c>
      <c r="F51" s="688">
        <v>5.4</v>
      </c>
      <c r="G51" s="683"/>
      <c r="H51" s="683"/>
      <c r="I51" s="683"/>
      <c r="J51" s="683"/>
      <c r="K51" s="683" t="s">
        <v>48</v>
      </c>
    </row>
    <row r="52" spans="1:11" ht="13">
      <c r="A52" s="691" t="s">
        <v>535</v>
      </c>
      <c r="B52" s="689" t="s">
        <v>536</v>
      </c>
      <c r="C52" s="689" t="s">
        <v>536</v>
      </c>
      <c r="D52" s="689"/>
      <c r="E52" s="689" t="s">
        <v>536</v>
      </c>
      <c r="F52" s="689"/>
      <c r="G52" s="690"/>
      <c r="H52" s="690"/>
      <c r="I52" s="690"/>
      <c r="J52" s="690"/>
      <c r="K52" s="690"/>
    </row>
    <row r="53" spans="1:11" ht="13">
      <c r="A53" s="670" t="s">
        <v>527</v>
      </c>
      <c r="B53" s="678">
        <f>B24*42*3.79</f>
        <v>151.6</v>
      </c>
      <c r="C53" s="678">
        <f>C24*42*3.79</f>
        <v>189.5</v>
      </c>
      <c r="D53" s="679"/>
      <c r="E53" s="678">
        <f>E24*42*3.79</f>
        <v>454.8</v>
      </c>
      <c r="F53" s="678"/>
      <c r="G53" s="680"/>
      <c r="H53" s="680"/>
      <c r="I53" s="680"/>
      <c r="J53" s="680"/>
      <c r="K53" s="680" t="s">
        <v>110</v>
      </c>
    </row>
    <row r="54" spans="1:11" ht="13">
      <c r="A54" s="672" t="s">
        <v>528</v>
      </c>
      <c r="B54" s="681">
        <f>B25/145</f>
        <v>0.82758620689655171</v>
      </c>
      <c r="C54" s="681">
        <f>C25/145</f>
        <v>0.68965517241379315</v>
      </c>
      <c r="D54" s="682"/>
      <c r="E54" s="681">
        <f>E25/145</f>
        <v>0.62068965517241381</v>
      </c>
      <c r="F54" s="681"/>
      <c r="G54" s="682"/>
      <c r="H54" s="682"/>
      <c r="I54" s="682"/>
      <c r="J54" s="682"/>
      <c r="K54" s="682" t="s">
        <v>48</v>
      </c>
    </row>
    <row r="55" spans="1:11" ht="13">
      <c r="A55" s="674" t="s">
        <v>530</v>
      </c>
      <c r="B55" s="688">
        <f>B26/145</f>
        <v>3.1379310344827585</v>
      </c>
      <c r="C55" s="688">
        <f>C26/145</f>
        <v>9.6551724137931032</v>
      </c>
      <c r="D55" s="683"/>
      <c r="E55" s="688">
        <f>E26/145</f>
        <v>5.4137931034482758</v>
      </c>
      <c r="F55" s="688"/>
      <c r="G55" s="683"/>
      <c r="H55" s="683"/>
      <c r="I55" s="683"/>
      <c r="J55" s="683"/>
      <c r="K55" s="683" t="s">
        <v>48</v>
      </c>
    </row>
    <row r="56" spans="1:11" hidden="1"/>
    <row r="57" spans="1:11" hidden="1"/>
    <row r="58" spans="1:11" hidden="1"/>
    <row r="59" spans="1:11" hidden="1"/>
    <row r="60" spans="1:11" hidden="1"/>
    <row r="61" spans="1:11" hidden="1"/>
    <row r="62" spans="1:11" hidden="1"/>
    <row r="63" spans="1:11" hidden="1"/>
    <row r="64" spans="1:11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</sheetData>
  <sheetProtection password="DC85" sheet="1" formatCells="0" formatColumns="0" formatRows="0" insertColumns="0" insertRows="0" insertHyperlinks="0" deleteColumns="0" deleteRows="0" sort="0" autoFilter="0" pivotTables="0"/>
  <pageMargins left="1" right="0.25" top="0.25" bottom="0.45" header="0.25" footer="0.25"/>
  <pageSetup scale="71" orientation="landscape"/>
  <headerFooter alignWithMargins="0">
    <oddFooter>&amp;LPrinted &amp;D&amp;C&amp;F&amp;R&amp;A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 enableFormatConditionsCalculation="0">
    <pageSetUpPr fitToPage="1"/>
  </sheetPr>
  <dimension ref="A1:Y75"/>
  <sheetViews>
    <sheetView showGridLines="0" topLeftCell="A11" workbookViewId="0">
      <selection activeCell="F41" sqref="F41"/>
    </sheetView>
  </sheetViews>
  <sheetFormatPr baseColWidth="10" defaultColWidth="0" defaultRowHeight="12" zeroHeight="1" x14ac:dyDescent="0"/>
  <cols>
    <col min="1" max="1" width="14.83203125" style="740" customWidth="1"/>
    <col min="2" max="15" width="9.6640625" style="740" customWidth="1"/>
    <col min="16" max="16" width="18" style="738" hidden="1" customWidth="1"/>
    <col min="17" max="20" width="9.6640625" style="738" hidden="1" customWidth="1"/>
    <col min="21" max="21" width="4.6640625" style="738" hidden="1" customWidth="1"/>
    <col min="22" max="23" width="9.1640625" style="740" hidden="1" customWidth="1"/>
    <col min="24" max="25" width="9.1640625" style="847" hidden="1" customWidth="1"/>
    <col min="26" max="16384" width="9.1640625" style="740" hidden="1"/>
  </cols>
  <sheetData>
    <row r="1" spans="1:25" s="36" customFormat="1" ht="18" hidden="1" customHeight="1">
      <c r="A1" s="738"/>
      <c r="B1" s="1005" t="s">
        <v>605</v>
      </c>
      <c r="C1" s="1006"/>
      <c r="D1" s="1006"/>
      <c r="E1" s="1006"/>
      <c r="F1" s="1006"/>
      <c r="G1" s="1006"/>
      <c r="H1" s="1006"/>
      <c r="I1" s="1007"/>
      <c r="J1" s="738"/>
      <c r="K1" s="738"/>
      <c r="L1" s="738"/>
      <c r="M1" s="983"/>
      <c r="N1" s="983"/>
      <c r="O1" s="984"/>
      <c r="P1" s="739"/>
      <c r="Q1" s="739"/>
      <c r="R1" s="882" t="s">
        <v>643</v>
      </c>
      <c r="S1" s="882"/>
      <c r="T1" s="882"/>
      <c r="U1" s="738"/>
      <c r="X1" s="335"/>
      <c r="Y1" s="335"/>
    </row>
    <row r="2" spans="1:25" s="36" customFormat="1" hidden="1">
      <c r="A2" s="738"/>
      <c r="B2" s="1016">
        <v>30432</v>
      </c>
      <c r="C2" s="1017"/>
      <c r="D2" s="1017"/>
      <c r="E2" s="1018"/>
      <c r="F2" s="997">
        <v>30295</v>
      </c>
      <c r="G2" s="998"/>
      <c r="H2" s="999"/>
      <c r="I2" s="1000"/>
      <c r="J2" s="738"/>
      <c r="K2" s="738"/>
      <c r="L2" s="982" t="s">
        <v>616</v>
      </c>
      <c r="M2" s="982"/>
      <c r="N2" s="982"/>
      <c r="O2" s="741"/>
      <c r="P2" s="738"/>
      <c r="Q2" s="981" t="s">
        <v>613</v>
      </c>
      <c r="R2" s="981"/>
      <c r="S2" s="981"/>
      <c r="T2" s="981"/>
      <c r="U2" s="738"/>
      <c r="X2" s="335"/>
      <c r="Y2" s="335"/>
    </row>
    <row r="3" spans="1:25" s="746" customFormat="1" ht="25.5" hidden="1" customHeight="1">
      <c r="A3" s="742"/>
      <c r="B3" s="997" t="s">
        <v>596</v>
      </c>
      <c r="C3" s="998"/>
      <c r="D3" s="998"/>
      <c r="E3" s="998"/>
      <c r="F3" s="997" t="s">
        <v>577</v>
      </c>
      <c r="G3" s="998"/>
      <c r="H3" s="998"/>
      <c r="I3" s="1001"/>
      <c r="J3" s="742"/>
      <c r="K3" s="742"/>
      <c r="L3" s="982"/>
      <c r="M3" s="982"/>
      <c r="N3" s="982"/>
      <c r="O3" s="743"/>
      <c r="P3" s="742"/>
      <c r="Q3" s="744" t="s">
        <v>566</v>
      </c>
      <c r="R3" s="744" t="s">
        <v>612</v>
      </c>
      <c r="S3" s="744" t="s">
        <v>610</v>
      </c>
      <c r="T3" s="745" t="s">
        <v>611</v>
      </c>
      <c r="U3" s="883"/>
    </row>
    <row r="4" spans="1:25" s="36" customFormat="1" hidden="1">
      <c r="A4" s="738"/>
      <c r="B4" s="747" t="s">
        <v>578</v>
      </c>
      <c r="C4" s="748" t="s">
        <v>579</v>
      </c>
      <c r="D4" s="748" t="s">
        <v>580</v>
      </c>
      <c r="E4" s="748" t="s">
        <v>581</v>
      </c>
      <c r="F4" s="747" t="s">
        <v>578</v>
      </c>
      <c r="G4" s="749" t="s">
        <v>579</v>
      </c>
      <c r="H4" s="748" t="s">
        <v>580</v>
      </c>
      <c r="I4" s="750" t="s">
        <v>581</v>
      </c>
      <c r="J4" s="738"/>
      <c r="K4" s="738"/>
      <c r="L4" s="982"/>
      <c r="M4" s="982"/>
      <c r="N4" s="982"/>
      <c r="O4" s="741"/>
      <c r="P4" s="762" t="s">
        <v>680</v>
      </c>
      <c r="Q4" s="784">
        <v>1.69</v>
      </c>
      <c r="R4" s="784">
        <v>2</v>
      </c>
      <c r="S4" s="785">
        <v>9.8000000000000004E-2</v>
      </c>
      <c r="T4" s="785">
        <v>0.14382467959824718</v>
      </c>
      <c r="U4" s="739"/>
      <c r="X4" s="335"/>
      <c r="Y4" s="335"/>
    </row>
    <row r="5" spans="1:25" s="36" customFormat="1" ht="25" hidden="1" thickBot="1">
      <c r="A5" s="753"/>
      <c r="B5" s="754" t="s">
        <v>603</v>
      </c>
      <c r="C5" s="755" t="s">
        <v>583</v>
      </c>
      <c r="D5" s="755" t="s">
        <v>584</v>
      </c>
      <c r="E5" s="755" t="s">
        <v>585</v>
      </c>
      <c r="F5" s="754" t="s">
        <v>582</v>
      </c>
      <c r="G5" s="756" t="s">
        <v>586</v>
      </c>
      <c r="H5" s="755" t="s">
        <v>584</v>
      </c>
      <c r="I5" s="757" t="s">
        <v>585</v>
      </c>
      <c r="J5" s="738"/>
      <c r="K5" s="738"/>
      <c r="L5" s="738"/>
      <c r="M5" s="738"/>
      <c r="N5" s="738"/>
      <c r="O5" s="738"/>
      <c r="P5" s="762" t="s">
        <v>680</v>
      </c>
      <c r="Q5" s="751">
        <v>1.69</v>
      </c>
      <c r="R5" s="751">
        <v>2</v>
      </c>
      <c r="S5" s="752">
        <v>0.125</v>
      </c>
      <c r="T5" s="752">
        <v>0.18344984642633569</v>
      </c>
      <c r="U5" s="739"/>
      <c r="X5" s="335"/>
      <c r="Y5" s="335"/>
    </row>
    <row r="6" spans="1:25" s="36" customFormat="1" ht="24" hidden="1">
      <c r="A6" s="758" t="s">
        <v>587</v>
      </c>
      <c r="B6" s="759">
        <v>3</v>
      </c>
      <c r="C6" s="760">
        <v>3</v>
      </c>
      <c r="D6" s="760">
        <v>3</v>
      </c>
      <c r="E6" s="760">
        <v>3</v>
      </c>
      <c r="F6" s="759">
        <v>2</v>
      </c>
      <c r="G6" s="760">
        <v>2</v>
      </c>
      <c r="H6" s="760">
        <v>2</v>
      </c>
      <c r="I6" s="761">
        <v>2</v>
      </c>
      <c r="J6" s="738"/>
      <c r="K6" s="738"/>
      <c r="L6" s="762" t="s">
        <v>619</v>
      </c>
      <c r="M6" s="763" t="s">
        <v>618</v>
      </c>
      <c r="N6" s="738">
        <f>Cdg</f>
        <v>0.65</v>
      </c>
      <c r="O6" s="738"/>
      <c r="P6" s="762" t="s">
        <v>680</v>
      </c>
      <c r="Q6" s="751">
        <v>1.69</v>
      </c>
      <c r="R6" s="751">
        <v>2</v>
      </c>
      <c r="S6" s="752">
        <v>0.15</v>
      </c>
      <c r="T6" s="752">
        <v>0.22013981571160285</v>
      </c>
      <c r="U6" s="739"/>
      <c r="X6" s="335"/>
      <c r="Y6" s="335"/>
    </row>
    <row r="7" spans="1:25" s="36" customFormat="1" ht="25" hidden="1" thickBot="1">
      <c r="A7" s="764" t="s">
        <v>606</v>
      </c>
      <c r="B7" s="765">
        <v>0.09</v>
      </c>
      <c r="C7" s="766">
        <v>0.106</v>
      </c>
      <c r="D7" s="766">
        <v>0.125</v>
      </c>
      <c r="E7" s="766">
        <v>0.14499999999999999</v>
      </c>
      <c r="F7" s="765">
        <v>9.8000000000000004E-2</v>
      </c>
      <c r="G7" s="766">
        <v>0.125</v>
      </c>
      <c r="H7" s="766">
        <v>0.15</v>
      </c>
      <c r="I7" s="767">
        <v>0.2</v>
      </c>
      <c r="J7" s="738"/>
      <c r="K7" s="738"/>
      <c r="L7" s="738"/>
      <c r="M7" s="738"/>
      <c r="N7" s="738"/>
      <c r="O7" s="738"/>
      <c r="P7" s="762" t="s">
        <v>680</v>
      </c>
      <c r="Q7" s="751">
        <v>1.69</v>
      </c>
      <c r="R7" s="751">
        <v>2</v>
      </c>
      <c r="S7" s="752">
        <v>0.2</v>
      </c>
      <c r="T7" s="752">
        <v>0.29351975428213711</v>
      </c>
      <c r="U7" s="739"/>
      <c r="X7" s="335"/>
      <c r="Y7" s="335"/>
    </row>
    <row r="8" spans="1:25" s="36" customFormat="1" hidden="1">
      <c r="A8" s="768" t="s">
        <v>588</v>
      </c>
      <c r="B8" s="769">
        <f t="shared" ref="B8:I8" si="0">B6*B7^2*PI()/4</f>
        <v>1.9085175370557993E-2</v>
      </c>
      <c r="C8" s="770">
        <f t="shared" si="0"/>
        <v>2.6474201291801187E-2</v>
      </c>
      <c r="D8" s="770">
        <f t="shared" si="0"/>
        <v>3.6815538909255388E-2</v>
      </c>
      <c r="E8" s="770">
        <f t="shared" si="0"/>
        <v>4.9538989156294046E-2</v>
      </c>
      <c r="F8" s="769">
        <f>F6*F7^2*PI()/4</f>
        <v>1.5085927922538189E-2</v>
      </c>
      <c r="G8" s="770">
        <f>G6*G7^2*PI()/4</f>
        <v>2.4543692606170259E-2</v>
      </c>
      <c r="H8" s="770">
        <f t="shared" si="0"/>
        <v>3.5342917352885174E-2</v>
      </c>
      <c r="I8" s="771">
        <f t="shared" si="0"/>
        <v>6.2831853071795868E-2</v>
      </c>
      <c r="J8" s="738"/>
      <c r="K8" s="738"/>
      <c r="L8" s="738"/>
      <c r="M8" s="738"/>
      <c r="N8" s="738"/>
      <c r="O8" s="738"/>
      <c r="P8" s="762" t="s">
        <v>680</v>
      </c>
      <c r="Q8" s="751">
        <v>1.69</v>
      </c>
      <c r="R8" s="751">
        <v>3</v>
      </c>
      <c r="S8" s="752">
        <v>0.09</v>
      </c>
      <c r="T8" s="752">
        <v>0.17826082877885166</v>
      </c>
      <c r="U8" s="739"/>
      <c r="X8" s="335"/>
      <c r="Y8" s="335"/>
    </row>
    <row r="9" spans="1:25" s="36" customFormat="1" ht="13" hidden="1" thickBot="1">
      <c r="A9" s="772" t="s">
        <v>589</v>
      </c>
      <c r="B9" s="576">
        <v>0.85</v>
      </c>
      <c r="C9" s="577">
        <f>B9</f>
        <v>0.85</v>
      </c>
      <c r="D9" s="577">
        <f>C9</f>
        <v>0.85</v>
      </c>
      <c r="E9" s="577">
        <f>C9</f>
        <v>0.85</v>
      </c>
      <c r="F9" s="576">
        <v>0.7</v>
      </c>
      <c r="G9" s="577">
        <f>F9</f>
        <v>0.7</v>
      </c>
      <c r="H9" s="577">
        <f>G9</f>
        <v>0.7</v>
      </c>
      <c r="I9" s="578">
        <f>H9</f>
        <v>0.7</v>
      </c>
      <c r="J9" s="738"/>
      <c r="K9" s="738"/>
      <c r="L9" s="738"/>
      <c r="M9" s="773" t="s">
        <v>617</v>
      </c>
      <c r="N9" s="738"/>
      <c r="O9" s="738"/>
      <c r="P9" s="762" t="s">
        <v>680</v>
      </c>
      <c r="Q9" s="751">
        <v>1.69</v>
      </c>
      <c r="R9" s="751">
        <v>3</v>
      </c>
      <c r="S9" s="752">
        <v>0.106</v>
      </c>
      <c r="T9" s="752">
        <v>0.20995164278398087</v>
      </c>
      <c r="U9" s="739"/>
      <c r="X9" s="335"/>
      <c r="Y9" s="335"/>
    </row>
    <row r="10" spans="1:25" s="36" customFormat="1" ht="25" hidden="1" thickBot="1">
      <c r="A10" s="774" t="s">
        <v>604</v>
      </c>
      <c r="B10" s="775">
        <f>B7*SQRT(Cdg/B9)</f>
        <v>7.8702716897568567E-2</v>
      </c>
      <c r="C10" s="776">
        <f t="shared" ref="C10:I10" si="1">C7*SQRT(Cdg/C9)</f>
        <v>9.2694311012691863E-2</v>
      </c>
      <c r="D10" s="776">
        <f t="shared" si="1"/>
        <v>0.10930932902440078</v>
      </c>
      <c r="E10" s="777">
        <f t="shared" si="1"/>
        <v>0.12679882166830489</v>
      </c>
      <c r="F10" s="778">
        <f t="shared" si="1"/>
        <v>9.4435162942624301E-2</v>
      </c>
      <c r="G10" s="779">
        <f t="shared" si="1"/>
        <v>0.12045301395742895</v>
      </c>
      <c r="H10" s="779">
        <f t="shared" si="1"/>
        <v>0.14454361674891475</v>
      </c>
      <c r="I10" s="780">
        <f t="shared" si="1"/>
        <v>0.19272482233188634</v>
      </c>
      <c r="J10" s="738"/>
      <c r="K10" s="738"/>
      <c r="L10" s="738"/>
      <c r="M10" s="738"/>
      <c r="N10" s="738"/>
      <c r="O10" s="738"/>
      <c r="P10" s="762" t="s">
        <v>680</v>
      </c>
      <c r="Q10" s="751">
        <v>1.69</v>
      </c>
      <c r="R10" s="751">
        <v>3</v>
      </c>
      <c r="S10" s="752">
        <v>0.125</v>
      </c>
      <c r="T10" s="752">
        <v>0.24758448441507178</v>
      </c>
      <c r="U10" s="739"/>
      <c r="X10" s="335"/>
      <c r="Y10" s="335"/>
    </row>
    <row r="11" spans="1:25" s="36" customFormat="1" ht="24" customHeight="1">
      <c r="A11" s="781" t="s">
        <v>683</v>
      </c>
      <c r="B11" s="782"/>
      <c r="C11" s="782"/>
      <c r="D11" s="782"/>
      <c r="E11" s="782"/>
      <c r="F11" s="782"/>
      <c r="G11" s="782"/>
      <c r="H11" s="782"/>
      <c r="I11" s="782"/>
      <c r="J11" s="782"/>
      <c r="K11" s="783"/>
      <c r="L11" s="783"/>
      <c r="M11" s="783"/>
      <c r="N11" s="783"/>
      <c r="O11" s="783"/>
      <c r="P11" s="762" t="s">
        <v>680</v>
      </c>
      <c r="Q11" s="751">
        <v>1.69</v>
      </c>
      <c r="R11" s="751">
        <v>3</v>
      </c>
      <c r="S11" s="752">
        <v>0.14499999999999999</v>
      </c>
      <c r="T11" s="752">
        <v>0.27862298762085158</v>
      </c>
      <c r="U11" s="739"/>
      <c r="X11" s="335"/>
      <c r="Y11" s="335"/>
    </row>
    <row r="12" spans="1:25" s="36" customFormat="1" ht="16" customHeight="1">
      <c r="A12" s="856" t="s">
        <v>673</v>
      </c>
      <c r="B12" s="994" t="s">
        <v>666</v>
      </c>
      <c r="C12" s="995"/>
      <c r="D12" s="995"/>
      <c r="E12" s="995"/>
      <c r="F12" s="996"/>
      <c r="G12" s="991" t="s">
        <v>667</v>
      </c>
      <c r="H12" s="992"/>
      <c r="I12" s="992"/>
      <c r="J12" s="993"/>
      <c r="K12" s="783"/>
      <c r="L12" s="783"/>
      <c r="M12" s="783"/>
      <c r="N12" s="783"/>
      <c r="O12" s="783"/>
      <c r="P12" s="762" t="s">
        <v>678</v>
      </c>
      <c r="Q12" s="751">
        <v>1.69</v>
      </c>
      <c r="R12" s="751">
        <f>Nb</f>
        <v>1</v>
      </c>
      <c r="S12" s="751">
        <f>'Circ Model'!H29</f>
        <v>0.193</v>
      </c>
      <c r="T12" s="751">
        <f>SQRT((Nb*PI()*S12^2/4*Cdg)*4/(Cdg*PI()))</f>
        <v>0.193</v>
      </c>
      <c r="U12" s="739"/>
      <c r="X12" s="335"/>
      <c r="Y12" s="335"/>
    </row>
    <row r="13" spans="1:25" s="36" customFormat="1" ht="13">
      <c r="A13" s="825" t="s">
        <v>662</v>
      </c>
      <c r="B13" s="786" t="s">
        <v>578</v>
      </c>
      <c r="C13" s="787" t="s">
        <v>579</v>
      </c>
      <c r="D13" s="787" t="s">
        <v>580</v>
      </c>
      <c r="E13" s="787" t="s">
        <v>581</v>
      </c>
      <c r="F13" s="788" t="s">
        <v>608</v>
      </c>
      <c r="G13" s="789" t="s">
        <v>578</v>
      </c>
      <c r="H13" s="790" t="s">
        <v>579</v>
      </c>
      <c r="I13" s="790" t="s">
        <v>580</v>
      </c>
      <c r="J13" s="791" t="s">
        <v>581</v>
      </c>
      <c r="K13" s="783"/>
      <c r="L13" s="783"/>
      <c r="M13" s="783"/>
      <c r="N13" s="783"/>
      <c r="O13" s="783"/>
      <c r="P13" s="762" t="s">
        <v>680</v>
      </c>
      <c r="Q13" s="784">
        <v>2.12</v>
      </c>
      <c r="R13" s="784">
        <v>2</v>
      </c>
      <c r="S13" s="785">
        <v>9.8000000000000004E-2</v>
      </c>
      <c r="T13" s="785">
        <v>0.14382467959824718</v>
      </c>
      <c r="U13" s="739"/>
      <c r="X13" s="335"/>
      <c r="Y13" s="335"/>
    </row>
    <row r="14" spans="1:25" s="36" customFormat="1" ht="26">
      <c r="A14" s="792" t="s">
        <v>570</v>
      </c>
      <c r="B14" s="793" t="s">
        <v>582</v>
      </c>
      <c r="C14" s="794" t="s">
        <v>583</v>
      </c>
      <c r="D14" s="794" t="s">
        <v>584</v>
      </c>
      <c r="E14" s="794" t="s">
        <v>585</v>
      </c>
      <c r="F14" s="795" t="s">
        <v>609</v>
      </c>
      <c r="G14" s="796" t="s">
        <v>582</v>
      </c>
      <c r="H14" s="797" t="s">
        <v>583</v>
      </c>
      <c r="I14" s="797" t="s">
        <v>584</v>
      </c>
      <c r="J14" s="798" t="s">
        <v>585</v>
      </c>
      <c r="K14" s="783"/>
      <c r="L14" s="783"/>
      <c r="M14" s="783"/>
      <c r="N14" s="783"/>
      <c r="O14" s="783"/>
      <c r="P14" s="762" t="s">
        <v>680</v>
      </c>
      <c r="Q14" s="751">
        <v>2.12</v>
      </c>
      <c r="R14" s="751">
        <v>2</v>
      </c>
      <c r="S14" s="752">
        <v>0.125</v>
      </c>
      <c r="T14" s="752">
        <v>0.18344984642633569</v>
      </c>
      <c r="U14" s="739"/>
      <c r="X14" s="335"/>
      <c r="Y14" s="335"/>
    </row>
    <row r="15" spans="1:25" s="36" customFormat="1" ht="24">
      <c r="A15" s="799" t="s">
        <v>587</v>
      </c>
      <c r="B15" s="800">
        <v>3</v>
      </c>
      <c r="C15" s="794">
        <v>3</v>
      </c>
      <c r="D15" s="794">
        <v>3</v>
      </c>
      <c r="E15" s="794">
        <v>3</v>
      </c>
      <c r="F15" s="795">
        <v>3</v>
      </c>
      <c r="G15" s="796">
        <v>2</v>
      </c>
      <c r="H15" s="797">
        <v>2</v>
      </c>
      <c r="I15" s="797">
        <v>2</v>
      </c>
      <c r="J15" s="798">
        <v>2</v>
      </c>
      <c r="K15" s="801"/>
      <c r="L15" s="801"/>
      <c r="M15" s="801"/>
      <c r="N15" s="801"/>
      <c r="O15" s="801"/>
      <c r="P15" s="762" t="s">
        <v>680</v>
      </c>
      <c r="Q15" s="751">
        <v>2.12</v>
      </c>
      <c r="R15" s="751">
        <v>2</v>
      </c>
      <c r="S15" s="752">
        <v>0.15</v>
      </c>
      <c r="T15" s="752">
        <v>0.22013981571160285</v>
      </c>
      <c r="U15" s="739"/>
      <c r="X15" s="335"/>
      <c r="Y15" s="335"/>
    </row>
    <row r="16" spans="1:25" s="36" customFormat="1" ht="24">
      <c r="A16" s="802" t="s">
        <v>606</v>
      </c>
      <c r="B16" s="803">
        <v>0.09</v>
      </c>
      <c r="C16" s="804">
        <v>0.106</v>
      </c>
      <c r="D16" s="804">
        <v>0.125</v>
      </c>
      <c r="E16" s="804">
        <v>0.14499999999999999</v>
      </c>
      <c r="F16" s="805">
        <v>0.17299999999999999</v>
      </c>
      <c r="G16" s="806">
        <v>9.8000000000000004E-2</v>
      </c>
      <c r="H16" s="807">
        <v>0.125</v>
      </c>
      <c r="I16" s="807">
        <v>0.15</v>
      </c>
      <c r="J16" s="808">
        <v>0.2</v>
      </c>
      <c r="K16" s="801"/>
      <c r="L16" s="801"/>
      <c r="M16" s="801"/>
      <c r="N16" s="801"/>
      <c r="O16" s="801"/>
      <c r="P16" s="762" t="s">
        <v>680</v>
      </c>
      <c r="Q16" s="751">
        <v>2.12</v>
      </c>
      <c r="R16" s="751">
        <v>2</v>
      </c>
      <c r="S16" s="752">
        <v>0.2</v>
      </c>
      <c r="T16" s="752">
        <v>0.29351975428213711</v>
      </c>
      <c r="U16" s="739"/>
      <c r="X16" s="335"/>
      <c r="Y16" s="335"/>
    </row>
    <row r="17" spans="1:25" s="34" customFormat="1" hidden="1">
      <c r="A17" s="809" t="s">
        <v>588</v>
      </c>
      <c r="B17" s="810">
        <f t="shared" ref="B17:J17" si="2">B15*B16^2*PI()/4</f>
        <v>1.9085175370557993E-2</v>
      </c>
      <c r="C17" s="811">
        <f t="shared" si="2"/>
        <v>2.6474201291801187E-2</v>
      </c>
      <c r="D17" s="811">
        <f t="shared" si="2"/>
        <v>3.6815538909255388E-2</v>
      </c>
      <c r="E17" s="811">
        <f t="shared" si="2"/>
        <v>4.9538989156294046E-2</v>
      </c>
      <c r="F17" s="812">
        <f t="shared" si="2"/>
        <v>7.0518544896966684E-2</v>
      </c>
      <c r="G17" s="810">
        <f t="shared" si="2"/>
        <v>1.5085927922538189E-2</v>
      </c>
      <c r="H17" s="811">
        <f t="shared" si="2"/>
        <v>2.4543692606170259E-2</v>
      </c>
      <c r="I17" s="811">
        <f t="shared" si="2"/>
        <v>3.5342917352885174E-2</v>
      </c>
      <c r="J17" s="813">
        <f t="shared" si="2"/>
        <v>6.2831853071795868E-2</v>
      </c>
      <c r="K17" s="762"/>
      <c r="L17" s="762"/>
      <c r="M17" s="762"/>
      <c r="N17" s="762"/>
      <c r="O17" s="762"/>
      <c r="P17" s="762" t="s">
        <v>680</v>
      </c>
      <c r="Q17" s="751">
        <v>2.12</v>
      </c>
      <c r="R17" s="751">
        <v>3</v>
      </c>
      <c r="S17" s="752">
        <v>0.09</v>
      </c>
      <c r="T17" s="752">
        <v>0.17826082877885166</v>
      </c>
      <c r="U17" s="739"/>
      <c r="X17" s="814"/>
      <c r="Y17" s="814"/>
    </row>
    <row r="18" spans="1:25" s="34" customFormat="1" hidden="1">
      <c r="A18" s="815" t="s">
        <v>589</v>
      </c>
      <c r="B18" s="574">
        <v>0.85</v>
      </c>
      <c r="C18" s="570">
        <f>$B18</f>
        <v>0.85</v>
      </c>
      <c r="D18" s="570">
        <f>$B18</f>
        <v>0.85</v>
      </c>
      <c r="E18" s="570">
        <v>0.8</v>
      </c>
      <c r="F18" s="579">
        <v>0.75</v>
      </c>
      <c r="G18" s="574">
        <v>0.7</v>
      </c>
      <c r="H18" s="570">
        <f>G18</f>
        <v>0.7</v>
      </c>
      <c r="I18" s="570">
        <f>H18</f>
        <v>0.7</v>
      </c>
      <c r="J18" s="572">
        <f>I18</f>
        <v>0.7</v>
      </c>
      <c r="K18" s="762"/>
      <c r="L18" s="762"/>
      <c r="M18" s="762"/>
      <c r="N18" s="762"/>
      <c r="O18" s="762"/>
      <c r="P18" s="762" t="s">
        <v>680</v>
      </c>
      <c r="Q18" s="751">
        <v>2.12</v>
      </c>
      <c r="R18" s="751">
        <v>3</v>
      </c>
      <c r="S18" s="752">
        <v>0.106</v>
      </c>
      <c r="T18" s="752">
        <v>0.20995164278398087</v>
      </c>
      <c r="U18" s="739"/>
      <c r="X18" s="814"/>
      <c r="Y18" s="814"/>
    </row>
    <row r="19" spans="1:25" s="34" customFormat="1" hidden="1">
      <c r="A19" s="815" t="s">
        <v>614</v>
      </c>
      <c r="B19" s="575">
        <f>PI()*B16^2/4*B15*B18</f>
        <v>1.6222399064974292E-2</v>
      </c>
      <c r="C19" s="571">
        <f t="shared" ref="C19:J19" si="3">PI()*C16^2/4*C15*C18</f>
        <v>2.2503071098031006E-2</v>
      </c>
      <c r="D19" s="571">
        <f t="shared" si="3"/>
        <v>3.1293208072867076E-2</v>
      </c>
      <c r="E19" s="571">
        <f t="shared" si="3"/>
        <v>3.9631191325035238E-2</v>
      </c>
      <c r="F19" s="580">
        <f t="shared" si="3"/>
        <v>5.2888908672725013E-2</v>
      </c>
      <c r="G19" s="575">
        <f t="shared" si="3"/>
        <v>1.0560149545776732E-2</v>
      </c>
      <c r="H19" s="571">
        <f t="shared" si="3"/>
        <v>1.7180584824319181E-2</v>
      </c>
      <c r="I19" s="571">
        <f t="shared" si="3"/>
        <v>2.4740042147019619E-2</v>
      </c>
      <c r="J19" s="573">
        <f t="shared" si="3"/>
        <v>4.3982297150257102E-2</v>
      </c>
      <c r="K19" s="762"/>
      <c r="L19" s="762"/>
      <c r="M19" s="773" t="s">
        <v>617</v>
      </c>
      <c r="N19" s="762"/>
      <c r="O19" s="762"/>
      <c r="P19" s="762" t="s">
        <v>680</v>
      </c>
      <c r="Q19" s="751">
        <v>2.12</v>
      </c>
      <c r="R19" s="751">
        <v>3</v>
      </c>
      <c r="S19" s="752">
        <v>0.125</v>
      </c>
      <c r="T19" s="752">
        <v>0.24758448441507178</v>
      </c>
      <c r="U19" s="739"/>
      <c r="X19" s="814"/>
      <c r="Y19" s="814"/>
    </row>
    <row r="20" spans="1:25" s="34" customFormat="1" ht="25" hidden="1" thickBot="1">
      <c r="A20" s="816" t="s">
        <v>620</v>
      </c>
      <c r="B20" s="817">
        <f>SQRT(B19*4/(0.65*PI()))</f>
        <v>0.17826082877885166</v>
      </c>
      <c r="C20" s="818">
        <f t="shared" ref="C20:J20" si="4">SQRT(C19*4/(0.65*PI()))</f>
        <v>0.20995164278398087</v>
      </c>
      <c r="D20" s="818">
        <f t="shared" si="4"/>
        <v>0.24758448441507178</v>
      </c>
      <c r="E20" s="818">
        <f t="shared" si="4"/>
        <v>0.27862298762085158</v>
      </c>
      <c r="F20" s="819">
        <f t="shared" si="4"/>
        <v>0.32187013625899591</v>
      </c>
      <c r="G20" s="817">
        <f t="shared" si="4"/>
        <v>0.14382467959824718</v>
      </c>
      <c r="H20" s="818">
        <f t="shared" si="4"/>
        <v>0.18344984642633569</v>
      </c>
      <c r="I20" s="818">
        <f t="shared" si="4"/>
        <v>0.22013981571160285</v>
      </c>
      <c r="J20" s="820">
        <f t="shared" si="4"/>
        <v>0.29351975428213711</v>
      </c>
      <c r="K20" s="762"/>
      <c r="L20" s="762"/>
      <c r="M20" s="762"/>
      <c r="N20" s="762"/>
      <c r="O20" s="762"/>
      <c r="P20" s="762" t="s">
        <v>680</v>
      </c>
      <c r="Q20" s="751">
        <v>2.12</v>
      </c>
      <c r="R20" s="751">
        <v>3</v>
      </c>
      <c r="S20" s="752">
        <v>0.14499999999999999</v>
      </c>
      <c r="T20" s="752">
        <v>0.27862298762085158</v>
      </c>
      <c r="U20" s="739"/>
      <c r="X20" s="814"/>
      <c r="Y20" s="814"/>
    </row>
    <row r="21" spans="1:25" s="36" customFormat="1" ht="16" customHeight="1">
      <c r="A21" s="783"/>
      <c r="B21" s="823" t="s">
        <v>682</v>
      </c>
      <c r="C21" s="824"/>
      <c r="D21" s="824"/>
      <c r="E21" s="824"/>
      <c r="F21" s="824"/>
      <c r="G21" s="824"/>
      <c r="H21" s="452"/>
      <c r="I21" s="452"/>
      <c r="J21" s="452"/>
      <c r="K21" s="801"/>
      <c r="L21" s="801"/>
      <c r="M21" s="801"/>
      <c r="N21" s="801"/>
      <c r="O21" s="801"/>
      <c r="P21" s="762" t="s">
        <v>680</v>
      </c>
      <c r="Q21" s="751">
        <v>2.12</v>
      </c>
      <c r="R21" s="751">
        <v>3</v>
      </c>
      <c r="S21" s="752">
        <v>0.17299999999999999</v>
      </c>
      <c r="T21" s="752">
        <v>0.32187013625899591</v>
      </c>
      <c r="U21" s="739"/>
      <c r="X21" s="335"/>
      <c r="Y21" s="335"/>
    </row>
    <row r="22" spans="1:25" s="36" customFormat="1" ht="16" customHeight="1">
      <c r="A22" s="856">
        <v>2.38</v>
      </c>
      <c r="B22" s="994" t="s">
        <v>668</v>
      </c>
      <c r="C22" s="995"/>
      <c r="D22" s="995"/>
      <c r="E22" s="995"/>
      <c r="F22" s="995"/>
      <c r="G22" s="995"/>
      <c r="H22" s="996"/>
      <c r="I22" s="801"/>
      <c r="J22" s="801"/>
      <c r="K22" s="801"/>
      <c r="L22" s="801"/>
      <c r="M22" s="801"/>
      <c r="N22" s="801"/>
      <c r="O22" s="801"/>
      <c r="P22" s="762" t="s">
        <v>678</v>
      </c>
      <c r="Q22" s="821">
        <v>2.12</v>
      </c>
      <c r="R22" s="821">
        <f>Nb</f>
        <v>1</v>
      </c>
      <c r="S22" s="821">
        <f>'Circ Model'!$H$29</f>
        <v>0.193</v>
      </c>
      <c r="T22" s="751">
        <f>SQRT((Nb*PI()*S22^2/4*Cdg)*4/(Cdg*PI()))</f>
        <v>0.193</v>
      </c>
      <c r="U22" s="738"/>
      <c r="X22" s="335"/>
      <c r="Y22" s="335"/>
    </row>
    <row r="23" spans="1:25" s="36" customFormat="1" ht="13">
      <c r="A23" s="825" t="s">
        <v>662</v>
      </c>
      <c r="B23" s="826" t="s">
        <v>590</v>
      </c>
      <c r="C23" s="786" t="s">
        <v>591</v>
      </c>
      <c r="D23" s="786" t="s">
        <v>592</v>
      </c>
      <c r="E23" s="787" t="s">
        <v>593</v>
      </c>
      <c r="F23" s="787" t="s">
        <v>594</v>
      </c>
      <c r="G23" s="868" t="s">
        <v>595</v>
      </c>
      <c r="H23" s="870">
        <v>0.65</v>
      </c>
      <c r="I23" s="801"/>
      <c r="J23" s="801"/>
      <c r="K23" s="801"/>
      <c r="L23" s="801"/>
      <c r="M23" s="801"/>
      <c r="N23" s="801"/>
      <c r="O23" s="801"/>
      <c r="P23" s="762" t="s">
        <v>680</v>
      </c>
      <c r="Q23" s="784">
        <v>2.38</v>
      </c>
      <c r="R23" s="784">
        <v>3</v>
      </c>
      <c r="S23" s="785">
        <v>0.09</v>
      </c>
      <c r="T23" s="785">
        <v>0.17826082877885166</v>
      </c>
      <c r="U23" s="762"/>
      <c r="X23" s="335"/>
      <c r="Y23" s="335"/>
    </row>
    <row r="24" spans="1:25" s="36" customFormat="1" ht="24">
      <c r="A24" s="799" t="s">
        <v>587</v>
      </c>
      <c r="B24" s="793">
        <v>3</v>
      </c>
      <c r="C24" s="794">
        <v>3</v>
      </c>
      <c r="D24" s="794">
        <v>3</v>
      </c>
      <c r="E24" s="827">
        <v>6</v>
      </c>
      <c r="F24" s="827">
        <v>6</v>
      </c>
      <c r="G24" s="827">
        <v>6</v>
      </c>
      <c r="H24" s="870">
        <v>6</v>
      </c>
      <c r="I24" s="801"/>
      <c r="J24" s="801"/>
      <c r="K24" s="801"/>
      <c r="L24" s="801"/>
      <c r="M24" s="801"/>
      <c r="N24" s="801"/>
      <c r="O24" s="801"/>
      <c r="P24" s="762" t="s">
        <v>680</v>
      </c>
      <c r="Q24" s="751">
        <v>2.38</v>
      </c>
      <c r="R24" s="751">
        <v>3</v>
      </c>
      <c r="S24" s="751">
        <v>0.106</v>
      </c>
      <c r="T24" s="752">
        <v>0.21</v>
      </c>
      <c r="U24" s="762"/>
      <c r="X24" s="335"/>
      <c r="Y24" s="335"/>
    </row>
    <row r="25" spans="1:25" s="36" customFormat="1" ht="24">
      <c r="A25" s="802" t="s">
        <v>606</v>
      </c>
      <c r="B25" s="828">
        <v>0.09</v>
      </c>
      <c r="C25" s="804">
        <v>0.106</v>
      </c>
      <c r="D25" s="804">
        <v>0.125</v>
      </c>
      <c r="E25" s="804">
        <v>0.106</v>
      </c>
      <c r="F25" s="804">
        <v>0.125</v>
      </c>
      <c r="G25" s="869">
        <v>0.14499999999999999</v>
      </c>
      <c r="H25" s="870">
        <v>0.17299999999999999</v>
      </c>
      <c r="I25" s="801"/>
      <c r="J25" s="801"/>
      <c r="K25" s="801"/>
      <c r="L25" s="801"/>
      <c r="M25" s="801"/>
      <c r="N25" s="801"/>
      <c r="O25" s="801"/>
      <c r="P25" s="762" t="s">
        <v>680</v>
      </c>
      <c r="Q25" s="751">
        <v>2.38</v>
      </c>
      <c r="R25" s="751">
        <v>3</v>
      </c>
      <c r="S25" s="752">
        <v>0.125</v>
      </c>
      <c r="T25" s="752">
        <v>0.24758448441507178</v>
      </c>
      <c r="U25" s="738"/>
      <c r="X25" s="335"/>
      <c r="Y25" s="335"/>
    </row>
    <row r="26" spans="1:25" s="34" customFormat="1" ht="13" hidden="1">
      <c r="A26" s="809" t="s">
        <v>588</v>
      </c>
      <c r="B26" s="871">
        <f t="shared" ref="B26:G26" si="5">B24*B25^2*PI()/4</f>
        <v>1.9085175370557993E-2</v>
      </c>
      <c r="C26" s="872">
        <f t="shared" si="5"/>
        <v>2.6474201291801187E-2</v>
      </c>
      <c r="D26" s="872">
        <f t="shared" si="5"/>
        <v>3.6815538909255388E-2</v>
      </c>
      <c r="E26" s="872">
        <f t="shared" si="5"/>
        <v>5.2948402583602373E-2</v>
      </c>
      <c r="F26" s="872">
        <f t="shared" si="5"/>
        <v>7.3631077818510776E-2</v>
      </c>
      <c r="G26" s="873">
        <f t="shared" si="5"/>
        <v>9.9077978312588091E-2</v>
      </c>
      <c r="H26" s="874">
        <f>H24*H25^2*PI()/4</f>
        <v>0.14103708979393337</v>
      </c>
      <c r="I26" s="762"/>
      <c r="J26" s="762"/>
      <c r="K26" s="762"/>
      <c r="L26" s="762"/>
      <c r="M26" s="762"/>
      <c r="N26" s="762"/>
      <c r="O26" s="762"/>
      <c r="P26" s="762" t="s">
        <v>680</v>
      </c>
      <c r="Q26" s="751">
        <v>2.38</v>
      </c>
      <c r="R26" s="751">
        <v>6</v>
      </c>
      <c r="S26" s="752">
        <v>0.106</v>
      </c>
      <c r="T26" s="752">
        <v>0.29691646066761712</v>
      </c>
      <c r="U26" s="738"/>
      <c r="X26" s="814"/>
      <c r="Y26" s="814"/>
    </row>
    <row r="27" spans="1:25" s="34" customFormat="1" ht="13" hidden="1">
      <c r="A27" s="815" t="s">
        <v>589</v>
      </c>
      <c r="B27" s="875">
        <v>0.85</v>
      </c>
      <c r="C27" s="876">
        <v>0.85</v>
      </c>
      <c r="D27" s="876">
        <v>0.85</v>
      </c>
      <c r="E27" s="876">
        <v>0.85</v>
      </c>
      <c r="F27" s="876">
        <v>0.85</v>
      </c>
      <c r="G27" s="877">
        <v>0.8</v>
      </c>
      <c r="H27" s="878">
        <v>0.75</v>
      </c>
      <c r="I27" s="762"/>
      <c r="J27" s="762"/>
      <c r="K27" s="762"/>
      <c r="L27" s="762"/>
      <c r="M27" s="762"/>
      <c r="N27" s="762"/>
      <c r="O27" s="762"/>
      <c r="P27" s="762" t="s">
        <v>680</v>
      </c>
      <c r="Q27" s="751">
        <v>2.38</v>
      </c>
      <c r="R27" s="751">
        <v>6</v>
      </c>
      <c r="S27" s="752">
        <v>0.125</v>
      </c>
      <c r="T27" s="752">
        <v>0.3501373356929447</v>
      </c>
      <c r="U27" s="423"/>
      <c r="X27" s="814"/>
      <c r="Y27" s="814"/>
    </row>
    <row r="28" spans="1:25" s="34" customFormat="1" hidden="1">
      <c r="A28" s="815" t="s">
        <v>614</v>
      </c>
      <c r="B28" s="575">
        <f t="shared" ref="B28:H28" si="6">PI()*B25^2/4*B24*B27</f>
        <v>1.6222399064974292E-2</v>
      </c>
      <c r="C28" s="571">
        <f t="shared" si="6"/>
        <v>2.2503071098031006E-2</v>
      </c>
      <c r="D28" s="571">
        <f t="shared" si="6"/>
        <v>3.1293208072867076E-2</v>
      </c>
      <c r="E28" s="571">
        <f t="shared" si="6"/>
        <v>4.5006142196062013E-2</v>
      </c>
      <c r="F28" s="571">
        <f t="shared" si="6"/>
        <v>6.2586416145734153E-2</v>
      </c>
      <c r="G28" s="580">
        <f t="shared" si="6"/>
        <v>7.9262382650070476E-2</v>
      </c>
      <c r="H28" s="573">
        <f t="shared" si="6"/>
        <v>0.10577781734545003</v>
      </c>
      <c r="I28" s="762"/>
      <c r="J28" s="762"/>
      <c r="K28" s="762"/>
      <c r="L28" s="762"/>
      <c r="M28" s="773" t="s">
        <v>617</v>
      </c>
      <c r="N28" s="762"/>
      <c r="O28" s="762"/>
      <c r="P28" s="762" t="s">
        <v>680</v>
      </c>
      <c r="Q28" s="751">
        <v>2.38</v>
      </c>
      <c r="R28" s="751">
        <v>6</v>
      </c>
      <c r="S28" s="752">
        <v>0.14499999999999999</v>
      </c>
      <c r="T28" s="752">
        <v>0.3940324078823193</v>
      </c>
      <c r="U28" s="738"/>
      <c r="X28" s="814"/>
      <c r="Y28" s="814"/>
    </row>
    <row r="29" spans="1:25" s="34" customFormat="1" ht="25" hidden="1" thickBot="1">
      <c r="A29" s="816" t="s">
        <v>620</v>
      </c>
      <c r="B29" s="829">
        <f t="shared" ref="B29:H29" si="7">SQRT(B28*4/(0.65*PI()))</f>
        <v>0.17826082877885166</v>
      </c>
      <c r="C29" s="830">
        <f t="shared" si="7"/>
        <v>0.20995164278398087</v>
      </c>
      <c r="D29" s="830">
        <f t="shared" si="7"/>
        <v>0.24758448441507178</v>
      </c>
      <c r="E29" s="830">
        <f t="shared" si="7"/>
        <v>0.29691646066761712</v>
      </c>
      <c r="F29" s="830">
        <f t="shared" si="7"/>
        <v>0.3501373356929447</v>
      </c>
      <c r="G29" s="848">
        <f t="shared" si="7"/>
        <v>0.3940324078823193</v>
      </c>
      <c r="H29" s="831">
        <f t="shared" si="7"/>
        <v>0.45519311202034812</v>
      </c>
      <c r="I29" s="762"/>
      <c r="J29" s="762"/>
      <c r="K29" s="762"/>
      <c r="L29" s="762"/>
      <c r="M29" s="762"/>
      <c r="N29" s="762"/>
      <c r="O29" s="762"/>
      <c r="P29" s="762" t="s">
        <v>680</v>
      </c>
      <c r="Q29" s="751">
        <v>2.38</v>
      </c>
      <c r="R29" s="751">
        <v>6</v>
      </c>
      <c r="S29" s="752">
        <v>0.17299999999999999</v>
      </c>
      <c r="T29" s="752">
        <v>0.45500000000000002</v>
      </c>
      <c r="U29" s="738"/>
      <c r="X29" s="814"/>
      <c r="Y29" s="814"/>
    </row>
    <row r="30" spans="1:25" s="34" customFormat="1">
      <c r="A30" s="423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762" t="s">
        <v>678</v>
      </c>
      <c r="Q30" s="821">
        <v>2.38</v>
      </c>
      <c r="R30" s="821">
        <f>Nb</f>
        <v>1</v>
      </c>
      <c r="S30" s="821">
        <f>'Circ Model'!$H$29</f>
        <v>0.193</v>
      </c>
      <c r="T30" s="751">
        <f>SQRT((Nb*PI()*S30^2/4*Cdg)*4/(Cdg*PI()))</f>
        <v>0.193</v>
      </c>
      <c r="U30" s="423"/>
      <c r="X30" s="814"/>
      <c r="Y30" s="814"/>
    </row>
    <row r="31" spans="1:25" s="36" customFormat="1" ht="16" customHeight="1">
      <c r="A31" s="856">
        <v>2.88</v>
      </c>
      <c r="B31" s="1011" t="s">
        <v>668</v>
      </c>
      <c r="C31" s="1012"/>
      <c r="D31" s="1012"/>
      <c r="E31" s="1012"/>
      <c r="F31" s="1012"/>
      <c r="G31" s="1012"/>
      <c r="H31" s="1013"/>
      <c r="I31" s="1008" t="s">
        <v>669</v>
      </c>
      <c r="J31" s="1009"/>
      <c r="K31" s="1010"/>
      <c r="L31" s="1002" t="s">
        <v>670</v>
      </c>
      <c r="M31" s="1003"/>
      <c r="N31" s="1003"/>
      <c r="O31" s="1004"/>
      <c r="P31" s="762" t="s">
        <v>680</v>
      </c>
      <c r="Q31" s="751">
        <v>2.88</v>
      </c>
      <c r="R31" s="751">
        <v>2</v>
      </c>
      <c r="S31" s="752">
        <v>0.125</v>
      </c>
      <c r="T31" s="752">
        <v>0.18344984642633569</v>
      </c>
      <c r="U31" s="738"/>
      <c r="X31" s="335"/>
      <c r="Y31" s="335"/>
    </row>
    <row r="32" spans="1:25" s="36" customFormat="1" ht="16" customHeight="1">
      <c r="A32" s="1014" t="s">
        <v>662</v>
      </c>
      <c r="B32" s="985" t="s">
        <v>591</v>
      </c>
      <c r="C32" s="987" t="s">
        <v>592</v>
      </c>
      <c r="D32" s="987" t="s">
        <v>597</v>
      </c>
      <c r="E32" s="987" t="s">
        <v>598</v>
      </c>
      <c r="F32" s="987" t="s">
        <v>594</v>
      </c>
      <c r="G32" s="987" t="s">
        <v>595</v>
      </c>
      <c r="H32" s="989" t="s">
        <v>599</v>
      </c>
      <c r="I32" s="832" t="s">
        <v>579</v>
      </c>
      <c r="J32" s="833" t="s">
        <v>580</v>
      </c>
      <c r="K32" s="834" t="s">
        <v>581</v>
      </c>
      <c r="L32" s="789" t="s">
        <v>578</v>
      </c>
      <c r="M32" s="790" t="s">
        <v>579</v>
      </c>
      <c r="N32" s="790" t="s">
        <v>580</v>
      </c>
      <c r="O32" s="791" t="s">
        <v>581</v>
      </c>
      <c r="P32" s="762" t="s">
        <v>680</v>
      </c>
      <c r="Q32" s="751">
        <v>2.88</v>
      </c>
      <c r="R32" s="751">
        <v>2</v>
      </c>
      <c r="S32" s="752">
        <v>0.15</v>
      </c>
      <c r="T32" s="752">
        <v>0.22013981571160285</v>
      </c>
      <c r="U32" s="738"/>
      <c r="X32" s="335"/>
      <c r="Y32" s="335"/>
    </row>
    <row r="33" spans="1:25" s="36" customFormat="1" ht="26">
      <c r="A33" s="1015"/>
      <c r="B33" s="986"/>
      <c r="C33" s="988"/>
      <c r="D33" s="988"/>
      <c r="E33" s="988"/>
      <c r="F33" s="988"/>
      <c r="G33" s="988"/>
      <c r="H33" s="990"/>
      <c r="I33" s="835" t="s">
        <v>600</v>
      </c>
      <c r="J33" s="836" t="s">
        <v>601</v>
      </c>
      <c r="K33" s="837" t="s">
        <v>584</v>
      </c>
      <c r="L33" s="796" t="s">
        <v>600</v>
      </c>
      <c r="M33" s="797" t="s">
        <v>601</v>
      </c>
      <c r="N33" s="838" t="s">
        <v>584</v>
      </c>
      <c r="O33" s="798" t="s">
        <v>602</v>
      </c>
      <c r="P33" s="762" t="s">
        <v>680</v>
      </c>
      <c r="Q33" s="751">
        <v>2.88</v>
      </c>
      <c r="R33" s="751">
        <v>2</v>
      </c>
      <c r="S33" s="752">
        <v>0.2</v>
      </c>
      <c r="T33" s="752">
        <v>0.29351975428213711</v>
      </c>
      <c r="U33" s="738"/>
      <c r="X33" s="335"/>
      <c r="Y33" s="335"/>
    </row>
    <row r="34" spans="1:25" s="36" customFormat="1" ht="24">
      <c r="A34" s="799" t="s">
        <v>587</v>
      </c>
      <c r="B34" s="793">
        <v>3</v>
      </c>
      <c r="C34" s="800">
        <v>3</v>
      </c>
      <c r="D34" s="800">
        <v>3</v>
      </c>
      <c r="E34" s="794">
        <v>4</v>
      </c>
      <c r="F34" s="800">
        <v>6</v>
      </c>
      <c r="G34" s="794">
        <v>6</v>
      </c>
      <c r="H34" s="795">
        <v>6</v>
      </c>
      <c r="I34" s="835">
        <v>3</v>
      </c>
      <c r="J34" s="836">
        <v>3</v>
      </c>
      <c r="K34" s="837">
        <v>3</v>
      </c>
      <c r="L34" s="839">
        <v>2</v>
      </c>
      <c r="M34" s="797">
        <v>2</v>
      </c>
      <c r="N34" s="797">
        <v>2</v>
      </c>
      <c r="O34" s="840">
        <v>2</v>
      </c>
      <c r="P34" s="762" t="s">
        <v>680</v>
      </c>
      <c r="Q34" s="751">
        <v>2.88</v>
      </c>
      <c r="R34" s="751">
        <v>2</v>
      </c>
      <c r="S34" s="752">
        <v>0.25</v>
      </c>
      <c r="T34" s="752">
        <v>0.36689969285267138</v>
      </c>
      <c r="U34" s="738"/>
      <c r="X34" s="335"/>
      <c r="Y34" s="335"/>
    </row>
    <row r="35" spans="1:25" s="36" customFormat="1" ht="24">
      <c r="A35" s="802" t="s">
        <v>606</v>
      </c>
      <c r="B35" s="828">
        <v>0.106</v>
      </c>
      <c r="C35" s="803">
        <v>0.125</v>
      </c>
      <c r="D35" s="803">
        <v>0.14499999999999999</v>
      </c>
      <c r="E35" s="804">
        <v>0.14499999999999999</v>
      </c>
      <c r="F35" s="803">
        <v>0.125</v>
      </c>
      <c r="G35" s="804">
        <v>0.14499999999999999</v>
      </c>
      <c r="H35" s="805">
        <v>0.17299999999999999</v>
      </c>
      <c r="I35" s="841">
        <v>0.10100000000000001</v>
      </c>
      <c r="J35" s="842">
        <v>0.12</v>
      </c>
      <c r="K35" s="843">
        <v>0.161</v>
      </c>
      <c r="L35" s="844">
        <v>0.125</v>
      </c>
      <c r="M35" s="807">
        <v>0.15</v>
      </c>
      <c r="N35" s="807">
        <v>0.2</v>
      </c>
      <c r="O35" s="845">
        <v>0.25</v>
      </c>
      <c r="P35" s="762" t="s">
        <v>680</v>
      </c>
      <c r="Q35" s="751">
        <v>2.88</v>
      </c>
      <c r="R35" s="751">
        <v>3</v>
      </c>
      <c r="S35" s="752">
        <v>0.10100000000000001</v>
      </c>
      <c r="T35" s="752">
        <v>0.18154084092312925</v>
      </c>
      <c r="U35" s="738"/>
      <c r="X35" s="335"/>
      <c r="Y35" s="335"/>
    </row>
    <row r="36" spans="1:25" s="36" customFormat="1" hidden="1">
      <c r="A36" s="809" t="s">
        <v>588</v>
      </c>
      <c r="B36" s="810">
        <f t="shared" ref="B36:O36" si="8">B34*B35^2*PI()/4</f>
        <v>2.6474201291801187E-2</v>
      </c>
      <c r="C36" s="811">
        <f>C34*C35^2*PI()/4</f>
        <v>3.6815538909255388E-2</v>
      </c>
      <c r="D36" s="811">
        <f>D34*D35^2*PI()/4</f>
        <v>4.9538989156294046E-2</v>
      </c>
      <c r="E36" s="811">
        <f>E34*E35^2*PI()/4</f>
        <v>6.6051985541725394E-2</v>
      </c>
      <c r="F36" s="811">
        <f>F34*F35^2*PI()/4</f>
        <v>7.3631077818510776E-2</v>
      </c>
      <c r="G36" s="811">
        <f>G34*G35^2*PI()/4</f>
        <v>9.9077978312588091E-2</v>
      </c>
      <c r="H36" s="812">
        <f t="shared" si="8"/>
        <v>0.14103708979393337</v>
      </c>
      <c r="I36" s="810">
        <f t="shared" si="8"/>
        <v>2.4035539994452113E-2</v>
      </c>
      <c r="J36" s="811">
        <f t="shared" si="8"/>
        <v>3.3929200658769768E-2</v>
      </c>
      <c r="K36" s="813">
        <f t="shared" si="8"/>
        <v>6.1074917380275782E-2</v>
      </c>
      <c r="L36" s="846">
        <f t="shared" si="8"/>
        <v>2.4543692606170259E-2</v>
      </c>
      <c r="M36" s="811">
        <f t="shared" si="8"/>
        <v>3.5342917352885174E-2</v>
      </c>
      <c r="N36" s="811">
        <f t="shared" si="8"/>
        <v>6.2831853071795868E-2</v>
      </c>
      <c r="O36" s="813">
        <f t="shared" si="8"/>
        <v>9.8174770424681035E-2</v>
      </c>
      <c r="P36" s="762" t="s">
        <v>680</v>
      </c>
      <c r="Q36" s="751">
        <v>2.88</v>
      </c>
      <c r="R36" s="751">
        <v>3</v>
      </c>
      <c r="S36" s="751">
        <v>0.106</v>
      </c>
      <c r="T36" s="751">
        <v>0.21</v>
      </c>
      <c r="U36" s="738"/>
      <c r="X36" s="335"/>
      <c r="Y36" s="335"/>
    </row>
    <row r="37" spans="1:25" hidden="1">
      <c r="A37" s="815" t="s">
        <v>589</v>
      </c>
      <c r="B37" s="574">
        <v>0.85</v>
      </c>
      <c r="C37" s="570">
        <v>0.85</v>
      </c>
      <c r="D37" s="570">
        <v>0.8</v>
      </c>
      <c r="E37" s="570">
        <v>0.8</v>
      </c>
      <c r="F37" s="570">
        <v>0.85</v>
      </c>
      <c r="G37" s="570">
        <v>0.8</v>
      </c>
      <c r="H37" s="579">
        <v>0.75</v>
      </c>
      <c r="I37" s="574">
        <v>0.7</v>
      </c>
      <c r="J37" s="570">
        <v>0.7</v>
      </c>
      <c r="K37" s="572">
        <f>J37</f>
        <v>0.7</v>
      </c>
      <c r="L37" s="581">
        <v>0.7</v>
      </c>
      <c r="M37" s="570">
        <f>L37</f>
        <v>0.7</v>
      </c>
      <c r="N37" s="570">
        <f>L37</f>
        <v>0.7</v>
      </c>
      <c r="O37" s="572">
        <f>M37</f>
        <v>0.7</v>
      </c>
      <c r="P37" s="762" t="s">
        <v>680</v>
      </c>
      <c r="Q37" s="751">
        <v>2.88</v>
      </c>
      <c r="R37" s="751">
        <v>3</v>
      </c>
      <c r="S37" s="752">
        <v>0.12</v>
      </c>
      <c r="T37" s="752">
        <v>0.21569208822550012</v>
      </c>
    </row>
    <row r="38" spans="1:25" hidden="1">
      <c r="A38" s="815" t="s">
        <v>614</v>
      </c>
      <c r="B38" s="575">
        <f>PI()*B35^2/4*B34*B37</f>
        <v>2.2503071098031006E-2</v>
      </c>
      <c r="C38" s="571">
        <f t="shared" ref="C38:O38" si="9">PI()*C35^2/4*C34*C37</f>
        <v>3.1293208072867076E-2</v>
      </c>
      <c r="D38" s="571">
        <f t="shared" si="9"/>
        <v>3.9631191325035238E-2</v>
      </c>
      <c r="E38" s="571">
        <f t="shared" si="9"/>
        <v>5.284158843338032E-2</v>
      </c>
      <c r="F38" s="571">
        <f t="shared" si="9"/>
        <v>6.2586416145734153E-2</v>
      </c>
      <c r="G38" s="571">
        <f t="shared" si="9"/>
        <v>7.9262382650070476E-2</v>
      </c>
      <c r="H38" s="580">
        <f t="shared" si="9"/>
        <v>0.10577781734545003</v>
      </c>
      <c r="I38" s="575">
        <f t="shared" si="9"/>
        <v>1.6824877996116476E-2</v>
      </c>
      <c r="J38" s="571">
        <f t="shared" si="9"/>
        <v>2.3750440461138837E-2</v>
      </c>
      <c r="K38" s="573">
        <f t="shared" si="9"/>
        <v>4.275244216619304E-2</v>
      </c>
      <c r="L38" s="582">
        <f t="shared" si="9"/>
        <v>1.7180584824319181E-2</v>
      </c>
      <c r="M38" s="571">
        <f t="shared" si="9"/>
        <v>2.4740042147019619E-2</v>
      </c>
      <c r="N38" s="571">
        <f t="shared" si="9"/>
        <v>4.3982297150257102E-2</v>
      </c>
      <c r="O38" s="573">
        <f t="shared" si="9"/>
        <v>6.8722339297276724E-2</v>
      </c>
      <c r="P38" s="762" t="s">
        <v>680</v>
      </c>
      <c r="Q38" s="751">
        <v>2.88</v>
      </c>
      <c r="R38" s="751">
        <v>3</v>
      </c>
      <c r="S38" s="752">
        <v>0.125</v>
      </c>
      <c r="T38" s="752">
        <v>0.24758448441507178</v>
      </c>
    </row>
    <row r="39" spans="1:25" ht="25" hidden="1" thickBot="1">
      <c r="A39" s="816" t="s">
        <v>620</v>
      </c>
      <c r="B39" s="829">
        <f>SQRT(B38*4/(0.65*PI()))</f>
        <v>0.20995164278398087</v>
      </c>
      <c r="C39" s="830">
        <f t="shared" ref="C39:O39" si="10">SQRT(C38*4/(0.65*PI()))</f>
        <v>0.24758448441507178</v>
      </c>
      <c r="D39" s="830">
        <f t="shared" si="10"/>
        <v>0.27862298762085158</v>
      </c>
      <c r="E39" s="830">
        <f t="shared" si="10"/>
        <v>0.32172611381063287</v>
      </c>
      <c r="F39" s="830">
        <f t="shared" si="10"/>
        <v>0.3501373356929447</v>
      </c>
      <c r="G39" s="830">
        <f t="shared" si="10"/>
        <v>0.3940324078823193</v>
      </c>
      <c r="H39" s="848">
        <f t="shared" si="10"/>
        <v>0.45519311202034812</v>
      </c>
      <c r="I39" s="829">
        <f t="shared" si="10"/>
        <v>0.18154084092312925</v>
      </c>
      <c r="J39" s="830">
        <f t="shared" si="10"/>
        <v>0.21569208822550012</v>
      </c>
      <c r="K39" s="831">
        <f t="shared" si="10"/>
        <v>0.28938688503587934</v>
      </c>
      <c r="L39" s="849">
        <f t="shared" si="10"/>
        <v>0.18344984642633569</v>
      </c>
      <c r="M39" s="830">
        <f t="shared" si="10"/>
        <v>0.22013981571160285</v>
      </c>
      <c r="N39" s="830">
        <f t="shared" si="10"/>
        <v>0.29351975428213711</v>
      </c>
      <c r="O39" s="831">
        <f t="shared" si="10"/>
        <v>0.36689969285267138</v>
      </c>
      <c r="P39" s="762" t="s">
        <v>680</v>
      </c>
      <c r="Q39" s="751">
        <v>2.88</v>
      </c>
      <c r="R39" s="751">
        <v>3</v>
      </c>
      <c r="S39" s="752">
        <v>0.14499999999999999</v>
      </c>
      <c r="T39" s="752">
        <v>0.27862298762085158</v>
      </c>
    </row>
    <row r="40" spans="1:25" s="34" customFormat="1">
      <c r="A40" s="304"/>
      <c r="B40" s="850"/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850"/>
      <c r="N40" s="850"/>
      <c r="O40" s="850"/>
      <c r="P40" s="762" t="s">
        <v>680</v>
      </c>
      <c r="Q40" s="751">
        <v>2.88</v>
      </c>
      <c r="R40" s="751">
        <v>3</v>
      </c>
      <c r="S40" s="752">
        <v>0.161</v>
      </c>
      <c r="T40" s="752">
        <v>0.28938688503587934</v>
      </c>
      <c r="U40" s="738"/>
      <c r="X40" s="814"/>
      <c r="Y40" s="814"/>
    </row>
    <row r="41" spans="1:25" s="36" customFormat="1" ht="16" customHeight="1">
      <c r="A41" s="856" t="s">
        <v>567</v>
      </c>
      <c r="B41" s="991" t="s">
        <v>670</v>
      </c>
      <c r="C41" s="992"/>
      <c r="D41" s="993"/>
      <c r="E41" s="801"/>
      <c r="F41" s="801"/>
      <c r="G41" s="801"/>
      <c r="H41" s="801"/>
      <c r="I41" s="801"/>
      <c r="J41" s="801"/>
      <c r="K41" s="801"/>
      <c r="L41" s="801"/>
      <c r="M41" s="801"/>
      <c r="N41" s="801"/>
      <c r="O41" s="801"/>
      <c r="P41" s="762" t="s">
        <v>680</v>
      </c>
      <c r="Q41" s="751">
        <v>2.88</v>
      </c>
      <c r="R41" s="751">
        <v>4</v>
      </c>
      <c r="S41" s="752">
        <v>0.14499999999999999</v>
      </c>
      <c r="T41" s="752">
        <v>0.32172611381063287</v>
      </c>
      <c r="U41" s="738"/>
      <c r="X41" s="335"/>
      <c r="Y41" s="335"/>
    </row>
    <row r="42" spans="1:25" s="36" customFormat="1" ht="16" customHeight="1">
      <c r="A42" s="825" t="s">
        <v>662</v>
      </c>
      <c r="B42" s="851" t="s">
        <v>578</v>
      </c>
      <c r="C42" s="790" t="s">
        <v>579</v>
      </c>
      <c r="D42" s="852" t="s">
        <v>580</v>
      </c>
      <c r="E42" s="801"/>
      <c r="F42" s="801"/>
      <c r="G42" s="801"/>
      <c r="H42" s="801"/>
      <c r="I42" s="801"/>
      <c r="J42" s="801"/>
      <c r="K42" s="801"/>
      <c r="L42" s="801"/>
      <c r="M42" s="801"/>
      <c r="N42" s="801"/>
      <c r="O42" s="801"/>
      <c r="P42" s="762" t="s">
        <v>680</v>
      </c>
      <c r="Q42" s="751">
        <v>2.88</v>
      </c>
      <c r="R42" s="751">
        <v>6</v>
      </c>
      <c r="S42" s="752">
        <v>0.125</v>
      </c>
      <c r="T42" s="752">
        <v>0.3501373356929447</v>
      </c>
      <c r="U42" s="738"/>
      <c r="X42" s="335"/>
      <c r="Y42" s="335"/>
    </row>
    <row r="43" spans="1:25" s="36" customFormat="1" ht="26">
      <c r="A43" s="792" t="s">
        <v>570</v>
      </c>
      <c r="B43" s="839" t="s">
        <v>582</v>
      </c>
      <c r="C43" s="797" t="s">
        <v>584</v>
      </c>
      <c r="D43" s="840" t="s">
        <v>584</v>
      </c>
      <c r="E43" s="801"/>
      <c r="F43" s="801"/>
      <c r="G43" s="801"/>
      <c r="H43" s="801"/>
      <c r="I43" s="801"/>
      <c r="J43" s="801"/>
      <c r="K43" s="801"/>
      <c r="L43" s="801"/>
      <c r="M43" s="801"/>
      <c r="N43" s="801"/>
      <c r="O43" s="801"/>
      <c r="P43" s="762" t="s">
        <v>680</v>
      </c>
      <c r="Q43" s="751">
        <v>2.88</v>
      </c>
      <c r="R43" s="751">
        <v>6</v>
      </c>
      <c r="S43" s="752">
        <v>0.14499999999999999</v>
      </c>
      <c r="T43" s="752">
        <v>0.3940324078823193</v>
      </c>
      <c r="U43" s="738"/>
      <c r="X43" s="335"/>
      <c r="Y43" s="335"/>
    </row>
    <row r="44" spans="1:25" s="36" customFormat="1" ht="24">
      <c r="A44" s="799" t="s">
        <v>587</v>
      </c>
      <c r="B44" s="839">
        <v>2</v>
      </c>
      <c r="C44" s="797">
        <v>2</v>
      </c>
      <c r="D44" s="840">
        <v>2</v>
      </c>
      <c r="E44" s="801"/>
      <c r="F44" s="801"/>
      <c r="G44" s="801"/>
      <c r="H44" s="801"/>
      <c r="I44" s="801"/>
      <c r="J44" s="801"/>
      <c r="K44" s="801"/>
      <c r="L44" s="801"/>
      <c r="M44" s="801"/>
      <c r="N44" s="801"/>
      <c r="O44" s="801"/>
      <c r="P44" s="762" t="s">
        <v>680</v>
      </c>
      <c r="Q44" s="751">
        <v>2.88</v>
      </c>
      <c r="R44" s="751">
        <v>6</v>
      </c>
      <c r="S44" s="752">
        <v>0.17299999999999999</v>
      </c>
      <c r="T44" s="752">
        <v>0.45519311202034812</v>
      </c>
      <c r="U44" s="738"/>
      <c r="X44" s="335"/>
      <c r="Y44" s="335"/>
    </row>
    <row r="45" spans="1:25" s="36" customFormat="1" ht="24">
      <c r="A45" s="802" t="s">
        <v>606</v>
      </c>
      <c r="B45" s="844">
        <v>0.15</v>
      </c>
      <c r="C45" s="807">
        <v>0.2</v>
      </c>
      <c r="D45" s="845">
        <v>0.25</v>
      </c>
      <c r="E45" s="801"/>
      <c r="F45" s="801"/>
      <c r="G45" s="801"/>
      <c r="H45" s="801"/>
      <c r="I45" s="801"/>
      <c r="J45" s="801"/>
      <c r="K45" s="801"/>
      <c r="L45" s="801"/>
      <c r="M45" s="801"/>
      <c r="N45" s="801"/>
      <c r="O45" s="801"/>
      <c r="P45" s="762" t="s">
        <v>678</v>
      </c>
      <c r="Q45" s="751">
        <v>2.88</v>
      </c>
      <c r="R45" s="751">
        <f>Nb</f>
        <v>1</v>
      </c>
      <c r="S45" s="751">
        <f>'Circ Model'!$H$29</f>
        <v>0.193</v>
      </c>
      <c r="T45" s="751">
        <f>SQRT((Nb*PI()*S45^2/4*Cdg)*4/(Cdg*PI()))</f>
        <v>0.193</v>
      </c>
      <c r="U45" s="738"/>
      <c r="X45" s="335"/>
      <c r="Y45" s="335"/>
    </row>
    <row r="46" spans="1:25" s="36" customFormat="1" hidden="1">
      <c r="A46" s="809" t="s">
        <v>588</v>
      </c>
      <c r="B46" s="810">
        <f>B44*B45^2*PI()/4</f>
        <v>3.5342917352885174E-2</v>
      </c>
      <c r="C46" s="811">
        <f>C44*C45^2*PI()/4</f>
        <v>6.2831853071795868E-2</v>
      </c>
      <c r="D46" s="813">
        <f>D44*D45^2*PI()/4</f>
        <v>9.8174770424681035E-2</v>
      </c>
      <c r="E46" s="762"/>
      <c r="F46" s="762"/>
      <c r="G46" s="762"/>
      <c r="H46" s="773"/>
      <c r="I46" s="762"/>
      <c r="J46" s="762"/>
      <c r="K46" s="762"/>
      <c r="L46" s="762"/>
      <c r="M46" s="762"/>
      <c r="N46" s="762"/>
      <c r="O46" s="762"/>
      <c r="P46" s="762" t="s">
        <v>680</v>
      </c>
      <c r="Q46" s="884" t="s">
        <v>615</v>
      </c>
      <c r="R46" s="784">
        <v>2</v>
      </c>
      <c r="S46" s="785">
        <v>0.15</v>
      </c>
      <c r="T46" s="785">
        <v>0.22013981571160285</v>
      </c>
      <c r="U46" s="762"/>
      <c r="X46" s="335"/>
      <c r="Y46" s="335"/>
    </row>
    <row r="47" spans="1:25" hidden="1">
      <c r="A47" s="815" t="s">
        <v>589</v>
      </c>
      <c r="B47" s="574">
        <v>0.7</v>
      </c>
      <c r="C47" s="570">
        <f>B47</f>
        <v>0.7</v>
      </c>
      <c r="D47" s="572">
        <f>B47</f>
        <v>0.7</v>
      </c>
      <c r="E47" s="762"/>
      <c r="F47" s="762"/>
      <c r="G47" s="762"/>
      <c r="H47" s="854"/>
      <c r="I47" s="762"/>
      <c r="J47" s="762"/>
      <c r="K47" s="762"/>
      <c r="L47" s="762"/>
      <c r="M47" s="773" t="s">
        <v>617</v>
      </c>
      <c r="N47" s="762"/>
      <c r="O47" s="762"/>
      <c r="P47" s="762" t="s">
        <v>680</v>
      </c>
      <c r="Q47" s="537" t="s">
        <v>615</v>
      </c>
      <c r="R47" s="751">
        <v>2</v>
      </c>
      <c r="S47" s="752">
        <v>0.2</v>
      </c>
      <c r="T47" s="752">
        <v>0.29351975428213711</v>
      </c>
      <c r="U47" s="740"/>
    </row>
    <row r="48" spans="1:25" hidden="1">
      <c r="A48" s="815" t="s">
        <v>614</v>
      </c>
      <c r="B48" s="575">
        <f>PI()*B45^2/4*B44*B47</f>
        <v>2.4740042147019619E-2</v>
      </c>
      <c r="C48" s="571">
        <f>PI()*C45^2/4*C44*C47</f>
        <v>4.3982297150257102E-2</v>
      </c>
      <c r="D48" s="573">
        <f>PI()*D45^2/4*D44*D47</f>
        <v>6.8722339297276724E-2</v>
      </c>
      <c r="E48" s="762"/>
      <c r="F48" s="762"/>
      <c r="G48" s="762"/>
      <c r="H48" s="854"/>
      <c r="I48" s="762"/>
      <c r="J48" s="762"/>
      <c r="K48" s="762"/>
      <c r="L48" s="762"/>
      <c r="M48" s="762"/>
      <c r="N48" s="762"/>
      <c r="O48" s="762"/>
      <c r="P48" s="762" t="s">
        <v>680</v>
      </c>
      <c r="Q48" s="751" t="s">
        <v>615</v>
      </c>
      <c r="R48" s="751">
        <v>2</v>
      </c>
      <c r="S48" s="751">
        <v>0.25</v>
      </c>
      <c r="T48" s="751">
        <v>0.36699999999999999</v>
      </c>
      <c r="U48" s="740"/>
    </row>
    <row r="49" spans="1:21" ht="25" hidden="1" thickBot="1">
      <c r="A49" s="816" t="s">
        <v>620</v>
      </c>
      <c r="B49" s="829">
        <f>SQRT(B48*4/(0.65*PI()))</f>
        <v>0.22013981571160285</v>
      </c>
      <c r="C49" s="830">
        <f>SQRT(C48*4/(0.65*PI()))</f>
        <v>0.29351975428213711</v>
      </c>
      <c r="D49" s="831">
        <f>SQRT(D48*4/(0.65*PI()))</f>
        <v>0.36689969285267138</v>
      </c>
      <c r="E49" s="762"/>
      <c r="F49" s="762"/>
      <c r="G49" s="762"/>
      <c r="H49" s="855"/>
      <c r="I49" s="762"/>
      <c r="J49" s="762"/>
      <c r="K49" s="762"/>
      <c r="L49" s="762"/>
      <c r="M49" s="762"/>
      <c r="N49" s="762"/>
      <c r="O49" s="762"/>
      <c r="P49" s="762" t="s">
        <v>678</v>
      </c>
      <c r="Q49" s="885" t="s">
        <v>615</v>
      </c>
      <c r="R49" s="821">
        <f>Nb</f>
        <v>1</v>
      </c>
      <c r="S49" s="821">
        <f>'Circ Model'!$H$29</f>
        <v>0.193</v>
      </c>
      <c r="T49" s="751">
        <f>SQRT((Nb*PI()*S49^2/4*Cdg)*4/(Cdg*PI()))</f>
        <v>0.193</v>
      </c>
    </row>
    <row r="50" spans="1:21" ht="13" hidden="1">
      <c r="A50" s="886"/>
      <c r="B50" s="887"/>
      <c r="C50" s="888"/>
      <c r="D50" s="888"/>
      <c r="E50" s="888"/>
      <c r="S50" s="762" t="s">
        <v>607</v>
      </c>
      <c r="T50" s="822">
        <f t="array" ref="T50">INDEX(P4:T49,MATCH(1,(P4:P49='Circ Model'!H26)*(Q4:Q49='Circ Model'!H12)*(R4:R49=Nb)*(S4:S49='Circ Model'!H29),0),5)</f>
        <v>0.193</v>
      </c>
      <c r="U50" s="762" t="s">
        <v>7</v>
      </c>
    </row>
    <row r="51" spans="1:21" ht="13" hidden="1">
      <c r="A51" s="886"/>
      <c r="B51" s="887"/>
      <c r="C51" s="888"/>
      <c r="D51" s="888"/>
      <c r="E51" s="888"/>
      <c r="T51" s="853">
        <f>T50/39.37</f>
        <v>4.9022098044196093E-3</v>
      </c>
      <c r="U51" s="762" t="s">
        <v>6</v>
      </c>
    </row>
    <row r="52" spans="1:21" hidden="1">
      <c r="A52" s="888"/>
      <c r="B52" s="887"/>
      <c r="C52" s="888"/>
      <c r="D52" s="888"/>
      <c r="E52" s="888"/>
      <c r="J52" s="939"/>
      <c r="K52" s="939"/>
      <c r="L52" s="939"/>
      <c r="M52" s="939"/>
      <c r="N52" s="939"/>
    </row>
    <row r="53" spans="1:21" ht="13" hidden="1">
      <c r="A53" s="889"/>
      <c r="B53" s="887"/>
      <c r="C53" s="888" t="s">
        <v>502</v>
      </c>
      <c r="D53" s="888">
        <v>1.69</v>
      </c>
      <c r="E53" s="888">
        <v>0.25</v>
      </c>
      <c r="I53" s="938"/>
      <c r="N53" s="938"/>
    </row>
    <row r="54" spans="1:21" hidden="1">
      <c r="A54" s="888"/>
      <c r="B54" s="887"/>
      <c r="C54" s="888" t="s">
        <v>502</v>
      </c>
      <c r="D54" s="888">
        <v>2.12</v>
      </c>
      <c r="E54" s="888">
        <v>0.313</v>
      </c>
    </row>
    <row r="55" spans="1:21" hidden="1">
      <c r="A55" s="888"/>
      <c r="B55" s="887"/>
      <c r="C55" s="888" t="s">
        <v>502</v>
      </c>
      <c r="D55" s="888">
        <v>2.88</v>
      </c>
      <c r="E55" s="888">
        <v>0.375</v>
      </c>
    </row>
    <row r="56" spans="1:21" ht="13" hidden="1">
      <c r="A56" s="889"/>
      <c r="B56" s="887"/>
      <c r="C56" s="888" t="s">
        <v>501</v>
      </c>
      <c r="D56" s="888">
        <v>1.69</v>
      </c>
      <c r="E56" s="888">
        <v>0.25</v>
      </c>
    </row>
    <row r="57" spans="1:21" hidden="1">
      <c r="A57" s="888"/>
      <c r="B57" s="887"/>
      <c r="C57" s="888" t="s">
        <v>501</v>
      </c>
      <c r="D57" s="888">
        <v>2.12</v>
      </c>
      <c r="E57" s="888">
        <v>0.25</v>
      </c>
    </row>
    <row r="58" spans="1:21" ht="13" hidden="1">
      <c r="A58" s="889"/>
      <c r="B58" s="887"/>
      <c r="C58" s="888" t="s">
        <v>501</v>
      </c>
      <c r="D58" s="888">
        <v>2.88</v>
      </c>
      <c r="E58" s="888">
        <v>0.375</v>
      </c>
      <c r="I58" s="938"/>
    </row>
    <row r="59" spans="1:21" hidden="1">
      <c r="A59" s="888"/>
      <c r="B59" s="887"/>
      <c r="C59" s="888" t="s">
        <v>501</v>
      </c>
      <c r="D59" s="890" t="s">
        <v>567</v>
      </c>
      <c r="E59" s="888">
        <v>0.375</v>
      </c>
    </row>
    <row r="60" spans="1:21" hidden="1">
      <c r="A60" s="888"/>
      <c r="B60" s="888"/>
      <c r="C60" s="888"/>
      <c r="D60" s="888"/>
      <c r="E60" s="822">
        <f t="array" ref="E60">INDEX(C53:E59,MATCH(1,(C53:C59=MGS)*(D53:D59='Circ Model'!H12),0),3)</f>
        <v>0.375</v>
      </c>
    </row>
    <row r="61" spans="1:21" hidden="1">
      <c r="A61" s="888"/>
      <c r="B61" s="887"/>
      <c r="C61" s="888"/>
      <c r="D61" s="888"/>
      <c r="E61" s="888"/>
    </row>
    <row r="62" spans="1:21" hidden="1">
      <c r="A62" s="888"/>
      <c r="B62" s="887"/>
      <c r="C62" s="888"/>
      <c r="D62" s="888"/>
      <c r="E62" s="888"/>
    </row>
    <row r="63" spans="1:21" hidden="1">
      <c r="A63" s="888"/>
      <c r="B63" s="887"/>
      <c r="C63" s="888"/>
      <c r="D63" s="888"/>
      <c r="E63" s="888"/>
    </row>
    <row r="64" spans="1:21" ht="13" hidden="1">
      <c r="A64" s="889"/>
      <c r="B64" s="887"/>
      <c r="C64" s="888"/>
      <c r="D64" s="888"/>
      <c r="E64" s="888"/>
    </row>
    <row r="65" spans="1:5" hidden="1">
      <c r="A65" s="888"/>
      <c r="B65" s="888"/>
      <c r="C65" s="888"/>
      <c r="D65" s="888"/>
      <c r="E65" s="888"/>
    </row>
    <row r="66" spans="1:5" hidden="1">
      <c r="A66" s="888"/>
      <c r="B66" s="888"/>
      <c r="C66" s="888"/>
      <c r="D66" s="888"/>
      <c r="E66" s="888"/>
    </row>
    <row r="67" spans="1:5" hidden="1">
      <c r="A67" s="888"/>
      <c r="B67" s="888"/>
      <c r="C67" s="888"/>
      <c r="D67" s="888"/>
      <c r="E67" s="888"/>
    </row>
    <row r="68" spans="1:5" hidden="1">
      <c r="A68" s="888"/>
      <c r="B68" s="888"/>
      <c r="C68" s="888"/>
      <c r="D68" s="888"/>
      <c r="E68" s="888"/>
    </row>
    <row r="69" spans="1:5" hidden="1">
      <c r="A69" s="888"/>
      <c r="B69" s="888"/>
      <c r="C69" s="888"/>
      <c r="D69" s="888"/>
      <c r="E69" s="888"/>
    </row>
    <row r="70" spans="1:5" hidden="1">
      <c r="A70" s="888"/>
      <c r="B70" s="888"/>
      <c r="C70" s="888"/>
      <c r="D70" s="888"/>
      <c r="E70" s="888"/>
    </row>
    <row r="71" spans="1:5" hidden="1">
      <c r="A71" s="888"/>
      <c r="B71" s="888"/>
      <c r="C71" s="888"/>
      <c r="D71" s="888"/>
      <c r="E71" s="888"/>
    </row>
    <row r="72" spans="1:5" hidden="1">
      <c r="A72" s="888"/>
      <c r="B72" s="888"/>
      <c r="C72" s="888"/>
      <c r="D72" s="888"/>
      <c r="E72" s="888"/>
    </row>
    <row r="73" spans="1:5" hidden="1">
      <c r="A73" s="888"/>
      <c r="B73" s="888"/>
      <c r="C73" s="888"/>
      <c r="D73" s="888"/>
      <c r="E73" s="888"/>
    </row>
    <row r="74" spans="1:5" hidden="1">
      <c r="A74" s="888"/>
      <c r="B74" s="888"/>
      <c r="C74" s="888"/>
      <c r="D74" s="888"/>
      <c r="E74" s="888"/>
    </row>
    <row r="75" spans="1:5" hidden="1">
      <c r="A75" s="888"/>
      <c r="B75" s="888"/>
      <c r="C75" s="888"/>
      <c r="D75" s="888"/>
      <c r="E75" s="888"/>
    </row>
  </sheetData>
  <sheetProtection password="DC85" sheet="1" objects="1" scenarios="1"/>
  <sortState ref="Q4:T44">
    <sortCondition ref="Q4:Q44"/>
    <sortCondition ref="R4:R44"/>
    <sortCondition ref="S4:S44"/>
  </sortState>
  <mergeCells count="23">
    <mergeCell ref="B41:D41"/>
    <mergeCell ref="B1:I1"/>
    <mergeCell ref="I31:K31"/>
    <mergeCell ref="B31:H31"/>
    <mergeCell ref="A32:A33"/>
    <mergeCell ref="B2:E2"/>
    <mergeCell ref="B22:H22"/>
    <mergeCell ref="Q2:T2"/>
    <mergeCell ref="L2:N4"/>
    <mergeCell ref="M1:O1"/>
    <mergeCell ref="B32:B33"/>
    <mergeCell ref="C32:C33"/>
    <mergeCell ref="D32:D33"/>
    <mergeCell ref="E32:E33"/>
    <mergeCell ref="F32:F33"/>
    <mergeCell ref="G32:G33"/>
    <mergeCell ref="H32:H33"/>
    <mergeCell ref="G12:J12"/>
    <mergeCell ref="B12:F12"/>
    <mergeCell ref="F2:I2"/>
    <mergeCell ref="B3:E3"/>
    <mergeCell ref="F3:I3"/>
    <mergeCell ref="L31:O31"/>
  </mergeCells>
  <pageMargins left="0.25" right="0.25" top="0.75" bottom="0.75" header="0.3" footer="0.55000000000000004"/>
  <pageSetup scale="90" orientation="landscape"/>
  <headerFooter>
    <oddFooter>&amp;LPrinted &amp;D&amp;C&amp;F&amp;R&amp;A</oddFooter>
  </headerFooter>
  <ignoredErrors>
    <ignoredError sqref="E4 I13 B13:H13 J13 B23:G23 B32:O33 B42:D42" numberStoredAsText="1"/>
  </ignoredError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pageSetUpPr fitToPage="1"/>
  </sheetPr>
  <dimension ref="A1:T43"/>
  <sheetViews>
    <sheetView showGridLines="0" showRowColHeaders="0" workbookViewId="0">
      <selection activeCell="A3" sqref="A3"/>
    </sheetView>
  </sheetViews>
  <sheetFormatPr baseColWidth="10" defaultColWidth="0" defaultRowHeight="13.25" customHeight="1" zeroHeight="1" x14ac:dyDescent="0"/>
  <cols>
    <col min="1" max="1" width="9.83203125" style="494" customWidth="1"/>
    <col min="2" max="2" width="23.33203125" style="494" customWidth="1"/>
    <col min="3" max="3" width="9.5" style="494" customWidth="1"/>
    <col min="4" max="8" width="10.6640625" style="659" customWidth="1"/>
    <col min="9" max="9" width="66.6640625" style="659" customWidth="1"/>
    <col min="10" max="14" width="9.1640625" style="659" hidden="1" customWidth="1"/>
    <col min="15" max="15" width="11.5" style="659" hidden="1" customWidth="1"/>
    <col min="16" max="19" width="9.1640625" style="659" hidden="1" customWidth="1"/>
    <col min="20" max="20" width="0" style="659" hidden="1" customWidth="1"/>
    <col min="21" max="16384" width="9.1640625" style="659" hidden="1"/>
  </cols>
  <sheetData>
    <row r="1" spans="1:20" s="705" customFormat="1" ht="30" customHeight="1">
      <c r="A1" s="733" t="s">
        <v>674</v>
      </c>
      <c r="B1" s="734"/>
      <c r="C1" s="734"/>
      <c r="D1" s="858"/>
      <c r="E1" s="858"/>
      <c r="F1" s="858"/>
      <c r="G1" s="859"/>
      <c r="H1" s="1027" t="s">
        <v>692</v>
      </c>
      <c r="I1" s="695" t="s">
        <v>659</v>
      </c>
      <c r="M1" s="704"/>
      <c r="N1" s="704"/>
      <c r="O1" s="704"/>
      <c r="P1" s="704"/>
      <c r="Q1" s="704"/>
      <c r="R1" s="704"/>
      <c r="S1" s="704"/>
      <c r="T1" s="706"/>
    </row>
    <row r="2" spans="1:20" s="566" customFormat="1" ht="16" customHeight="1">
      <c r="A2" s="717"/>
      <c r="B2" s="717"/>
      <c r="C2" s="1022" t="s">
        <v>660</v>
      </c>
      <c r="D2" s="1024" t="s">
        <v>563</v>
      </c>
      <c r="E2" s="1025"/>
      <c r="F2" s="1025"/>
      <c r="G2" s="1026"/>
      <c r="H2" s="1028"/>
      <c r="I2" s="664"/>
      <c r="J2" s="664"/>
      <c r="K2" s="664"/>
      <c r="L2" s="664"/>
      <c r="M2" s="664"/>
      <c r="N2" s="664"/>
      <c r="O2" s="664"/>
      <c r="P2" s="664"/>
      <c r="Q2" s="664"/>
      <c r="R2" s="664"/>
      <c r="S2" s="664"/>
    </row>
    <row r="3" spans="1:20" s="566" customFormat="1" ht="16" customHeight="1">
      <c r="A3" s="718" t="s">
        <v>566</v>
      </c>
      <c r="B3" s="718" t="s">
        <v>569</v>
      </c>
      <c r="C3" s="1023"/>
      <c r="D3" s="719" t="s">
        <v>602</v>
      </c>
      <c r="E3" s="716" t="s">
        <v>663</v>
      </c>
      <c r="F3" s="716" t="s">
        <v>664</v>
      </c>
      <c r="G3" s="720" t="s">
        <v>665</v>
      </c>
      <c r="H3" s="1029"/>
      <c r="I3" s="664"/>
      <c r="J3" s="664"/>
      <c r="K3" s="664"/>
      <c r="L3" s="664"/>
      <c r="M3" s="664"/>
      <c r="N3" s="664"/>
      <c r="O3" s="664"/>
      <c r="P3" s="664"/>
      <c r="Q3" s="664"/>
      <c r="R3" s="664"/>
      <c r="S3" s="664"/>
    </row>
    <row r="4" spans="1:20" s="702" customFormat="1" ht="18" customHeight="1">
      <c r="A4" s="1039">
        <v>1.69</v>
      </c>
      <c r="B4" s="708" t="s">
        <v>562</v>
      </c>
      <c r="C4" s="495">
        <v>1</v>
      </c>
      <c r="D4" s="703">
        <v>0.34499999999999997</v>
      </c>
      <c r="E4" s="703">
        <v>0.29799999999999999</v>
      </c>
      <c r="F4" s="703">
        <v>0.252</v>
      </c>
      <c r="G4" s="703">
        <v>0.214</v>
      </c>
      <c r="H4" s="927">
        <v>6</v>
      </c>
      <c r="I4" s="693"/>
      <c r="J4" s="665"/>
      <c r="K4" s="665"/>
      <c r="L4" s="665"/>
      <c r="M4" s="665"/>
      <c r="N4" s="665"/>
      <c r="O4" s="665"/>
      <c r="P4" s="665"/>
      <c r="Q4" s="665"/>
      <c r="R4" s="665"/>
      <c r="S4" s="665"/>
    </row>
    <row r="5" spans="1:20" s="494" customFormat="1" ht="18" customHeight="1">
      <c r="A5" s="1040"/>
      <c r="B5" s="711" t="s">
        <v>565</v>
      </c>
      <c r="C5" s="721">
        <v>1</v>
      </c>
      <c r="D5" s="727" t="s">
        <v>568</v>
      </c>
      <c r="E5" s="727">
        <v>0.35799999999999998</v>
      </c>
      <c r="F5" s="727">
        <v>0.30299999999999999</v>
      </c>
      <c r="G5" s="727">
        <v>0.25</v>
      </c>
      <c r="H5" s="928">
        <v>7</v>
      </c>
      <c r="I5" s="694"/>
      <c r="J5" s="666"/>
      <c r="K5" s="666"/>
      <c r="L5" s="666"/>
      <c r="M5" s="666"/>
      <c r="N5" s="666"/>
      <c r="O5" s="666"/>
      <c r="P5" s="666"/>
      <c r="Q5" s="666"/>
      <c r="R5" s="666"/>
      <c r="S5" s="666"/>
    </row>
    <row r="6" spans="1:20" s="494" customFormat="1" ht="18" customHeight="1">
      <c r="A6" s="1039">
        <v>2.12</v>
      </c>
      <c r="B6" s="708" t="s">
        <v>562</v>
      </c>
      <c r="C6" s="495">
        <v>1</v>
      </c>
      <c r="D6" s="703">
        <v>0.4</v>
      </c>
      <c r="E6" s="703">
        <v>0.34499999999999997</v>
      </c>
      <c r="F6" s="703">
        <v>0.29799999999999999</v>
      </c>
      <c r="G6" s="703">
        <v>0.252</v>
      </c>
      <c r="H6" s="927">
        <v>6</v>
      </c>
      <c r="I6" s="659"/>
      <c r="J6" s="659"/>
      <c r="K6" s="659"/>
      <c r="L6" s="659"/>
      <c r="M6" s="659"/>
      <c r="N6" s="659"/>
      <c r="O6" s="659"/>
      <c r="P6" s="659"/>
      <c r="Q6" s="659"/>
      <c r="R6" s="659"/>
      <c r="S6" s="659"/>
    </row>
    <row r="7" spans="1:20" s="494" customFormat="1" ht="18" customHeight="1">
      <c r="A7" s="1040"/>
      <c r="B7" s="711" t="s">
        <v>565</v>
      </c>
      <c r="C7" s="498">
        <v>1</v>
      </c>
      <c r="D7" s="568" t="s">
        <v>568</v>
      </c>
      <c r="E7" s="568">
        <v>0.40200000000000002</v>
      </c>
      <c r="F7" s="568">
        <v>0.35899999999999999</v>
      </c>
      <c r="G7" s="568">
        <v>0.28699999999999998</v>
      </c>
      <c r="H7" s="929">
        <v>7</v>
      </c>
      <c r="I7" s="659"/>
      <c r="J7" s="659"/>
      <c r="K7" s="659"/>
      <c r="L7" s="659"/>
      <c r="M7" s="659"/>
      <c r="N7" s="659"/>
      <c r="O7" s="659"/>
      <c r="P7" s="659"/>
      <c r="Q7" s="659"/>
      <c r="R7" s="659"/>
      <c r="S7" s="659"/>
    </row>
    <row r="8" spans="1:20" s="494" customFormat="1" ht="18" customHeight="1">
      <c r="A8" s="729">
        <v>2.38</v>
      </c>
      <c r="B8" s="699" t="s">
        <v>562</v>
      </c>
      <c r="C8" s="499">
        <v>1</v>
      </c>
      <c r="D8" s="584">
        <v>0.4</v>
      </c>
      <c r="E8" s="584">
        <v>0.34499999999999997</v>
      </c>
      <c r="F8" s="584">
        <v>0.29799999999999999</v>
      </c>
      <c r="G8" s="584">
        <v>0.252</v>
      </c>
      <c r="H8" s="930">
        <v>6</v>
      </c>
      <c r="I8" s="659"/>
      <c r="J8" s="659"/>
      <c r="K8" s="659"/>
      <c r="L8" s="659"/>
      <c r="M8" s="659"/>
      <c r="N8" s="659"/>
      <c r="O8" s="659"/>
      <c r="P8" s="659"/>
      <c r="Q8" s="659"/>
      <c r="R8" s="659"/>
      <c r="S8" s="659"/>
    </row>
    <row r="9" spans="1:20" s="494" customFormat="1" ht="18" customHeight="1">
      <c r="A9" s="1039">
        <v>2.88</v>
      </c>
      <c r="B9" s="710" t="s">
        <v>562</v>
      </c>
      <c r="C9" s="497">
        <v>1</v>
      </c>
      <c r="D9" s="583" t="s">
        <v>568</v>
      </c>
      <c r="E9" s="583">
        <v>0.46100000000000002</v>
      </c>
      <c r="F9" s="583">
        <v>0.39900000000000002</v>
      </c>
      <c r="G9" s="583">
        <v>0.34399999999999997</v>
      </c>
      <c r="H9" s="931">
        <v>8</v>
      </c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</row>
    <row r="10" spans="1:20" s="494" customFormat="1" ht="18" customHeight="1">
      <c r="A10" s="1040"/>
      <c r="B10" s="709" t="s">
        <v>565</v>
      </c>
      <c r="C10" s="496">
        <v>1</v>
      </c>
      <c r="D10" s="569" t="s">
        <v>568</v>
      </c>
      <c r="E10" s="569">
        <v>0.54200000000000004</v>
      </c>
      <c r="F10" s="569">
        <v>0.47299999999999998</v>
      </c>
      <c r="G10" s="569">
        <v>0.35799999999999998</v>
      </c>
      <c r="H10" s="932">
        <v>7</v>
      </c>
      <c r="I10" s="659"/>
      <c r="J10" s="659"/>
      <c r="K10" s="659"/>
      <c r="L10" s="659"/>
      <c r="M10" s="659"/>
      <c r="N10" s="659"/>
      <c r="O10" s="659"/>
      <c r="P10" s="659"/>
      <c r="Q10" s="659"/>
      <c r="R10" s="659"/>
      <c r="S10" s="659"/>
    </row>
    <row r="11" spans="1:20" s="494" customFormat="1" ht="18" customHeight="1">
      <c r="A11" s="729" t="s">
        <v>567</v>
      </c>
      <c r="B11" s="728" t="s">
        <v>565</v>
      </c>
      <c r="C11" s="712">
        <v>1</v>
      </c>
      <c r="D11" s="713" t="s">
        <v>568</v>
      </c>
      <c r="E11" s="713">
        <v>0.61099999999999999</v>
      </c>
      <c r="F11" s="713">
        <v>0.52400000000000002</v>
      </c>
      <c r="G11" s="713">
        <v>0.432</v>
      </c>
      <c r="H11" s="933">
        <v>7</v>
      </c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</row>
    <row r="12" spans="1:20" ht="18" customHeight="1">
      <c r="A12" s="655"/>
      <c r="B12" s="656"/>
      <c r="C12" s="657"/>
      <c r="D12" s="657"/>
      <c r="E12" s="658"/>
      <c r="F12" s="657"/>
      <c r="G12" s="656"/>
    </row>
    <row r="13" spans="1:20" ht="30" customHeight="1">
      <c r="A13" s="733" t="s">
        <v>675</v>
      </c>
      <c r="B13" s="734"/>
      <c r="C13" s="857"/>
      <c r="D13" s="724"/>
      <c r="E13" s="724"/>
      <c r="F13" s="725"/>
      <c r="G13" s="1027" t="s">
        <v>692</v>
      </c>
    </row>
    <row r="14" spans="1:20" ht="17">
      <c r="A14" s="723"/>
      <c r="B14" s="723"/>
      <c r="C14" s="1022" t="s">
        <v>660</v>
      </c>
      <c r="D14" s="694"/>
      <c r="E14" s="666"/>
      <c r="F14" s="726"/>
      <c r="G14" s="1028"/>
      <c r="J14" s="707"/>
    </row>
    <row r="15" spans="1:20" ht="17">
      <c r="A15" s="718" t="s">
        <v>566</v>
      </c>
      <c r="B15" s="718" t="s">
        <v>661</v>
      </c>
      <c r="C15" s="1023"/>
      <c r="D15" s="1024" t="s">
        <v>563</v>
      </c>
      <c r="E15" s="1025"/>
      <c r="F15" s="1026"/>
      <c r="G15" s="1029"/>
      <c r="J15" s="707"/>
    </row>
    <row r="16" spans="1:20" s="660" customFormat="1" ht="16" customHeight="1">
      <c r="A16" s="1033">
        <v>1.69</v>
      </c>
      <c r="B16" s="1030" t="s">
        <v>655</v>
      </c>
      <c r="C16" s="866"/>
      <c r="D16" s="860"/>
      <c r="E16" s="860" t="s">
        <v>538</v>
      </c>
      <c r="F16" s="860" t="s">
        <v>539</v>
      </c>
      <c r="G16" s="921"/>
    </row>
    <row r="17" spans="1:10" s="662" customFormat="1" ht="18" customHeight="1">
      <c r="A17" s="1034"/>
      <c r="B17" s="1032"/>
      <c r="C17" s="565">
        <v>1</v>
      </c>
      <c r="D17" s="864" t="s">
        <v>568</v>
      </c>
      <c r="E17" s="737">
        <v>0.16900000000000001</v>
      </c>
      <c r="F17" s="737">
        <v>0.13900000000000001</v>
      </c>
      <c r="G17" s="922">
        <v>4</v>
      </c>
      <c r="H17" s="660"/>
      <c r="I17" s="730" t="s">
        <v>671</v>
      </c>
    </row>
    <row r="18" spans="1:10" s="660" customFormat="1" ht="18" customHeight="1">
      <c r="A18" s="1034"/>
      <c r="B18" s="1020" t="s">
        <v>658</v>
      </c>
      <c r="C18" s="867"/>
      <c r="D18" s="865" t="s">
        <v>540</v>
      </c>
      <c r="E18" s="865" t="s">
        <v>538</v>
      </c>
      <c r="F18" s="865" t="s">
        <v>541</v>
      </c>
      <c r="G18" s="923"/>
      <c r="H18" s="715"/>
      <c r="J18" s="661"/>
    </row>
    <row r="19" spans="1:10" ht="18" customHeight="1">
      <c r="A19" s="1035"/>
      <c r="B19" s="1021"/>
      <c r="C19" s="721">
        <v>1</v>
      </c>
      <c r="D19" s="732">
        <v>0.20200000000000001</v>
      </c>
      <c r="E19" s="732">
        <v>0.17199999999999999</v>
      </c>
      <c r="F19" s="727">
        <v>0.151</v>
      </c>
      <c r="G19" s="924">
        <v>3</v>
      </c>
      <c r="H19" s="660"/>
      <c r="I19" s="663"/>
    </row>
    <row r="20" spans="1:10" s="660" customFormat="1" ht="18" customHeight="1">
      <c r="A20" s="1036" t="s">
        <v>676</v>
      </c>
      <c r="B20" s="1030" t="s">
        <v>656</v>
      </c>
      <c r="C20" s="735"/>
      <c r="D20" s="860" t="s">
        <v>542</v>
      </c>
      <c r="E20" s="861"/>
      <c r="F20" s="861"/>
      <c r="G20" s="925"/>
      <c r="I20" s="714"/>
    </row>
    <row r="21" spans="1:10" ht="18" customHeight="1">
      <c r="A21" s="1037"/>
      <c r="B21" s="1032"/>
      <c r="C21" s="565">
        <v>1</v>
      </c>
      <c r="D21" s="737">
        <v>0.22900000000000001</v>
      </c>
      <c r="E21" s="737" t="s">
        <v>568</v>
      </c>
      <c r="F21" s="737" t="s">
        <v>568</v>
      </c>
      <c r="G21" s="922">
        <v>5</v>
      </c>
      <c r="H21" s="660"/>
      <c r="I21" s="663"/>
    </row>
    <row r="22" spans="1:10" s="660" customFormat="1" ht="18" customHeight="1">
      <c r="A22" s="1037"/>
      <c r="B22" s="1020" t="s">
        <v>657</v>
      </c>
      <c r="C22" s="731"/>
      <c r="D22" s="865"/>
      <c r="E22" s="865" t="s">
        <v>538</v>
      </c>
      <c r="F22" s="865" t="s">
        <v>539</v>
      </c>
      <c r="G22" s="923"/>
      <c r="I22" s="714"/>
    </row>
    <row r="23" spans="1:10" ht="18" customHeight="1">
      <c r="A23" s="1038"/>
      <c r="B23" s="1021"/>
      <c r="C23" s="721">
        <v>1</v>
      </c>
      <c r="D23" s="862" t="s">
        <v>568</v>
      </c>
      <c r="E23" s="732">
        <v>0.18099999999999999</v>
      </c>
      <c r="F23" s="732">
        <v>0.14699999999999999</v>
      </c>
      <c r="G23" s="924">
        <v>4</v>
      </c>
      <c r="H23" s="660"/>
    </row>
    <row r="24" spans="1:10" s="660" customFormat="1" ht="18" customHeight="1">
      <c r="A24" s="1033">
        <v>2.12</v>
      </c>
      <c r="B24" s="1030" t="s">
        <v>656</v>
      </c>
      <c r="C24" s="735"/>
      <c r="D24" s="860" t="s">
        <v>542</v>
      </c>
      <c r="E24" s="860" t="s">
        <v>543</v>
      </c>
      <c r="F24" s="861"/>
      <c r="G24" s="925"/>
    </row>
    <row r="25" spans="1:10" ht="18" customHeight="1">
      <c r="A25" s="1035"/>
      <c r="B25" s="1031"/>
      <c r="C25" s="701">
        <v>1</v>
      </c>
      <c r="D25" s="736">
        <v>0.23899999999999999</v>
      </c>
      <c r="E25" s="863">
        <v>0.20399999999999999</v>
      </c>
      <c r="F25" s="736" t="s">
        <v>568</v>
      </c>
      <c r="G25" s="926">
        <v>4</v>
      </c>
      <c r="H25" s="660"/>
    </row>
    <row r="26" spans="1:10" ht="18" hidden="1" customHeight="1">
      <c r="E26" s="660"/>
      <c r="F26" s="660"/>
      <c r="G26" s="660"/>
      <c r="H26" s="660"/>
    </row>
    <row r="27" spans="1:10" ht="15" hidden="1">
      <c r="A27" s="1019"/>
      <c r="B27" s="1019"/>
      <c r="C27" s="1019"/>
      <c r="E27" s="660"/>
      <c r="F27" s="660"/>
      <c r="G27" s="660"/>
      <c r="H27" s="660"/>
    </row>
    <row r="28" spans="1:10" ht="12" hidden="1"/>
    <row r="29" spans="1:10" ht="12" hidden="1"/>
    <row r="30" spans="1:10" ht="12" hidden="1"/>
    <row r="31" spans="1:10" ht="12" hidden="1"/>
    <row r="32" spans="1:10" ht="12" hidden="1"/>
    <row r="33" ht="12" hidden="1"/>
    <row r="34" ht="12" hidden="1"/>
    <row r="35" ht="12" hidden="1"/>
    <row r="36" ht="12" hidden="1"/>
    <row r="37" ht="12" hidden="1"/>
    <row r="38" ht="12" hidden="1"/>
    <row r="39" ht="12" hidden="1"/>
    <row r="40" ht="12" hidden="1"/>
    <row r="41" ht="12" hidden="1"/>
    <row r="42" ht="12" hidden="1"/>
    <row r="43" ht="12" hidden="1"/>
  </sheetData>
  <sheetProtection password="DC85" sheet="1" objects="1" scenarios="1"/>
  <mergeCells count="18">
    <mergeCell ref="A9:A10"/>
    <mergeCell ref="C2:C3"/>
    <mergeCell ref="D2:G2"/>
    <mergeCell ref="H1:H3"/>
    <mergeCell ref="A4:A5"/>
    <mergeCell ref="A6:A7"/>
    <mergeCell ref="A27:C27"/>
    <mergeCell ref="B22:B23"/>
    <mergeCell ref="C14:C15"/>
    <mergeCell ref="D15:F15"/>
    <mergeCell ref="G13:G15"/>
    <mergeCell ref="B24:B25"/>
    <mergeCell ref="B20:B21"/>
    <mergeCell ref="B18:B19"/>
    <mergeCell ref="B16:B17"/>
    <mergeCell ref="A16:A19"/>
    <mergeCell ref="A20:A23"/>
    <mergeCell ref="A24:A25"/>
  </mergeCells>
  <pageMargins left="0.25" right="0.25" top="1" bottom="0.75" header="0.5" footer="0.5"/>
  <pageSetup scale="83" orientation="landscape"/>
  <headerFooter>
    <oddFooter>&amp;LPrinted &amp;D&amp;C&amp;F&amp;R&amp;A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B1:O31"/>
  <sheetViews>
    <sheetView topLeftCell="B1" workbookViewId="0">
      <selection activeCell="I37" sqref="I37"/>
    </sheetView>
  </sheetViews>
  <sheetFormatPr baseColWidth="10" defaultColWidth="9.1640625" defaultRowHeight="12" x14ac:dyDescent="0"/>
  <cols>
    <col min="1" max="1" width="9.83203125" style="77" customWidth="1"/>
    <col min="2" max="2" width="16.6640625" style="77" customWidth="1"/>
    <col min="3" max="3" width="20.33203125" style="77" customWidth="1"/>
    <col min="4" max="4" width="12" style="77" customWidth="1"/>
    <col min="5" max="6" width="9.5" style="77" customWidth="1"/>
    <col min="7" max="7" width="6.5" style="77" customWidth="1"/>
    <col min="8" max="8" width="20.1640625" style="77" customWidth="1"/>
    <col min="9" max="9" width="10.6640625" style="77" customWidth="1"/>
    <col min="10" max="10" width="15.33203125" style="77" bestFit="1" customWidth="1"/>
    <col min="11" max="11" width="9.1640625" style="77"/>
    <col min="12" max="12" width="5.33203125" style="77" customWidth="1"/>
    <col min="13" max="13" width="9.83203125" style="77" customWidth="1"/>
    <col min="14" max="16384" width="9.1640625" style="77"/>
  </cols>
  <sheetData>
    <row r="1" spans="2:15">
      <c r="B1" s="518"/>
      <c r="C1" s="519" t="s">
        <v>556</v>
      </c>
      <c r="D1" s="501">
        <f>'Circ Model'!D13</f>
        <v>1</v>
      </c>
    </row>
    <row r="2" spans="2:15">
      <c r="G2" s="501"/>
    </row>
    <row r="3" spans="2:15" s="515" customFormat="1">
      <c r="B3" s="524" t="s">
        <v>557</v>
      </c>
      <c r="C3" s="520" t="s">
        <v>501</v>
      </c>
      <c r="D3" s="520" t="s">
        <v>502</v>
      </c>
      <c r="E3" s="520" t="s">
        <v>501</v>
      </c>
      <c r="F3" s="521" t="s">
        <v>502</v>
      </c>
      <c r="I3" s="517"/>
      <c r="J3" s="517"/>
      <c r="M3" s="554"/>
    </row>
    <row r="4" spans="2:15" s="515" customFormat="1" ht="13">
      <c r="B4" s="528" t="s">
        <v>418</v>
      </c>
      <c r="C4" s="525" t="s">
        <v>207</v>
      </c>
      <c r="D4" s="526" t="s">
        <v>7</v>
      </c>
      <c r="E4" s="525" t="s">
        <v>208</v>
      </c>
      <c r="F4" s="527"/>
      <c r="H4" s="508"/>
      <c r="I4" s="520" t="s">
        <v>501</v>
      </c>
      <c r="J4" s="891" t="s">
        <v>558</v>
      </c>
      <c r="K4" s="892" t="s">
        <v>559</v>
      </c>
      <c r="M4" s="552"/>
      <c r="N4" s="553" t="s">
        <v>493</v>
      </c>
    </row>
    <row r="5" spans="2:15">
      <c r="B5" s="586">
        <v>1.69</v>
      </c>
      <c r="C5" s="529">
        <v>0.219</v>
      </c>
      <c r="D5" s="530">
        <v>1</v>
      </c>
      <c r="E5" s="531">
        <v>6</v>
      </c>
      <c r="F5" s="532">
        <v>1</v>
      </c>
      <c r="H5" s="586">
        <v>1.69</v>
      </c>
      <c r="I5" s="544">
        <v>0.25</v>
      </c>
      <c r="J5" s="893">
        <v>0.2</v>
      </c>
      <c r="K5" s="893">
        <v>0.17299999999999999</v>
      </c>
      <c r="M5" s="546">
        <v>1.69</v>
      </c>
      <c r="N5" s="555">
        <v>0.3</v>
      </c>
      <c r="O5" s="502" t="s">
        <v>621</v>
      </c>
    </row>
    <row r="6" spans="2:15">
      <c r="B6" s="586">
        <v>2.12</v>
      </c>
      <c r="C6" s="533">
        <v>0.219</v>
      </c>
      <c r="D6" s="534">
        <v>1</v>
      </c>
      <c r="E6" s="535">
        <v>6</v>
      </c>
      <c r="F6" s="536">
        <v>1</v>
      </c>
      <c r="H6" s="586">
        <v>2.12</v>
      </c>
      <c r="I6" s="534">
        <v>0.25</v>
      </c>
      <c r="J6" s="894">
        <v>0.2</v>
      </c>
      <c r="K6" s="894">
        <v>0.17299999999999999</v>
      </c>
      <c r="M6" s="547">
        <v>2.12</v>
      </c>
      <c r="N6" s="556">
        <v>0.31</v>
      </c>
    </row>
    <row r="7" spans="2:15">
      <c r="B7" s="586">
        <v>2.38</v>
      </c>
      <c r="C7" s="537">
        <v>0</v>
      </c>
      <c r="D7" s="534">
        <v>1</v>
      </c>
      <c r="E7" s="538" t="s">
        <v>561</v>
      </c>
      <c r="F7" s="536">
        <v>1</v>
      </c>
      <c r="H7" s="586">
        <v>2.38</v>
      </c>
      <c r="I7" s="545" t="s">
        <v>561</v>
      </c>
      <c r="J7" s="894">
        <v>0</v>
      </c>
      <c r="K7" s="894">
        <v>0.14499999999999999</v>
      </c>
      <c r="M7" s="547">
        <v>2.38</v>
      </c>
      <c r="N7" s="556">
        <v>0.34</v>
      </c>
    </row>
    <row r="8" spans="2:15">
      <c r="B8" s="587">
        <v>2.88</v>
      </c>
      <c r="C8" s="534">
        <v>0.375</v>
      </c>
      <c r="D8" s="534">
        <v>1</v>
      </c>
      <c r="E8" s="536">
        <v>4</v>
      </c>
      <c r="F8" s="536">
        <v>1</v>
      </c>
      <c r="H8" s="587">
        <v>2.88</v>
      </c>
      <c r="I8" s="534">
        <v>0.375</v>
      </c>
      <c r="J8" s="894">
        <v>0.25</v>
      </c>
      <c r="K8" s="894">
        <v>0.17299999999999999</v>
      </c>
      <c r="M8" s="549">
        <v>2.88</v>
      </c>
      <c r="N8" s="548">
        <v>0.505</v>
      </c>
    </row>
    <row r="9" spans="2:15">
      <c r="B9" s="587" t="s">
        <v>567</v>
      </c>
      <c r="C9" s="539">
        <v>0.375</v>
      </c>
      <c r="D9" s="539">
        <v>1</v>
      </c>
      <c r="E9" s="540">
        <v>4</v>
      </c>
      <c r="F9" s="540">
        <v>1</v>
      </c>
      <c r="H9" s="587" t="s">
        <v>567</v>
      </c>
      <c r="I9" s="539">
        <v>0.375</v>
      </c>
      <c r="J9" s="895">
        <v>0.25</v>
      </c>
      <c r="K9" s="895" t="s">
        <v>561</v>
      </c>
      <c r="M9" s="550" t="s">
        <v>567</v>
      </c>
      <c r="N9" s="551">
        <v>0.505</v>
      </c>
    </row>
    <row r="10" spans="2:15">
      <c r="B10" s="541" t="s">
        <v>550</v>
      </c>
      <c r="C10" s="561" t="s">
        <v>552</v>
      </c>
      <c r="D10" s="542">
        <f>VLOOKUP('Circ Model'!H12,'Dropdown Lists'!B5:D9,1+'Circ Model'!D13,FALSE)</f>
        <v>0.375</v>
      </c>
      <c r="E10" s="562" t="s">
        <v>551</v>
      </c>
      <c r="F10" s="543">
        <f>VLOOKUP('Circ Model'!H12,'Dropdown Lists'!B5:F9,3+'Circ Model'!D13,FALSE)</f>
        <v>4</v>
      </c>
      <c r="H10" s="507" t="s">
        <v>553</v>
      </c>
      <c r="I10" s="506">
        <f>IF('Circ Model'!H13="MGS™",VLOOKUP('Circ Model'!H12,H5:I9,1+'Dropdown Lists'!D1),1)</f>
        <v>0.375</v>
      </c>
      <c r="J10" s="896">
        <f>IF('Circ Model'!I13="MGS™",VLOOKUP('Circ Model'!I12,H5:J9,1+'Dropdown Lists'!E1),1)</f>
        <v>1</v>
      </c>
      <c r="K10" s="896">
        <f>IF('Circ Model'!J13="MGS™",VLOOKUP('Circ Model'!J12,H5:K9,1+'Dropdown Lists'!F1),1)</f>
        <v>1</v>
      </c>
      <c r="M10" s="563" t="s">
        <v>574</v>
      </c>
      <c r="N10" s="588">
        <f>VLOOKUP('Circ Model'!H12,'Dropdown Lists'!M5:N9,2,FALSE)/39.37</f>
        <v>1.2827025654051308E-2</v>
      </c>
      <c r="O10" s="502" t="s">
        <v>6</v>
      </c>
    </row>
    <row r="11" spans="2:15">
      <c r="B11" s="508"/>
      <c r="C11" s="509"/>
      <c r="D11" s="511"/>
      <c r="E11" s="504"/>
      <c r="F11" s="82"/>
      <c r="H11" s="557"/>
      <c r="I11" s="505"/>
      <c r="M11" s="558"/>
      <c r="N11" s="559"/>
      <c r="O11" s="502"/>
    </row>
    <row r="12" spans="2:15">
      <c r="B12" s="523" t="s">
        <v>571</v>
      </c>
      <c r="C12" s="509"/>
      <c r="D12" s="511"/>
      <c r="E12" s="504"/>
      <c r="F12" s="82"/>
      <c r="H12" s="500"/>
      <c r="I12" s="510"/>
      <c r="J12" s="510"/>
      <c r="K12" s="93"/>
      <c r="M12" s="560" t="s">
        <v>573</v>
      </c>
    </row>
    <row r="13" spans="2:15">
      <c r="B13" s="503" t="s">
        <v>572</v>
      </c>
      <c r="C13" s="509"/>
      <c r="D13" s="512"/>
      <c r="E13" s="504"/>
      <c r="F13" s="82"/>
      <c r="H13" s="500"/>
      <c r="I13" s="510"/>
      <c r="J13" s="510"/>
      <c r="K13" s="93"/>
    </row>
    <row r="14" spans="2:15">
      <c r="B14" s="500"/>
      <c r="C14" s="510"/>
      <c r="F14" s="513"/>
    </row>
    <row r="15" spans="2:15">
      <c r="B15" s="522" t="s">
        <v>487</v>
      </c>
      <c r="D15" s="521" t="s">
        <v>491</v>
      </c>
      <c r="F15" s="521" t="s">
        <v>503</v>
      </c>
      <c r="H15" s="520" t="s">
        <v>684</v>
      </c>
      <c r="J15" s="880" t="s">
        <v>677</v>
      </c>
    </row>
    <row r="16" spans="2:15" ht="20">
      <c r="B16" s="516" t="s">
        <v>485</v>
      </c>
      <c r="D16" s="585" t="s">
        <v>560</v>
      </c>
      <c r="F16" s="514" t="s">
        <v>501</v>
      </c>
      <c r="H16" s="567">
        <v>2</v>
      </c>
      <c r="J16" s="881" t="s">
        <v>678</v>
      </c>
    </row>
    <row r="17" spans="2:10">
      <c r="B17" s="516" t="s">
        <v>486</v>
      </c>
      <c r="D17" s="514" t="s">
        <v>510</v>
      </c>
      <c r="F17" s="514" t="s">
        <v>502</v>
      </c>
      <c r="H17" s="567">
        <v>3</v>
      </c>
      <c r="J17" s="881" t="s">
        <v>680</v>
      </c>
    </row>
    <row r="18" spans="2:10">
      <c r="F18" s="514" t="s">
        <v>510</v>
      </c>
      <c r="H18" s="567">
        <v>4</v>
      </c>
    </row>
    <row r="19" spans="2:10">
      <c r="C19" s="78"/>
      <c r="H19" s="567">
        <v>6</v>
      </c>
    </row>
    <row r="20" spans="2:10">
      <c r="C20" s="78"/>
    </row>
    <row r="21" spans="2:10">
      <c r="C21" s="78"/>
    </row>
    <row r="22" spans="2:10">
      <c r="H22" s="502" t="s">
        <v>501</v>
      </c>
    </row>
    <row r="23" spans="2:10">
      <c r="H23" s="77">
        <v>1</v>
      </c>
    </row>
    <row r="25" spans="2:10">
      <c r="B25" s="880" t="s">
        <v>566</v>
      </c>
      <c r="C25" s="880" t="s">
        <v>686</v>
      </c>
    </row>
    <row r="26" spans="2:10">
      <c r="B26" s="586">
        <v>1.69</v>
      </c>
      <c r="C26" s="586">
        <v>0.25</v>
      </c>
      <c r="H26" s="502" t="s">
        <v>678</v>
      </c>
      <c r="I26" s="502" t="s">
        <v>680</v>
      </c>
    </row>
    <row r="27" spans="2:10">
      <c r="B27" s="586">
        <v>2.12</v>
      </c>
      <c r="C27" s="586">
        <v>0.313</v>
      </c>
      <c r="H27" s="77">
        <v>2</v>
      </c>
      <c r="I27" s="77">
        <v>2</v>
      </c>
    </row>
    <row r="28" spans="2:10">
      <c r="B28" s="586">
        <v>2.38</v>
      </c>
      <c r="C28" s="935" t="s">
        <v>693</v>
      </c>
      <c r="H28" s="77">
        <v>3</v>
      </c>
      <c r="I28" s="77">
        <v>3</v>
      </c>
    </row>
    <row r="29" spans="2:10">
      <c r="B29" s="586">
        <v>2.88</v>
      </c>
      <c r="C29" s="586">
        <v>0.375</v>
      </c>
      <c r="H29" s="77">
        <v>4</v>
      </c>
      <c r="I29" s="77">
        <v>4</v>
      </c>
    </row>
    <row r="30" spans="2:10">
      <c r="B30" s="586" t="s">
        <v>567</v>
      </c>
      <c r="C30" s="586">
        <v>0.375</v>
      </c>
      <c r="I30" s="77">
        <v>6</v>
      </c>
    </row>
    <row r="31" spans="2:10">
      <c r="B31" s="502" t="s">
        <v>687</v>
      </c>
      <c r="C31" s="77">
        <f>VLOOKUP('Circ Model'!H12,'Dropdown Lists'!B26:C30,2)</f>
        <v>0.375</v>
      </c>
    </row>
  </sheetData>
  <dataConsolidate/>
  <phoneticPr fontId="0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theme="1"/>
  </sheetPr>
  <dimension ref="A1:DK141"/>
  <sheetViews>
    <sheetView topLeftCell="A95" workbookViewId="0">
      <selection activeCell="G130" sqref="G130"/>
    </sheetView>
  </sheetViews>
  <sheetFormatPr baseColWidth="10" defaultColWidth="6.6640625" defaultRowHeight="12" x14ac:dyDescent="0"/>
  <cols>
    <col min="1" max="1" width="9.1640625" style="36" customWidth="1"/>
    <col min="2" max="2" width="16.83203125" style="36" customWidth="1"/>
    <col min="3" max="3" width="18.5" style="36" customWidth="1"/>
    <col min="4" max="4" width="9.5" style="56" customWidth="1"/>
    <col min="5" max="5" width="7.33203125" style="41" customWidth="1"/>
    <col min="6" max="6" width="9.5" style="34" customWidth="1"/>
    <col min="7" max="7" width="11.83203125" style="115" customWidth="1"/>
    <col min="8" max="8" width="6.5" style="112" customWidth="1"/>
    <col min="9" max="9" width="7.5" style="207" customWidth="1"/>
    <col min="10" max="10" width="7.5" style="225" customWidth="1"/>
    <col min="11" max="11" width="11.5" style="207" customWidth="1"/>
    <col min="12" max="12" width="9.1640625" style="36" customWidth="1"/>
    <col min="13" max="13" width="13.5" style="191" bestFit="1" customWidth="1"/>
    <col min="14" max="14" width="10.6640625" style="36" bestFit="1" customWidth="1"/>
    <col min="15" max="15" width="10.6640625" style="36" customWidth="1"/>
    <col min="16" max="16" width="5.5" style="36" customWidth="1"/>
    <col min="17" max="17" width="5.5" style="36" bestFit="1" customWidth="1"/>
    <col min="18" max="18" width="9.1640625" style="36" customWidth="1"/>
    <col min="19" max="61" width="5.5" style="36" bestFit="1" customWidth="1"/>
    <col min="62" max="75" width="5.5" style="36" customWidth="1"/>
    <col min="76" max="91" width="5.5" style="36" bestFit="1" customWidth="1"/>
    <col min="92" max="115" width="7" style="36" bestFit="1" customWidth="1"/>
    <col min="116" max="16384" width="6.6640625" style="36"/>
  </cols>
  <sheetData>
    <row r="1" spans="1:34" ht="17">
      <c r="A1" s="97" t="s">
        <v>391</v>
      </c>
      <c r="F1" s="98" t="s">
        <v>138</v>
      </c>
      <c r="G1" s="256"/>
      <c r="H1" s="204"/>
      <c r="I1" s="205"/>
      <c r="J1" s="249"/>
      <c r="K1" s="209"/>
      <c r="L1" s="99"/>
      <c r="M1" s="189"/>
      <c r="N1" s="99"/>
      <c r="O1" s="99"/>
      <c r="P1" s="99"/>
      <c r="Q1" s="99"/>
      <c r="R1" s="100"/>
      <c r="S1" s="99"/>
      <c r="T1" s="99"/>
      <c r="U1" s="99"/>
      <c r="V1" s="99"/>
      <c r="W1" s="99"/>
      <c r="X1" s="99"/>
      <c r="Y1" s="99"/>
      <c r="Z1" s="99"/>
    </row>
    <row r="2" spans="1:34">
      <c r="C2" s="101"/>
      <c r="G2" s="206" t="s">
        <v>392</v>
      </c>
      <c r="J2" s="250"/>
      <c r="K2" s="209"/>
      <c r="L2" s="99"/>
      <c r="M2" s="189"/>
      <c r="N2" s="99"/>
      <c r="O2" s="99"/>
      <c r="X2" s="99"/>
      <c r="Y2" s="99"/>
      <c r="Z2" s="99"/>
    </row>
    <row r="3" spans="1:34">
      <c r="A3" s="102" t="s">
        <v>197</v>
      </c>
      <c r="B3" s="142"/>
      <c r="C3" s="142"/>
      <c r="E3" s="1041" t="s">
        <v>113</v>
      </c>
      <c r="F3" s="1041"/>
      <c r="G3" s="1041" t="s">
        <v>140</v>
      </c>
      <c r="H3" s="1041"/>
      <c r="I3" s="1041" t="s">
        <v>114</v>
      </c>
      <c r="J3" s="1041"/>
      <c r="K3" s="255" t="s">
        <v>285</v>
      </c>
      <c r="L3" s="166" t="s">
        <v>289</v>
      </c>
      <c r="M3" s="190"/>
      <c r="N3" s="103"/>
      <c r="O3" s="103"/>
      <c r="X3" s="99"/>
      <c r="Y3" s="99"/>
      <c r="Z3" s="99"/>
    </row>
    <row r="4" spans="1:34">
      <c r="C4" s="54" t="s">
        <v>199</v>
      </c>
      <c r="D4" s="138" t="s">
        <v>18</v>
      </c>
      <c r="E4" s="46"/>
      <c r="F4" s="51"/>
      <c r="G4" s="159">
        <v>9.8000000000000007</v>
      </c>
      <c r="H4" s="208" t="s">
        <v>19</v>
      </c>
      <c r="I4" s="209"/>
      <c r="N4" s="37"/>
      <c r="O4" s="38"/>
      <c r="X4" s="99"/>
      <c r="Y4" s="99"/>
      <c r="Z4" s="37"/>
      <c r="AA4" s="38"/>
      <c r="AB4" s="53"/>
      <c r="AC4" s="53"/>
      <c r="AD4" s="53"/>
      <c r="AE4" s="53"/>
      <c r="AF4" s="111"/>
      <c r="AG4" s="111"/>
      <c r="AH4" s="121"/>
    </row>
    <row r="5" spans="1:34">
      <c r="B5" s="54" t="s">
        <v>195</v>
      </c>
      <c r="C5" s="36" t="s">
        <v>322</v>
      </c>
      <c r="D5" s="138" t="s">
        <v>147</v>
      </c>
      <c r="E5" s="186">
        <v>20</v>
      </c>
      <c r="F5" s="99" t="s">
        <v>57</v>
      </c>
      <c r="G5" s="155">
        <f>273+E5</f>
        <v>293</v>
      </c>
      <c r="H5" s="208" t="s">
        <v>28</v>
      </c>
      <c r="I5" s="210">
        <f>E5*9/5+32</f>
        <v>68</v>
      </c>
      <c r="J5" s="206" t="s">
        <v>112</v>
      </c>
      <c r="K5" s="228" t="s">
        <v>307</v>
      </c>
      <c r="M5" s="192"/>
    </row>
    <row r="6" spans="1:34">
      <c r="B6" s="54" t="s">
        <v>195</v>
      </c>
      <c r="C6" s="36" t="s">
        <v>323</v>
      </c>
      <c r="D6" s="138" t="s">
        <v>196</v>
      </c>
      <c r="E6" s="157">
        <f>I6/0.145</f>
        <v>100</v>
      </c>
      <c r="F6" s="42" t="s">
        <v>48</v>
      </c>
      <c r="G6" s="211">
        <f>I6/145*1000000</f>
        <v>100000</v>
      </c>
      <c r="H6" s="208" t="s">
        <v>3</v>
      </c>
      <c r="I6" s="212">
        <v>14.5</v>
      </c>
      <c r="J6" s="206" t="s">
        <v>2</v>
      </c>
      <c r="K6" s="228" t="s">
        <v>308</v>
      </c>
      <c r="M6" s="192"/>
    </row>
    <row r="7" spans="1:34">
      <c r="B7" s="54" t="s">
        <v>319</v>
      </c>
      <c r="C7" s="141" t="s">
        <v>41</v>
      </c>
      <c r="D7" s="138" t="s">
        <v>21</v>
      </c>
      <c r="E7" s="46"/>
      <c r="F7" s="99"/>
      <c r="G7" s="159">
        <v>8.3140000000000001</v>
      </c>
      <c r="H7" s="208"/>
      <c r="I7" s="209"/>
      <c r="N7" s="37"/>
      <c r="O7" s="38"/>
      <c r="X7" s="99"/>
      <c r="Y7" s="99"/>
      <c r="Z7" s="37"/>
      <c r="AA7" s="38"/>
      <c r="AB7" s="53"/>
      <c r="AC7" s="53"/>
      <c r="AD7" s="53"/>
      <c r="AE7" s="53"/>
      <c r="AF7" s="111"/>
      <c r="AG7" s="111"/>
      <c r="AH7" s="121"/>
    </row>
    <row r="8" spans="1:34">
      <c r="B8" s="54" t="s">
        <v>201</v>
      </c>
      <c r="C8" s="141" t="s">
        <v>316</v>
      </c>
      <c r="D8" s="138" t="s">
        <v>36</v>
      </c>
      <c r="E8" s="46"/>
      <c r="F8" s="99"/>
      <c r="G8" s="216">
        <v>1.79</v>
      </c>
      <c r="H8" s="208"/>
      <c r="I8" s="209"/>
      <c r="K8" s="228" t="s">
        <v>325</v>
      </c>
      <c r="N8" s="37"/>
      <c r="O8" s="38"/>
      <c r="X8" s="99"/>
      <c r="Y8" s="99"/>
      <c r="Z8" s="37"/>
      <c r="AA8" s="38"/>
      <c r="AB8" s="52"/>
      <c r="AC8" s="52"/>
      <c r="AD8" s="53"/>
      <c r="AE8" s="53"/>
      <c r="AF8" s="111"/>
      <c r="AG8" s="111"/>
      <c r="AH8" s="121"/>
    </row>
    <row r="9" spans="1:34">
      <c r="B9" s="54" t="s">
        <v>201</v>
      </c>
      <c r="C9" s="141" t="s">
        <v>46</v>
      </c>
      <c r="D9" s="138" t="s">
        <v>50</v>
      </c>
      <c r="E9" s="158">
        <v>3.3978000000000002</v>
      </c>
      <c r="F9" s="99" t="s">
        <v>48</v>
      </c>
      <c r="G9" s="217">
        <f>E9*1000000</f>
        <v>3397800</v>
      </c>
      <c r="H9" s="208" t="s">
        <v>3</v>
      </c>
      <c r="I9" s="209"/>
      <c r="N9" s="37"/>
      <c r="O9" s="38"/>
      <c r="X9" s="99"/>
      <c r="Y9" s="99"/>
      <c r="Z9" s="37"/>
      <c r="AA9" s="38"/>
      <c r="AB9" s="52"/>
      <c r="AC9" s="52"/>
      <c r="AD9" s="53"/>
      <c r="AE9" s="53"/>
      <c r="AF9" s="111"/>
      <c r="AG9" s="111"/>
      <c r="AH9" s="121"/>
    </row>
    <row r="10" spans="1:34">
      <c r="B10" s="54" t="s">
        <v>201</v>
      </c>
      <c r="C10" s="141" t="s">
        <v>47</v>
      </c>
      <c r="D10" s="138" t="s">
        <v>49</v>
      </c>
      <c r="E10" s="46"/>
      <c r="F10" s="51"/>
      <c r="G10" s="218">
        <v>126.19</v>
      </c>
      <c r="H10" s="208" t="s">
        <v>28</v>
      </c>
      <c r="I10" s="209"/>
    </row>
    <row r="11" spans="1:34">
      <c r="B11" s="54" t="s">
        <v>201</v>
      </c>
      <c r="C11" s="141" t="s">
        <v>317</v>
      </c>
      <c r="D11" s="138" t="s">
        <v>52</v>
      </c>
      <c r="E11" s="46"/>
      <c r="F11" s="51"/>
      <c r="G11" s="219">
        <v>-2.4099999999999999E-10</v>
      </c>
      <c r="H11" s="208"/>
      <c r="I11" s="209"/>
      <c r="N11" s="37"/>
      <c r="O11" s="38"/>
      <c r="X11" s="99"/>
      <c r="Y11" s="99"/>
      <c r="Z11" s="37"/>
      <c r="AA11" s="38"/>
      <c r="AB11" s="52"/>
      <c r="AC11" s="52"/>
      <c r="AD11" s="53"/>
      <c r="AE11" s="53"/>
      <c r="AF11" s="111"/>
      <c r="AG11" s="111"/>
      <c r="AH11" s="121"/>
    </row>
    <row r="12" spans="1:34">
      <c r="B12" s="54" t="s">
        <v>201</v>
      </c>
      <c r="C12" s="141" t="s">
        <v>317</v>
      </c>
      <c r="D12" s="138" t="s">
        <v>63</v>
      </c>
      <c r="E12" s="46"/>
      <c r="F12" s="51"/>
      <c r="G12" s="219">
        <v>1.9499999999999999E-16</v>
      </c>
      <c r="H12" s="208"/>
      <c r="I12" s="209"/>
      <c r="N12" s="37"/>
      <c r="O12" s="38"/>
      <c r="Y12" s="99"/>
      <c r="Z12" s="37"/>
      <c r="AA12" s="38"/>
      <c r="AB12" s="52"/>
      <c r="AC12" s="52"/>
      <c r="AD12" s="53"/>
      <c r="AE12" s="53"/>
      <c r="AF12" s="111"/>
      <c r="AG12" s="111"/>
      <c r="AH12" s="121"/>
    </row>
    <row r="13" spans="1:34">
      <c r="B13" s="54" t="s">
        <v>201</v>
      </c>
      <c r="C13" s="141" t="s">
        <v>317</v>
      </c>
      <c r="D13" s="138" t="s">
        <v>53</v>
      </c>
      <c r="E13" s="46"/>
      <c r="F13" s="51"/>
      <c r="G13" s="219">
        <v>-9.6800000000000001E-25</v>
      </c>
      <c r="H13" s="208"/>
      <c r="I13" s="209"/>
      <c r="N13" s="37"/>
      <c r="O13" s="38"/>
      <c r="X13" s="99"/>
      <c r="Y13" s="99"/>
      <c r="Z13" s="39"/>
      <c r="AA13" s="40"/>
      <c r="AB13" s="122"/>
      <c r="AC13" s="122"/>
      <c r="AD13" s="123"/>
      <c r="AE13" s="123"/>
      <c r="AF13" s="124"/>
      <c r="AG13" s="124"/>
      <c r="AH13" s="125"/>
    </row>
    <row r="14" spans="1:34" ht="12.75" customHeight="1">
      <c r="B14" s="54" t="s">
        <v>201</v>
      </c>
      <c r="C14" s="141" t="s">
        <v>318</v>
      </c>
      <c r="D14" s="138" t="s">
        <v>22</v>
      </c>
      <c r="E14" s="146">
        <v>28</v>
      </c>
      <c r="F14" s="99"/>
      <c r="G14" s="147">
        <f>E14/1000</f>
        <v>2.8000000000000001E-2</v>
      </c>
      <c r="H14" s="208" t="s">
        <v>23</v>
      </c>
      <c r="I14" s="209"/>
      <c r="N14" s="37"/>
      <c r="O14" s="38"/>
      <c r="X14" s="99"/>
      <c r="Y14" s="99"/>
      <c r="AH14" s="121"/>
    </row>
    <row r="15" spans="1:34">
      <c r="B15" s="54" t="s">
        <v>201</v>
      </c>
      <c r="C15" s="141" t="s">
        <v>41</v>
      </c>
      <c r="D15" s="138" t="s">
        <v>55</v>
      </c>
      <c r="E15" s="156"/>
      <c r="F15" s="99"/>
      <c r="G15" s="135">
        <f>Runiv/mwt</f>
        <v>296.92857142857144</v>
      </c>
      <c r="H15" s="208"/>
      <c r="I15" s="209"/>
      <c r="N15" s="60"/>
      <c r="O15" s="61"/>
      <c r="P15" s="62"/>
      <c r="Q15" s="62"/>
      <c r="R15" s="63"/>
      <c r="S15" s="63"/>
      <c r="T15" s="63"/>
      <c r="U15" s="63"/>
      <c r="V15" s="126"/>
      <c r="W15" s="99"/>
      <c r="X15" s="99"/>
      <c r="Y15" s="99"/>
      <c r="Z15" s="60"/>
      <c r="AA15" s="61"/>
      <c r="AB15" s="62"/>
      <c r="AC15" s="62"/>
      <c r="AD15" s="63"/>
      <c r="AE15" s="63"/>
      <c r="AF15" s="63"/>
      <c r="AG15" s="63"/>
      <c r="AH15" s="126"/>
    </row>
    <row r="16" spans="1:34">
      <c r="B16" s="54" t="s">
        <v>201</v>
      </c>
      <c r="C16" s="260" t="s">
        <v>315</v>
      </c>
      <c r="D16" s="138" t="s">
        <v>324</v>
      </c>
      <c r="E16" s="46"/>
      <c r="F16" s="99"/>
      <c r="G16" s="4">
        <f>Rgas*k/(k-1)</f>
        <v>672.78752260397823</v>
      </c>
      <c r="H16" t="s">
        <v>320</v>
      </c>
      <c r="I16" s="209"/>
      <c r="N16" s="37"/>
      <c r="O16" s="38"/>
      <c r="X16" s="99"/>
      <c r="Y16" s="99"/>
      <c r="Z16" s="37"/>
      <c r="AA16" s="38"/>
      <c r="AB16" s="53"/>
      <c r="AC16" s="53"/>
      <c r="AD16" s="53"/>
      <c r="AE16" s="53"/>
      <c r="AF16" s="111"/>
      <c r="AG16" s="111"/>
      <c r="AH16" s="121"/>
    </row>
    <row r="17" spans="1:42">
      <c r="C17" s="127" t="s">
        <v>134</v>
      </c>
      <c r="D17" s="140" t="s">
        <v>206</v>
      </c>
      <c r="E17" s="159">
        <v>5.9999999999999995E-4</v>
      </c>
      <c r="F17" s="128" t="s">
        <v>136</v>
      </c>
      <c r="G17" s="220">
        <f>E17/100000</f>
        <v>5.9999999999999991E-9</v>
      </c>
      <c r="H17" s="208"/>
      <c r="I17" s="209"/>
    </row>
    <row r="18" spans="1:42">
      <c r="B18" s="54" t="s">
        <v>200</v>
      </c>
      <c r="C18" s="116" t="s">
        <v>314</v>
      </c>
      <c r="D18" s="56" t="s">
        <v>98</v>
      </c>
      <c r="E18" s="146">
        <v>55</v>
      </c>
      <c r="F18" s="51" t="s">
        <v>99</v>
      </c>
      <c r="G18" s="213">
        <f>E18*0.001</f>
        <v>5.5E-2</v>
      </c>
      <c r="H18" s="71" t="s">
        <v>100</v>
      </c>
      <c r="I18" s="147"/>
      <c r="J18" s="206"/>
      <c r="L18" s="39"/>
    </row>
    <row r="19" spans="1:42" customFormat="1">
      <c r="A19" s="36"/>
      <c r="B19" s="54" t="s">
        <v>200</v>
      </c>
      <c r="C19" s="260" t="s">
        <v>313</v>
      </c>
      <c r="D19" s="187" t="s">
        <v>291</v>
      </c>
      <c r="E19" s="41"/>
      <c r="F19" s="34"/>
      <c r="G19" s="214">
        <v>2090000000</v>
      </c>
      <c r="H19" s="215" t="s">
        <v>3</v>
      </c>
      <c r="I19" s="239"/>
      <c r="J19" s="251"/>
      <c r="K19" s="239"/>
      <c r="M19" s="193"/>
    </row>
    <row r="20" spans="1:42" customFormat="1">
      <c r="A20" s="36"/>
      <c r="B20" s="54" t="s">
        <v>200</v>
      </c>
      <c r="C20" s="260" t="s">
        <v>315</v>
      </c>
      <c r="D20" s="187" t="s">
        <v>321</v>
      </c>
      <c r="E20" s="41"/>
      <c r="F20" s="34"/>
      <c r="G20" s="75">
        <v>4184</v>
      </c>
      <c r="H20" t="s">
        <v>320</v>
      </c>
      <c r="I20" s="239"/>
      <c r="J20" s="251"/>
      <c r="K20" s="239"/>
      <c r="M20" s="193"/>
    </row>
    <row r="21" spans="1:42">
      <c r="A21" s="102" t="s">
        <v>198</v>
      </c>
      <c r="B21" s="142"/>
      <c r="C21" s="142"/>
      <c r="D21" s="138"/>
      <c r="E21" s="156"/>
      <c r="F21" s="99"/>
      <c r="G21" s="135"/>
      <c r="H21" s="208"/>
      <c r="I21" s="209"/>
      <c r="N21" s="60"/>
      <c r="O21" s="61"/>
      <c r="P21" s="62"/>
      <c r="Q21" s="62"/>
      <c r="R21" s="63"/>
      <c r="S21" s="63"/>
      <c r="T21" s="63"/>
      <c r="U21" s="63"/>
      <c r="V21" s="126"/>
      <c r="W21" s="99"/>
      <c r="X21" s="99"/>
      <c r="Y21" s="99"/>
      <c r="Z21" s="60"/>
      <c r="AA21" s="61"/>
      <c r="AB21" s="62"/>
      <c r="AC21" s="62"/>
      <c r="AD21" s="63"/>
      <c r="AE21" s="63"/>
      <c r="AF21" s="63"/>
      <c r="AG21" s="63"/>
      <c r="AH21" s="126"/>
    </row>
    <row r="22" spans="1:42">
      <c r="B22" s="54" t="s">
        <v>191</v>
      </c>
      <c r="C22" s="116" t="s">
        <v>194</v>
      </c>
      <c r="D22" s="56" t="s">
        <v>68</v>
      </c>
      <c r="E22" s="144">
        <f>(I22-32)*5/9</f>
        <v>4.4444444444444446</v>
      </c>
      <c r="F22" s="51" t="s">
        <v>57</v>
      </c>
      <c r="G22" s="211">
        <f>E22+273</f>
        <v>277.44444444444446</v>
      </c>
      <c r="H22" s="71" t="s">
        <v>28</v>
      </c>
      <c r="I22" s="221">
        <v>40</v>
      </c>
      <c r="J22" s="206" t="s">
        <v>112</v>
      </c>
      <c r="K22" s="115"/>
      <c r="L22" s="39"/>
      <c r="M22" s="194"/>
      <c r="N22" s="45"/>
      <c r="O22" s="44"/>
      <c r="X22" s="104"/>
      <c r="Y22" s="104"/>
      <c r="Z22" s="45"/>
      <c r="AA22" s="44"/>
      <c r="AB22" s="44"/>
      <c r="AC22" s="44"/>
      <c r="AD22" s="44"/>
      <c r="AE22" s="44"/>
      <c r="AG22" s="104"/>
      <c r="AH22" s="104"/>
      <c r="AK22" s="105"/>
      <c r="AL22" s="105"/>
      <c r="AM22" s="105"/>
      <c r="AN22" s="105"/>
      <c r="AO22" s="105"/>
      <c r="AP22" s="105"/>
    </row>
    <row r="23" spans="1:42">
      <c r="B23" s="54" t="s">
        <v>191</v>
      </c>
      <c r="C23" s="116" t="s">
        <v>204</v>
      </c>
      <c r="D23" s="56" t="s">
        <v>69</v>
      </c>
      <c r="E23" s="153">
        <f>Tb-273</f>
        <v>171.11111111111109</v>
      </c>
      <c r="F23" s="160" t="s">
        <v>57</v>
      </c>
      <c r="G23" s="153">
        <f>T0+dT*L</f>
        <v>444.11111111111109</v>
      </c>
      <c r="H23" s="160" t="s">
        <v>28</v>
      </c>
      <c r="I23" s="240">
        <f>(Tb-273)*9/5+32</f>
        <v>339.99999999999994</v>
      </c>
      <c r="J23" s="252" t="s">
        <v>112</v>
      </c>
      <c r="K23" s="115"/>
      <c r="L23" s="39"/>
      <c r="M23" s="194"/>
      <c r="N23" s="45"/>
      <c r="O23" s="44"/>
      <c r="X23" s="104"/>
      <c r="Y23" s="104"/>
      <c r="Z23" s="45"/>
      <c r="AA23" s="44"/>
      <c r="AB23" s="44"/>
      <c r="AC23" s="44"/>
      <c r="AD23" s="44"/>
      <c r="AE23" s="44"/>
      <c r="AG23" s="104"/>
      <c r="AH23" s="104"/>
      <c r="AK23" s="105"/>
      <c r="AL23" s="105"/>
      <c r="AM23" s="105"/>
      <c r="AN23" s="105"/>
      <c r="AO23" s="105"/>
      <c r="AP23" s="105"/>
    </row>
    <row r="24" spans="1:42">
      <c r="C24" s="41" t="s">
        <v>104</v>
      </c>
      <c r="D24" s="56" t="s">
        <v>39</v>
      </c>
      <c r="E24" s="289">
        <v>1</v>
      </c>
      <c r="F24" s="51" t="s">
        <v>16</v>
      </c>
      <c r="G24" s="222">
        <f>E24/1000</f>
        <v>1E-3</v>
      </c>
      <c r="H24" s="71" t="s">
        <v>6</v>
      </c>
      <c r="I24" s="213">
        <f>E24/25.4</f>
        <v>3.937007874015748E-2</v>
      </c>
      <c r="J24" s="206" t="s">
        <v>7</v>
      </c>
      <c r="K24" s="115"/>
      <c r="L24" s="37"/>
      <c r="M24" s="195"/>
    </row>
    <row r="25" spans="1:42">
      <c r="C25" s="41" t="s">
        <v>103</v>
      </c>
      <c r="D25" s="56" t="s">
        <v>38</v>
      </c>
      <c r="E25" s="46"/>
      <c r="F25" s="51"/>
      <c r="G25" s="221">
        <v>2650</v>
      </c>
      <c r="H25" s="71" t="s">
        <v>13</v>
      </c>
      <c r="I25" s="159"/>
      <c r="J25" s="206"/>
      <c r="K25" s="132"/>
      <c r="L25" s="37"/>
      <c r="M25" s="195"/>
    </row>
    <row r="26" spans="1:42" s="77" customFormat="1">
      <c r="C26" s="95" t="s">
        <v>14</v>
      </c>
      <c r="D26" s="154" t="s">
        <v>10</v>
      </c>
      <c r="E26" s="83">
        <f>dti*1000</f>
        <v>40.487680975361954</v>
      </c>
      <c r="F26" s="78" t="s">
        <v>16</v>
      </c>
      <c r="G26" s="223">
        <f>dto-'Circ Model'!F10*2</f>
        <v>4.0487680975361956E-2</v>
      </c>
      <c r="H26" s="160" t="s">
        <v>6</v>
      </c>
      <c r="I26" s="241">
        <f>dti*39.37</f>
        <v>1.5940000000000001</v>
      </c>
      <c r="J26" s="252" t="s">
        <v>7</v>
      </c>
      <c r="K26" s="165"/>
      <c r="L26" s="96"/>
      <c r="M26" s="196"/>
      <c r="N26" s="94"/>
      <c r="O26" s="93"/>
      <c r="P26" s="93"/>
      <c r="Q26" s="93"/>
      <c r="R26" s="93"/>
      <c r="S26" s="136"/>
      <c r="T26" s="136"/>
      <c r="U26" s="95"/>
      <c r="V26" s="137"/>
      <c r="W26" s="85"/>
      <c r="X26" s="136"/>
      <c r="Y26" s="136"/>
      <c r="Z26" s="136"/>
    </row>
    <row r="27" spans="1:42">
      <c r="B27" s="54" t="s">
        <v>213</v>
      </c>
      <c r="C27" s="141" t="s">
        <v>190</v>
      </c>
      <c r="D27" s="56" t="s">
        <v>188</v>
      </c>
      <c r="G27" s="132">
        <f>(-0.002516*(Tstd-273)^2-0.1853*(Tstd-273)+1002)*(1+Pstd/1000000*(0.00000002*(Tstd-273)^2-0.00000224*(Tstd-273)+0.000508))*(1+Cbrine)</f>
        <v>997.33459219171209</v>
      </c>
      <c r="H27" s="112" t="s">
        <v>13</v>
      </c>
      <c r="I27" s="115"/>
      <c r="J27" s="206"/>
      <c r="K27" s="210"/>
      <c r="L27" s="43"/>
      <c r="N27" s="45"/>
      <c r="O27" s="44"/>
      <c r="X27" s="104"/>
      <c r="Y27" s="104"/>
      <c r="Z27" s="45"/>
      <c r="AA27" s="44"/>
      <c r="AB27" s="44"/>
      <c r="AC27" s="44"/>
      <c r="AD27" s="44"/>
      <c r="AE27" s="44"/>
      <c r="AG27" s="104"/>
      <c r="AH27" s="104"/>
      <c r="AK27" s="105"/>
      <c r="AL27" s="105"/>
      <c r="AM27" s="105"/>
      <c r="AN27" s="105"/>
      <c r="AO27" s="105"/>
      <c r="AP27" s="105"/>
    </row>
    <row r="28" spans="1:42">
      <c r="B28" s="54" t="s">
        <v>202</v>
      </c>
      <c r="C28" s="141" t="s">
        <v>190</v>
      </c>
      <c r="D28" s="56" t="s">
        <v>189</v>
      </c>
      <c r="E28" s="144"/>
      <c r="G28" s="163">
        <f>Pstd/(Rgas*Tstd)</f>
        <v>1.1494243436581744</v>
      </c>
      <c r="H28" s="112" t="s">
        <v>13</v>
      </c>
      <c r="K28" s="221"/>
      <c r="L28" s="34"/>
      <c r="M28" s="194"/>
      <c r="N28" s="45"/>
      <c r="O28" s="44"/>
      <c r="X28" s="104"/>
      <c r="Y28" s="104"/>
      <c r="Z28" s="45"/>
      <c r="AA28" s="44"/>
      <c r="AB28" s="44"/>
      <c r="AC28" s="44"/>
      <c r="AD28" s="44"/>
      <c r="AE28" s="44"/>
      <c r="AG28" s="104"/>
      <c r="AH28" s="104"/>
      <c r="AK28" s="105"/>
      <c r="AL28" s="105"/>
      <c r="AM28" s="105"/>
      <c r="AN28" s="105"/>
      <c r="AO28" s="105"/>
      <c r="AP28" s="105"/>
    </row>
    <row r="29" spans="1:42">
      <c r="A29" s="102" t="s">
        <v>265</v>
      </c>
      <c r="B29" s="142"/>
      <c r="C29" s="142"/>
      <c r="D29" s="138"/>
      <c r="E29" s="156"/>
      <c r="F29" s="99"/>
      <c r="G29" s="135"/>
      <c r="H29" s="208"/>
      <c r="I29" s="209"/>
      <c r="N29" s="60"/>
      <c r="S29" s="63"/>
      <c r="T29" s="63"/>
      <c r="U29" s="63"/>
      <c r="V29" s="126"/>
      <c r="W29" s="99"/>
      <c r="X29" s="99"/>
      <c r="Y29" s="99"/>
      <c r="Z29" s="60"/>
      <c r="AA29" s="61"/>
      <c r="AB29" s="62"/>
      <c r="AC29" s="62"/>
      <c r="AD29" s="63"/>
      <c r="AE29" s="63"/>
      <c r="AF29" s="63"/>
      <c r="AG29" s="63"/>
      <c r="AH29" s="126"/>
    </row>
    <row r="30" spans="1:42">
      <c r="C30" s="115" t="s">
        <v>263</v>
      </c>
      <c r="D30" s="56" t="s">
        <v>207</v>
      </c>
      <c r="E30" s="147"/>
      <c r="F30" s="71"/>
      <c r="G30" s="222">
        <f>I30/39.37</f>
        <v>9.5250190500381013E-3</v>
      </c>
      <c r="H30" s="71" t="s">
        <v>6</v>
      </c>
      <c r="I30" s="147">
        <f>'Dropdown Lists'!D10</f>
        <v>0.375</v>
      </c>
      <c r="J30" s="206" t="s">
        <v>7</v>
      </c>
      <c r="K30" s="206" t="s">
        <v>144</v>
      </c>
      <c r="L30" s="117"/>
      <c r="M30" s="324"/>
      <c r="N30" s="34"/>
    </row>
    <row r="31" spans="1:42">
      <c r="C31" s="115" t="s">
        <v>262</v>
      </c>
      <c r="D31" s="56" t="s">
        <v>208</v>
      </c>
      <c r="E31" s="147"/>
      <c r="F31" s="71"/>
      <c r="G31" s="147">
        <f>'Dropdown Lists'!F10</f>
        <v>4</v>
      </c>
      <c r="H31" s="71"/>
      <c r="I31" s="209"/>
      <c r="J31" s="206"/>
      <c r="K31" s="206" t="s">
        <v>144</v>
      </c>
      <c r="L31" s="118"/>
      <c r="M31" s="325"/>
    </row>
    <row r="32" spans="1:42">
      <c r="C32" s="115" t="s">
        <v>264</v>
      </c>
      <c r="D32" s="56" t="s">
        <v>209</v>
      </c>
      <c r="E32" s="147"/>
      <c r="F32" s="71"/>
      <c r="G32" s="159">
        <v>0.75</v>
      </c>
      <c r="H32" s="71"/>
      <c r="I32" s="209"/>
      <c r="J32" s="206"/>
      <c r="K32" s="206" t="s">
        <v>146</v>
      </c>
      <c r="L32" s="117"/>
      <c r="M32" s="326"/>
    </row>
    <row r="33" spans="1:42">
      <c r="C33" s="54" t="s">
        <v>218</v>
      </c>
      <c r="D33" s="56" t="s">
        <v>217</v>
      </c>
      <c r="E33" s="46"/>
      <c r="F33" s="51"/>
      <c r="G33" s="218">
        <v>0.65</v>
      </c>
      <c r="H33" s="71"/>
      <c r="I33" s="209"/>
      <c r="K33" s="207" t="s">
        <v>220</v>
      </c>
      <c r="M33" s="327"/>
      <c r="N33" s="37"/>
      <c r="S33" s="53"/>
      <c r="T33" s="111"/>
      <c r="U33" s="111"/>
      <c r="V33" s="121"/>
      <c r="W33" s="99"/>
      <c r="X33" s="99"/>
      <c r="Y33" s="99"/>
      <c r="Z33" s="39"/>
      <c r="AA33" s="40"/>
      <c r="AB33" s="123"/>
      <c r="AC33" s="123"/>
      <c r="AD33" s="123"/>
      <c r="AE33" s="123"/>
      <c r="AF33" s="124"/>
      <c r="AG33" s="124"/>
      <c r="AH33" s="125"/>
    </row>
    <row r="34" spans="1:42">
      <c r="C34" s="54" t="s">
        <v>260</v>
      </c>
      <c r="D34" s="56" t="s">
        <v>261</v>
      </c>
      <c r="E34" s="46"/>
      <c r="F34" s="51"/>
      <c r="G34" s="218">
        <v>0.9</v>
      </c>
      <c r="H34" s="71"/>
      <c r="I34" s="209"/>
      <c r="K34" s="493" t="s">
        <v>564</v>
      </c>
      <c r="M34" s="327"/>
      <c r="N34" s="37"/>
      <c r="S34" s="53"/>
      <c r="T34" s="111"/>
      <c r="U34" s="111"/>
      <c r="V34" s="121"/>
      <c r="W34" s="99"/>
      <c r="X34" s="99"/>
      <c r="Y34" s="99"/>
      <c r="Z34" s="39"/>
      <c r="AA34" s="40"/>
      <c r="AB34" s="123"/>
      <c r="AC34" s="123"/>
      <c r="AD34" s="123"/>
      <c r="AE34" s="123"/>
      <c r="AF34" s="124"/>
      <c r="AG34" s="124"/>
      <c r="AH34" s="125"/>
    </row>
    <row r="35" spans="1:42">
      <c r="A35" s="102" t="s">
        <v>192</v>
      </c>
      <c r="B35" s="142"/>
      <c r="C35" s="142"/>
      <c r="E35" s="144"/>
      <c r="G35" s="132"/>
      <c r="H35" s="37"/>
      <c r="I35" s="221"/>
      <c r="J35" s="206"/>
      <c r="K35" s="115"/>
      <c r="L35" s="39"/>
      <c r="M35" s="194"/>
      <c r="N35" s="45"/>
      <c r="O35" s="44"/>
      <c r="X35" s="104"/>
      <c r="Y35" s="104"/>
      <c r="Z35" s="45"/>
      <c r="AA35" s="44"/>
      <c r="AB35" s="44"/>
      <c r="AC35" s="44"/>
      <c r="AD35" s="44"/>
      <c r="AE35" s="44"/>
      <c r="AG35" s="104"/>
      <c r="AH35" s="104"/>
      <c r="AK35" s="105"/>
      <c r="AL35" s="105"/>
      <c r="AM35" s="105"/>
      <c r="AN35" s="105"/>
      <c r="AO35" s="105"/>
      <c r="AP35" s="105"/>
    </row>
    <row r="36" spans="1:42">
      <c r="B36" s="54" t="s">
        <v>202</v>
      </c>
      <c r="C36" s="141" t="s">
        <v>183</v>
      </c>
      <c r="D36" s="56" t="s">
        <v>175</v>
      </c>
      <c r="G36" s="132">
        <f>Circulation!L119</f>
        <v>178.88941175225889</v>
      </c>
      <c r="H36" s="112" t="s">
        <v>13</v>
      </c>
      <c r="K36" s="132">
        <f>Pa/(Za*Rgas*Tb)</f>
        <v>147.54935508671684</v>
      </c>
      <c r="L36" s="170">
        <f>IF(K36=G36,"OK",1-G36/K36)</f>
        <v>-0.21240388781857478</v>
      </c>
      <c r="O36" s="49"/>
      <c r="X36" s="72"/>
      <c r="Y36" s="106"/>
      <c r="Z36" s="49"/>
      <c r="AA36" s="49"/>
      <c r="AB36" s="50"/>
      <c r="AC36" s="50"/>
      <c r="AD36" s="50"/>
      <c r="AE36" s="50"/>
      <c r="AF36" s="109"/>
      <c r="AG36" s="109"/>
      <c r="AH36" s="110"/>
      <c r="AI36" s="49"/>
      <c r="AJ36" s="52"/>
      <c r="AK36" s="52"/>
      <c r="AL36" s="53"/>
      <c r="AM36" s="111"/>
      <c r="AN36" s="111"/>
      <c r="AO36" s="103"/>
      <c r="AP36" s="105"/>
    </row>
    <row r="37" spans="1:42">
      <c r="B37" s="54" t="s">
        <v>202</v>
      </c>
      <c r="C37" s="141" t="s">
        <v>186</v>
      </c>
      <c r="D37" s="56" t="s">
        <v>174</v>
      </c>
      <c r="G37" s="132">
        <f>Pb/(Zs*Rgas*Tb)</f>
        <v>147.21359532591549</v>
      </c>
      <c r="H37" s="112" t="s">
        <v>13</v>
      </c>
      <c r="K37" s="132"/>
      <c r="L37" s="35"/>
      <c r="N37" s="49"/>
      <c r="O37" s="49"/>
      <c r="X37" s="72"/>
      <c r="Y37" s="106"/>
      <c r="Z37" s="49"/>
      <c r="AA37" s="49"/>
      <c r="AB37" s="50"/>
      <c r="AC37" s="50"/>
      <c r="AD37" s="50"/>
      <c r="AE37" s="50"/>
      <c r="AF37" s="109"/>
      <c r="AG37" s="109"/>
      <c r="AH37" s="110"/>
      <c r="AI37" s="49"/>
      <c r="AJ37" s="52"/>
      <c r="AK37" s="52"/>
      <c r="AL37" s="53"/>
      <c r="AM37" s="111"/>
      <c r="AN37" s="111"/>
      <c r="AO37" s="103"/>
      <c r="AP37" s="105"/>
    </row>
    <row r="38" spans="1:42">
      <c r="B38" s="54" t="s">
        <v>202</v>
      </c>
      <c r="C38" s="141" t="s">
        <v>187</v>
      </c>
      <c r="D38" s="56" t="s">
        <v>182</v>
      </c>
      <c r="G38" s="132">
        <f>Circulation!L9</f>
        <v>34.669346564529882</v>
      </c>
      <c r="H38" s="112" t="s">
        <v>13</v>
      </c>
      <c r="K38" s="132">
        <f>Pchoke/(Zc*Rgas*T0)</f>
        <v>34.669346564529882</v>
      </c>
      <c r="L38" s="170" t="str">
        <f>IF(K38=G38,"OK",1-G38/K38)</f>
        <v>OK</v>
      </c>
      <c r="O38" s="49"/>
      <c r="X38" s="72"/>
      <c r="Y38" s="106"/>
      <c r="Z38" s="49"/>
      <c r="AA38" s="49"/>
      <c r="AB38" s="50"/>
      <c r="AC38" s="50"/>
      <c r="AD38" s="50"/>
      <c r="AE38" s="50"/>
      <c r="AF38" s="109"/>
      <c r="AG38" s="109"/>
      <c r="AH38" s="110"/>
      <c r="AI38" s="49"/>
      <c r="AJ38" s="52"/>
      <c r="AK38" s="52"/>
      <c r="AL38" s="53"/>
      <c r="AM38" s="111"/>
      <c r="AN38" s="111"/>
      <c r="AO38" s="103"/>
      <c r="AP38" s="105"/>
    </row>
    <row r="39" spans="1:42">
      <c r="B39" s="54" t="s">
        <v>202</v>
      </c>
      <c r="C39" s="141" t="s">
        <v>255</v>
      </c>
      <c r="D39" s="56" t="s">
        <v>230</v>
      </c>
      <c r="G39" s="132">
        <f>Pm/(Zs*Rgas*Tb)</f>
        <v>149.5515685015163</v>
      </c>
      <c r="H39" s="112" t="s">
        <v>13</v>
      </c>
      <c r="I39" s="115"/>
      <c r="J39" s="206"/>
      <c r="M39" s="197"/>
      <c r="N39" s="49"/>
      <c r="O39" s="49"/>
      <c r="X39" s="72"/>
      <c r="Y39" s="106"/>
      <c r="Z39" s="49"/>
      <c r="AA39" s="49"/>
      <c r="AB39" s="50"/>
      <c r="AC39" s="50"/>
      <c r="AD39" s="50"/>
      <c r="AE39" s="50"/>
      <c r="AF39" s="109"/>
      <c r="AG39" s="109"/>
      <c r="AH39" s="110"/>
      <c r="AI39" s="49"/>
      <c r="AJ39" s="52"/>
      <c r="AK39" s="52"/>
      <c r="AL39" s="53"/>
      <c r="AM39" s="111"/>
      <c r="AN39" s="111"/>
      <c r="AO39" s="103"/>
      <c r="AP39" s="105"/>
    </row>
    <row r="40" spans="1:42">
      <c r="B40" s="54" t="s">
        <v>202</v>
      </c>
      <c r="C40" s="141" t="s">
        <v>185</v>
      </c>
      <c r="D40" s="56" t="s">
        <v>170</v>
      </c>
      <c r="G40" s="132">
        <f>Circulation!L223</f>
        <v>419.93846951914105</v>
      </c>
      <c r="H40" s="112" t="s">
        <v>13</v>
      </c>
      <c r="K40" s="132">
        <f>Pp/(Zp*Rgas*T0)</f>
        <v>419.93846951914105</v>
      </c>
      <c r="L40" s="170" t="str">
        <f>IF(K40=G40,"OK",1-G40/K40)</f>
        <v>OK</v>
      </c>
      <c r="O40" s="49"/>
      <c r="X40" s="72"/>
      <c r="Y40" s="106"/>
      <c r="Z40" s="49"/>
      <c r="AA40" s="49"/>
      <c r="AB40" s="50"/>
      <c r="AC40" s="50"/>
      <c r="AD40" s="50"/>
      <c r="AE40" s="50"/>
      <c r="AF40" s="109"/>
      <c r="AG40" s="109"/>
      <c r="AH40" s="110"/>
      <c r="AI40" s="49"/>
      <c r="AJ40" s="52"/>
      <c r="AK40" s="52"/>
      <c r="AL40" s="53"/>
      <c r="AM40" s="111"/>
      <c r="AN40" s="111"/>
      <c r="AO40" s="103"/>
      <c r="AP40" s="105"/>
    </row>
    <row r="41" spans="1:42">
      <c r="B41" s="54" t="s">
        <v>202</v>
      </c>
      <c r="C41" s="141" t="s">
        <v>382</v>
      </c>
      <c r="D41" s="56" t="s">
        <v>369</v>
      </c>
      <c r="G41" s="132">
        <f>MIN(rhogi)</f>
        <v>165.30510615795157</v>
      </c>
      <c r="H41" s="112" t="s">
        <v>13</v>
      </c>
      <c r="K41" s="132">
        <f>Pa/(Za*Rgas*Tb)</f>
        <v>147.54935508671684</v>
      </c>
      <c r="L41" s="170">
        <f>IF(K41=G41,"OK",1-G41/K41)</f>
        <v>-0.1203377070729954</v>
      </c>
      <c r="M41" s="199" t="s">
        <v>383</v>
      </c>
      <c r="O41" s="49"/>
      <c r="X41" s="72"/>
      <c r="Y41" s="106"/>
      <c r="Z41" s="49"/>
      <c r="AA41" s="49"/>
      <c r="AB41" s="50"/>
      <c r="AC41" s="50"/>
      <c r="AD41" s="50"/>
      <c r="AE41" s="50"/>
      <c r="AF41" s="109"/>
      <c r="AG41" s="109"/>
      <c r="AH41" s="110"/>
      <c r="AI41" s="49"/>
      <c r="AJ41" s="52"/>
      <c r="AK41" s="52"/>
      <c r="AL41" s="53"/>
      <c r="AM41" s="111"/>
      <c r="AN41" s="111"/>
      <c r="AO41" s="103"/>
      <c r="AP41" s="105"/>
    </row>
    <row r="42" spans="1:42">
      <c r="B42" s="54" t="s">
        <v>202</v>
      </c>
      <c r="C42" s="141" t="s">
        <v>184</v>
      </c>
      <c r="D42" s="56" t="s">
        <v>172</v>
      </c>
      <c r="G42" s="132">
        <f>Circulation!L121</f>
        <v>240.26798093124549</v>
      </c>
      <c r="H42" s="112" t="s">
        <v>13</v>
      </c>
      <c r="K42" s="132">
        <f>Ps/(Zs*Rgas*Tb)</f>
        <v>184.43632035471035</v>
      </c>
      <c r="L42" s="170">
        <f>IF(K42=G42,"OK",1-G42/K42)</f>
        <v>-0.3027151076813881</v>
      </c>
      <c r="O42" s="49"/>
      <c r="X42" s="72"/>
      <c r="Y42" s="106"/>
      <c r="Z42" s="49"/>
      <c r="AA42" s="49"/>
      <c r="AB42" s="50"/>
      <c r="AC42" s="50"/>
      <c r="AD42" s="50"/>
      <c r="AE42" s="50"/>
      <c r="AF42" s="109"/>
      <c r="AG42" s="109"/>
      <c r="AH42" s="110"/>
      <c r="AI42" s="49"/>
      <c r="AJ42" s="52"/>
      <c r="AK42" s="52"/>
      <c r="AL42" s="53"/>
      <c r="AM42" s="111"/>
      <c r="AN42" s="111"/>
      <c r="AO42" s="103"/>
      <c r="AP42" s="105"/>
    </row>
    <row r="43" spans="1:42">
      <c r="A43" s="102" t="s">
        <v>193</v>
      </c>
      <c r="B43" s="142"/>
      <c r="C43" s="143"/>
      <c r="G43" s="132"/>
      <c r="H43" s="37"/>
      <c r="I43" s="115"/>
      <c r="J43" s="206"/>
      <c r="L43" s="35"/>
      <c r="N43" s="49"/>
      <c r="O43" s="49"/>
      <c r="X43" s="72"/>
      <c r="Y43" s="106"/>
      <c r="Z43" s="49"/>
      <c r="AA43" s="49"/>
      <c r="AB43" s="50"/>
      <c r="AC43" s="50"/>
      <c r="AD43" s="50"/>
      <c r="AE43" s="50"/>
      <c r="AF43" s="109"/>
      <c r="AG43" s="109"/>
      <c r="AH43" s="110"/>
      <c r="AI43" s="49"/>
      <c r="AJ43" s="52"/>
      <c r="AK43" s="52"/>
      <c r="AL43" s="53"/>
      <c r="AM43" s="111"/>
      <c r="AN43" s="111"/>
      <c r="AO43" s="103"/>
      <c r="AP43" s="105"/>
    </row>
    <row r="44" spans="1:42">
      <c r="A44" s="41"/>
      <c r="B44" s="54" t="s">
        <v>213</v>
      </c>
      <c r="C44" s="141" t="s">
        <v>183</v>
      </c>
      <c r="D44" s="56" t="s">
        <v>86</v>
      </c>
      <c r="G44" s="38">
        <f>Circulation!K119</f>
        <v>972.2972727669727</v>
      </c>
      <c r="H44" s="112" t="s">
        <v>13</v>
      </c>
      <c r="I44" s="115"/>
      <c r="J44" s="206"/>
      <c r="K44" s="132">
        <f>(-0.002516*(Tb-273)^2-0.1853*(Tb-273)+1002)*(1+Pa/1000000*(0.00000002*(Tb-273)^2-0.00000224*(Tb-273)+0.000508))*(1+Cbrine)</f>
        <v>909.89711671840496</v>
      </c>
      <c r="L44" s="170">
        <f>IF(K44=G44,"OK",1-G44/K44)</f>
        <v>-6.8579353535724419E-2</v>
      </c>
      <c r="O44" s="49"/>
      <c r="X44" s="72"/>
      <c r="Y44" s="106"/>
      <c r="Z44" s="49"/>
      <c r="AA44" s="49"/>
      <c r="AB44" s="50"/>
      <c r="AC44" s="50"/>
      <c r="AD44" s="50"/>
      <c r="AE44" s="50"/>
      <c r="AF44" s="109"/>
      <c r="AG44" s="109"/>
      <c r="AH44" s="110"/>
      <c r="AI44" s="49"/>
      <c r="AJ44" s="52"/>
      <c r="AK44" s="52"/>
      <c r="AL44" s="53"/>
      <c r="AM44" s="111"/>
      <c r="AN44" s="111"/>
      <c r="AO44" s="103"/>
      <c r="AP44" s="105"/>
    </row>
    <row r="45" spans="1:42">
      <c r="B45" s="54" t="s">
        <v>213</v>
      </c>
      <c r="C45" s="141" t="s">
        <v>186</v>
      </c>
      <c r="D45" s="56" t="s">
        <v>141</v>
      </c>
      <c r="G45" s="132">
        <f>(-0.002516*(Tb-273)^2-0.1853*(Tb-273)+1002)*(1+Pb/1000000*(0.00000002*(Tb-273)^2-0.00000224*(Tb-273)+0.000508))*(1+Cbrine)</f>
        <v>910.45198648035296</v>
      </c>
      <c r="H45" s="112" t="s">
        <v>13</v>
      </c>
      <c r="I45" s="115"/>
      <c r="J45" s="206"/>
      <c r="L45" s="35"/>
      <c r="N45" s="49"/>
      <c r="O45" s="49"/>
      <c r="X45" s="72"/>
      <c r="Y45" s="106"/>
      <c r="Z45" s="49"/>
      <c r="AA45" s="49"/>
      <c r="AB45" s="50"/>
      <c r="AC45" s="50"/>
      <c r="AD45" s="50"/>
      <c r="AE45" s="50"/>
      <c r="AF45" s="109"/>
      <c r="AG45" s="109"/>
      <c r="AH45" s="110"/>
      <c r="AI45" s="49"/>
      <c r="AJ45" s="52"/>
      <c r="AK45" s="52"/>
      <c r="AL45" s="53"/>
      <c r="AM45" s="111"/>
      <c r="AN45" s="111"/>
      <c r="AO45" s="103"/>
      <c r="AP45" s="105"/>
    </row>
    <row r="46" spans="1:42">
      <c r="B46" s="54" t="s">
        <v>213</v>
      </c>
      <c r="C46" s="141" t="s">
        <v>187</v>
      </c>
      <c r="D46" s="56" t="s">
        <v>181</v>
      </c>
      <c r="G46" s="38">
        <f>Circulation!K9</f>
        <v>1002.5532006068998</v>
      </c>
      <c r="H46" s="112" t="s">
        <v>13</v>
      </c>
      <c r="I46" s="115"/>
      <c r="J46" s="206"/>
      <c r="K46" s="132">
        <f>(-0.002516*(T0-273)^2-0.1853*(T0-273)+1002)*(1+Pchoke/1000000*(0.00000002*(T0-273)^2-0.00000224*(T0-273)+0.000508))*(1+Cbrine)</f>
        <v>1002.5532006068998</v>
      </c>
      <c r="L46" s="170" t="str">
        <f>IF(K46=G46,"OK",1-G46/K46)</f>
        <v>OK</v>
      </c>
      <c r="X46" s="72"/>
      <c r="Y46" s="106"/>
      <c r="Z46" s="49"/>
      <c r="AA46" s="49"/>
      <c r="AB46" s="50"/>
      <c r="AC46" s="50"/>
      <c r="AD46" s="50"/>
      <c r="AE46" s="50"/>
      <c r="AF46" s="109"/>
      <c r="AG46" s="109"/>
      <c r="AH46" s="110"/>
      <c r="AI46" s="49"/>
      <c r="AJ46" s="52"/>
      <c r="AK46" s="52"/>
      <c r="AL46" s="53"/>
      <c r="AM46" s="111"/>
      <c r="AN46" s="111"/>
      <c r="AO46" s="103"/>
      <c r="AP46" s="105"/>
    </row>
    <row r="47" spans="1:42">
      <c r="A47" s="41"/>
      <c r="B47" s="54" t="s">
        <v>213</v>
      </c>
      <c r="C47" s="141" t="s">
        <v>255</v>
      </c>
      <c r="D47" s="56" t="s">
        <v>229</v>
      </c>
      <c r="G47" s="132">
        <f>(-0.002516*(Tb-273)^2-0.1853*(Tb-273)+1002)*(1+Pm/1000000*(0.00000002*(Tb-273)^2-0.00000224*(Tb-273)+0.000508))*(1+Cbrine)</f>
        <v>910.67154620343558</v>
      </c>
      <c r="H47" s="112" t="s">
        <v>13</v>
      </c>
      <c r="I47" s="115"/>
      <c r="J47" s="206"/>
      <c r="K47" s="244"/>
      <c r="L47" s="46"/>
      <c r="N47" s="47"/>
      <c r="O47" s="188"/>
      <c r="X47" s="72"/>
      <c r="Y47" s="106"/>
      <c r="Z47" s="47"/>
      <c r="AA47" s="47"/>
      <c r="AB47" s="48"/>
      <c r="AC47" s="48"/>
      <c r="AD47" s="48"/>
      <c r="AE47" s="48"/>
      <c r="AF47" s="107"/>
      <c r="AG47" s="107"/>
      <c r="AH47" s="108"/>
      <c r="AI47" s="51"/>
      <c r="AK47" s="103"/>
      <c r="AL47" s="103"/>
      <c r="AM47" s="103"/>
      <c r="AN47" s="103"/>
      <c r="AO47" s="103"/>
      <c r="AP47" s="105"/>
    </row>
    <row r="48" spans="1:42">
      <c r="B48" s="54" t="s">
        <v>213</v>
      </c>
      <c r="C48" s="141" t="s">
        <v>185</v>
      </c>
      <c r="D48" s="56" t="s">
        <v>171</v>
      </c>
      <c r="G48" s="38">
        <f>Circulation!K223</f>
        <v>1023.4407878575106</v>
      </c>
      <c r="H48" s="112" t="s">
        <v>13</v>
      </c>
      <c r="I48" s="234"/>
      <c r="J48" s="38"/>
      <c r="K48" s="132">
        <f>(-0.002516*(T0-273)^2-0.1853*(T0-273)+1002)*(1+Pp/1000000*(0.00000002*(T0-273)^2-0.00000224*(T0-273)+0.000508))</f>
        <v>1023.4407878575106</v>
      </c>
      <c r="L48" s="170" t="str">
        <f>IF(K48=G48,"OK",1-G48/K48)</f>
        <v>OK</v>
      </c>
      <c r="O48" s="49"/>
      <c r="X48" s="72"/>
      <c r="Y48" s="106"/>
      <c r="Z48" s="49"/>
      <c r="AA48" s="49"/>
      <c r="AB48" s="50"/>
      <c r="AC48" s="50"/>
      <c r="AD48" s="50"/>
      <c r="AE48" s="50"/>
      <c r="AF48" s="109"/>
      <c r="AG48" s="109"/>
      <c r="AH48" s="110"/>
      <c r="AI48" s="49"/>
      <c r="AJ48" s="52"/>
      <c r="AK48" s="52"/>
      <c r="AL48" s="53"/>
      <c r="AM48" s="111"/>
      <c r="AN48" s="111"/>
      <c r="AO48" s="103"/>
      <c r="AP48" s="105"/>
    </row>
    <row r="49" spans="1:42">
      <c r="B49" s="54" t="s">
        <v>213</v>
      </c>
      <c r="C49" s="141" t="s">
        <v>382</v>
      </c>
      <c r="D49" s="56" t="s">
        <v>384</v>
      </c>
      <c r="G49" s="38">
        <f>MAX(rhowi)</f>
        <v>951.32518102968027</v>
      </c>
      <c r="H49" s="112" t="s">
        <v>13</v>
      </c>
      <c r="I49" s="115"/>
      <c r="J49" s="206"/>
      <c r="K49" s="132">
        <f>(-0.002516*(Tb-273)^2-0.1853*(Tb-273)+1002)*(1+Pa/1000000*(0.00000002*(Tb-273)^2-0.00000224*(Tb-273)+0.000508))*(1+Cbrine)</f>
        <v>909.89711671840496</v>
      </c>
      <c r="L49" s="170">
        <f>IF(K49=G49,"OK",1-G49/K49)</f>
        <v>-4.5530493008580919E-2</v>
      </c>
      <c r="M49" s="199" t="s">
        <v>383</v>
      </c>
      <c r="O49" s="49"/>
      <c r="X49" s="72"/>
      <c r="Y49" s="106"/>
      <c r="Z49" s="49"/>
      <c r="AA49" s="49"/>
      <c r="AB49" s="50"/>
      <c r="AC49" s="50"/>
      <c r="AD49" s="50"/>
      <c r="AE49" s="50"/>
      <c r="AF49" s="109"/>
      <c r="AG49" s="109"/>
      <c r="AH49" s="110"/>
      <c r="AI49" s="49"/>
      <c r="AJ49" s="52"/>
      <c r="AK49" s="52"/>
      <c r="AL49" s="53"/>
      <c r="AM49" s="111"/>
      <c r="AN49" s="111"/>
      <c r="AO49" s="103"/>
      <c r="AP49" s="105"/>
    </row>
    <row r="50" spans="1:42">
      <c r="B50" s="54" t="s">
        <v>213</v>
      </c>
      <c r="C50" s="141" t="s">
        <v>184</v>
      </c>
      <c r="D50" s="56" t="s">
        <v>173</v>
      </c>
      <c r="G50" s="38">
        <f>Circulation!K121</f>
        <v>976.38122753164862</v>
      </c>
      <c r="H50" s="112" t="s">
        <v>13</v>
      </c>
      <c r="I50" s="115"/>
      <c r="J50" s="206"/>
      <c r="K50" s="132">
        <f>(-0.002516*(Tb-273)^2-0.1853*(Tb-273)+1002)*(1+Ps/1000000*(0.00000002*(Tb-273)^2-0.00000224*(Tb-273)+0.000508))*(1+Cbrine)</f>
        <v>913.94758313004718</v>
      </c>
      <c r="L50" s="170">
        <f>IF(K50=G50,"OK",1-G50/K50)</f>
        <v>-6.831206247931787E-2</v>
      </c>
      <c r="O50" s="49"/>
      <c r="X50" s="72"/>
      <c r="Y50" s="106"/>
      <c r="Z50" s="49"/>
      <c r="AA50" s="49"/>
      <c r="AB50" s="50"/>
      <c r="AC50" s="50"/>
      <c r="AD50" s="50"/>
      <c r="AE50" s="50"/>
      <c r="AF50" s="109"/>
      <c r="AG50" s="109"/>
      <c r="AH50" s="110"/>
      <c r="AI50" s="49"/>
      <c r="AJ50" s="52"/>
      <c r="AK50" s="52"/>
      <c r="AL50" s="53"/>
      <c r="AM50" s="111"/>
      <c r="AN50" s="111"/>
      <c r="AO50" s="103"/>
      <c r="AP50" s="105"/>
    </row>
    <row r="51" spans="1:42">
      <c r="A51" s="102" t="s">
        <v>273</v>
      </c>
      <c r="B51" s="142"/>
      <c r="C51" s="143"/>
      <c r="G51" s="38"/>
      <c r="I51" s="115"/>
      <c r="J51" s="206"/>
      <c r="K51" s="132"/>
      <c r="M51" s="198"/>
      <c r="O51" s="49"/>
      <c r="X51" s="72"/>
      <c r="Y51" s="106"/>
      <c r="Z51" s="49"/>
      <c r="AA51" s="49"/>
      <c r="AB51" s="50"/>
      <c r="AC51" s="50"/>
      <c r="AD51" s="50"/>
      <c r="AE51" s="50"/>
      <c r="AF51" s="109"/>
      <c r="AG51" s="109"/>
      <c r="AH51" s="110"/>
      <c r="AI51" s="49"/>
      <c r="AJ51" s="52"/>
      <c r="AK51" s="52"/>
      <c r="AL51" s="53"/>
      <c r="AM51" s="111"/>
      <c r="AN51" s="111"/>
      <c r="AO51" s="103"/>
      <c r="AP51" s="105"/>
    </row>
    <row r="52" spans="1:42">
      <c r="B52" s="171" t="s">
        <v>281</v>
      </c>
      <c r="C52" s="172" t="s">
        <v>183</v>
      </c>
      <c r="D52" s="173" t="s">
        <v>275</v>
      </c>
      <c r="E52" s="174"/>
      <c r="F52" s="175"/>
      <c r="G52" s="169">
        <f>1-Circulation!Q119</f>
        <v>0.23395545975818166</v>
      </c>
      <c r="I52" s="115"/>
      <c r="J52" s="206"/>
      <c r="K52" s="226">
        <f>mg/rhoga/(mg/rhoga+(mw-ml)/rhowa)</f>
        <v>0.25868446895085373</v>
      </c>
      <c r="L52" s="179">
        <f>IF(K52=G52,"OK",1-G52/K52)</f>
        <v>9.5595260484579891E-2</v>
      </c>
      <c r="M52" s="199" t="s">
        <v>292</v>
      </c>
      <c r="O52" s="49"/>
      <c r="X52" s="72"/>
      <c r="Y52" s="106"/>
      <c r="Z52" s="49"/>
      <c r="AA52" s="49"/>
      <c r="AB52" s="50"/>
      <c r="AC52" s="50"/>
      <c r="AD52" s="50"/>
      <c r="AE52" s="50"/>
      <c r="AF52" s="109"/>
      <c r="AG52" s="109"/>
      <c r="AH52" s="110"/>
      <c r="AI52" s="49"/>
      <c r="AJ52" s="52"/>
      <c r="AK52" s="52"/>
      <c r="AL52" s="53"/>
      <c r="AM52" s="111"/>
      <c r="AN52" s="111"/>
      <c r="AO52" s="103"/>
      <c r="AP52" s="105"/>
    </row>
    <row r="53" spans="1:42">
      <c r="B53" s="171" t="s">
        <v>281</v>
      </c>
      <c r="C53" s="172" t="s">
        <v>186</v>
      </c>
      <c r="D53" s="173" t="s">
        <v>276</v>
      </c>
      <c r="E53" s="174"/>
      <c r="F53" s="175"/>
      <c r="G53" s="226">
        <f>mgb/rhogb/(mgb/rhogb+mwb/rhowb)</f>
        <v>0</v>
      </c>
      <c r="I53" s="115"/>
      <c r="J53" s="206"/>
      <c r="K53" s="132"/>
      <c r="M53" s="198"/>
      <c r="O53" s="49"/>
      <c r="X53" s="72"/>
      <c r="Y53" s="106"/>
      <c r="Z53" s="49"/>
      <c r="AA53" s="49"/>
      <c r="AB53" s="50"/>
      <c r="AC53" s="50"/>
      <c r="AD53" s="50"/>
      <c r="AE53" s="50"/>
      <c r="AF53" s="109"/>
      <c r="AG53" s="109"/>
      <c r="AH53" s="110"/>
      <c r="AI53" s="49"/>
      <c r="AJ53" s="52"/>
      <c r="AK53" s="52"/>
      <c r="AL53" s="53"/>
      <c r="AM53" s="111"/>
      <c r="AN53" s="111"/>
      <c r="AO53" s="103"/>
      <c r="AP53" s="105"/>
    </row>
    <row r="54" spans="1:42">
      <c r="B54" s="180" t="s">
        <v>281</v>
      </c>
      <c r="C54" s="181" t="s">
        <v>187</v>
      </c>
      <c r="D54" s="182" t="s">
        <v>277</v>
      </c>
      <c r="E54" s="177"/>
      <c r="F54" s="178"/>
      <c r="G54" s="169">
        <f>1-Circulation!Q9</f>
        <v>0.53669494827887843</v>
      </c>
      <c r="I54" s="115"/>
      <c r="J54" s="206"/>
      <c r="K54" s="245">
        <f>(mgr+mgb)/rhogc/((mgr+mgb)/rhogc+(mw-ml)/rhowc)</f>
        <v>0.64993152271579135</v>
      </c>
      <c r="L54" s="179">
        <f>IF(K54=G54,"OK",1-G54/K54)</f>
        <v>0.17422846942974046</v>
      </c>
      <c r="M54" s="199" t="s">
        <v>292</v>
      </c>
      <c r="O54" s="49"/>
      <c r="X54" s="72"/>
      <c r="Y54" s="106"/>
      <c r="Z54" s="49"/>
      <c r="AA54" s="49"/>
      <c r="AB54" s="50"/>
      <c r="AC54" s="50"/>
      <c r="AD54" s="50"/>
      <c r="AE54" s="50"/>
      <c r="AF54" s="109"/>
      <c r="AG54" s="109"/>
      <c r="AH54" s="110"/>
      <c r="AI54" s="49"/>
      <c r="AJ54" s="52"/>
      <c r="AK54" s="52"/>
      <c r="AL54" s="53"/>
      <c r="AM54" s="111"/>
      <c r="AN54" s="111"/>
      <c r="AO54" s="103"/>
      <c r="AP54" s="105"/>
    </row>
    <row r="55" spans="1:42">
      <c r="B55" s="171" t="s">
        <v>281</v>
      </c>
      <c r="C55" s="172" t="s">
        <v>255</v>
      </c>
      <c r="D55" s="173" t="s">
        <v>278</v>
      </c>
      <c r="E55" s="174"/>
      <c r="F55" s="175"/>
      <c r="G55" s="169">
        <f>mgb/rhogm/(mgb/rhogm+mwb/rhowm)</f>
        <v>0</v>
      </c>
      <c r="I55" s="115"/>
      <c r="J55" s="206"/>
      <c r="K55" s="132"/>
      <c r="M55" s="198"/>
      <c r="O55" s="49"/>
      <c r="X55" s="72"/>
      <c r="Y55" s="106"/>
      <c r="Z55" s="49"/>
      <c r="AA55" s="49"/>
      <c r="AB55" s="50"/>
      <c r="AC55" s="50"/>
      <c r="AD55" s="50"/>
      <c r="AE55" s="50"/>
      <c r="AF55" s="109"/>
      <c r="AG55" s="109"/>
      <c r="AH55" s="110"/>
      <c r="AI55" s="49"/>
      <c r="AJ55" s="52"/>
      <c r="AK55" s="52"/>
      <c r="AL55" s="53"/>
      <c r="AM55" s="111"/>
      <c r="AN55" s="111"/>
      <c r="AO55" s="103"/>
      <c r="AP55" s="105"/>
    </row>
    <row r="56" spans="1:42">
      <c r="B56" s="171" t="s">
        <v>281</v>
      </c>
      <c r="C56" s="172" t="s">
        <v>185</v>
      </c>
      <c r="D56" s="173" t="s">
        <v>280</v>
      </c>
      <c r="E56" s="174"/>
      <c r="F56" s="175"/>
      <c r="G56" s="169">
        <f>Circulation!M223</f>
        <v>0.13529933918170095</v>
      </c>
      <c r="I56" s="115"/>
      <c r="J56" s="206"/>
      <c r="K56" s="226">
        <f>mg/rhogp/(mg/rhogp+mw/rhowp)</f>
        <v>0.1112498783503296</v>
      </c>
      <c r="L56" s="170">
        <f>IF(K56=G56,"OK",1-G56/K56)</f>
        <v>-0.21617516520457492</v>
      </c>
      <c r="M56" s="198"/>
      <c r="O56" s="49"/>
      <c r="X56" s="72"/>
      <c r="Y56" s="106"/>
      <c r="Z56" s="49"/>
      <c r="AA56" s="49"/>
      <c r="AB56" s="50"/>
      <c r="AC56" s="50"/>
      <c r="AD56" s="50"/>
      <c r="AE56" s="50"/>
      <c r="AF56" s="109"/>
      <c r="AG56" s="109"/>
      <c r="AH56" s="110"/>
      <c r="AI56" s="49"/>
      <c r="AJ56" s="52"/>
      <c r="AK56" s="52"/>
      <c r="AL56" s="53"/>
      <c r="AM56" s="111"/>
      <c r="AN56" s="111"/>
      <c r="AO56" s="103"/>
      <c r="AP56" s="105"/>
    </row>
    <row r="57" spans="1:42">
      <c r="B57" s="171" t="s">
        <v>281</v>
      </c>
      <c r="C57" s="172" t="s">
        <v>225</v>
      </c>
      <c r="D57" s="173" t="s">
        <v>279</v>
      </c>
      <c r="E57" s="174"/>
      <c r="F57" s="175"/>
      <c r="G57" s="169">
        <f>(mgr/rhoga)/(mgr/rhoga+mwr/rhowa)</f>
        <v>0.99626429403806749</v>
      </c>
      <c r="I57" s="115"/>
      <c r="J57" s="206"/>
      <c r="K57" s="132"/>
      <c r="M57" s="198"/>
      <c r="O57" s="49"/>
      <c r="X57" s="72"/>
      <c r="Y57" s="106"/>
      <c r="Z57" s="49"/>
      <c r="AA57" s="49"/>
      <c r="AB57" s="50"/>
      <c r="AC57" s="50"/>
      <c r="AD57" s="50"/>
      <c r="AE57" s="50"/>
      <c r="AF57" s="109"/>
      <c r="AG57" s="109"/>
      <c r="AH57" s="110"/>
      <c r="AI57" s="49"/>
      <c r="AJ57" s="52"/>
      <c r="AK57" s="52"/>
      <c r="AL57" s="53"/>
      <c r="AM57" s="111"/>
      <c r="AN57" s="111"/>
      <c r="AO57" s="103"/>
      <c r="AP57" s="105"/>
    </row>
    <row r="58" spans="1:42">
      <c r="B58" s="171" t="s">
        <v>281</v>
      </c>
      <c r="C58" s="172" t="s">
        <v>184</v>
      </c>
      <c r="D58" s="173" t="s">
        <v>274</v>
      </c>
      <c r="E58" s="174"/>
      <c r="F58" s="175"/>
      <c r="G58" s="169">
        <f>Circulation!M121</f>
        <v>0.20691655188040078</v>
      </c>
      <c r="I58" s="115"/>
      <c r="J58" s="206"/>
      <c r="K58" s="226">
        <f>mg/rhogs/(mg/rhogs+mw/rhows)</f>
        <v>0.17267928181937023</v>
      </c>
      <c r="L58" s="170">
        <f>IF(K58=G58,"OK",1-G58/K58)</f>
        <v>-0.19827086202989985</v>
      </c>
      <c r="M58" s="198"/>
      <c r="O58" s="49"/>
      <c r="X58" s="72"/>
      <c r="Y58" s="106"/>
      <c r="Z58" s="49"/>
      <c r="AA58" s="49"/>
      <c r="AB58" s="50"/>
      <c r="AC58" s="50"/>
      <c r="AD58" s="50"/>
      <c r="AE58" s="50"/>
      <c r="AF58" s="109"/>
      <c r="AG58" s="109"/>
      <c r="AH58" s="110"/>
      <c r="AI58" s="49"/>
      <c r="AJ58" s="52"/>
      <c r="AK58" s="52"/>
      <c r="AL58" s="53"/>
      <c r="AM58" s="111"/>
      <c r="AN58" s="111"/>
      <c r="AO58" s="103"/>
      <c r="AP58" s="105"/>
    </row>
    <row r="59" spans="1:42">
      <c r="A59" s="102" t="s">
        <v>210</v>
      </c>
      <c r="B59" s="142"/>
      <c r="C59" s="143"/>
      <c r="G59" s="169"/>
      <c r="H59" s="37"/>
      <c r="I59" s="115"/>
      <c r="J59" s="206"/>
      <c r="K59" s="244"/>
      <c r="L59" s="43"/>
      <c r="M59" s="200"/>
      <c r="N59" s="47"/>
      <c r="O59" s="47"/>
      <c r="X59" s="72"/>
      <c r="Y59" s="106"/>
      <c r="Z59" s="47"/>
      <c r="AA59" s="47"/>
      <c r="AB59" s="48"/>
      <c r="AC59" s="48"/>
      <c r="AD59" s="48"/>
      <c r="AE59" s="48"/>
      <c r="AF59" s="107"/>
      <c r="AG59" s="107"/>
      <c r="AH59" s="108"/>
      <c r="AI59" s="51"/>
      <c r="AK59" s="103"/>
      <c r="AL59" s="103"/>
      <c r="AM59" s="103"/>
      <c r="AN59" s="103"/>
      <c r="AO59" s="103"/>
      <c r="AP59" s="105"/>
    </row>
    <row r="60" spans="1:42">
      <c r="B60" s="171" t="s">
        <v>203</v>
      </c>
      <c r="C60" s="172" t="s">
        <v>183</v>
      </c>
      <c r="D60" s="173" t="s">
        <v>179</v>
      </c>
      <c r="E60" s="174"/>
      <c r="F60" s="175"/>
      <c r="G60" s="132">
        <f>Circulation!R119</f>
        <v>786.67517186751979</v>
      </c>
      <c r="H60" s="112" t="s">
        <v>13</v>
      </c>
      <c r="I60" s="115"/>
      <c r="J60" s="206"/>
      <c r="K60" s="227">
        <f>fga*rhoga+(1-fga)*rhowa</f>
        <v>786.67517186751979</v>
      </c>
      <c r="L60" s="179" t="str">
        <f>IF(K60=G60,"OK",1-G60/K60)</f>
        <v>OK</v>
      </c>
      <c r="M60" s="197"/>
      <c r="N60" s="49"/>
      <c r="O60" s="49"/>
      <c r="X60" s="72"/>
      <c r="Y60" s="106"/>
      <c r="Z60" s="49"/>
      <c r="AA60" s="49"/>
      <c r="AB60" s="50"/>
      <c r="AC60" s="50"/>
      <c r="AD60" s="50"/>
      <c r="AE60" s="50"/>
      <c r="AF60" s="109"/>
      <c r="AG60" s="109"/>
      <c r="AH60" s="110"/>
      <c r="AI60" s="49"/>
      <c r="AJ60" s="52"/>
      <c r="AK60" s="52"/>
      <c r="AL60" s="53"/>
      <c r="AM60" s="111"/>
      <c r="AN60" s="111"/>
      <c r="AO60" s="103"/>
      <c r="AP60" s="105"/>
    </row>
    <row r="61" spans="1:42">
      <c r="B61" s="54" t="s">
        <v>203</v>
      </c>
      <c r="C61" s="141" t="s">
        <v>186</v>
      </c>
      <c r="D61" s="56" t="s">
        <v>178</v>
      </c>
      <c r="G61" s="132">
        <f>53:53*rhogb+(1-53:53)*rhowb</f>
        <v>910.45198648035296</v>
      </c>
      <c r="H61" s="112" t="s">
        <v>13</v>
      </c>
      <c r="I61" s="115"/>
      <c r="J61" s="206"/>
      <c r="M61" s="197"/>
      <c r="N61" s="49"/>
      <c r="O61" s="49"/>
      <c r="X61" s="72"/>
      <c r="Y61" s="106"/>
      <c r="Z61" s="49"/>
      <c r="AA61" s="49"/>
      <c r="AB61" s="50"/>
      <c r="AC61" s="50"/>
      <c r="AD61" s="50"/>
      <c r="AE61" s="50"/>
      <c r="AF61" s="109"/>
      <c r="AG61" s="109"/>
      <c r="AH61" s="110"/>
      <c r="AI61" s="49"/>
      <c r="AJ61" s="52"/>
      <c r="AK61" s="52"/>
      <c r="AL61" s="53"/>
      <c r="AM61" s="111"/>
      <c r="AN61" s="111"/>
      <c r="AO61" s="103"/>
      <c r="AP61" s="105"/>
    </row>
    <row r="62" spans="1:42">
      <c r="B62" s="171" t="s">
        <v>203</v>
      </c>
      <c r="C62" s="172" t="s">
        <v>187</v>
      </c>
      <c r="D62" s="176" t="s">
        <v>176</v>
      </c>
      <c r="E62" s="174"/>
      <c r="F62" s="175"/>
      <c r="G62" s="132">
        <f>Circulation!R9</f>
        <v>483.09482562166863</v>
      </c>
      <c r="H62" s="112" t="s">
        <v>13</v>
      </c>
      <c r="I62" s="115"/>
      <c r="J62" s="206"/>
      <c r="K62" s="227">
        <f>fgc*rhogc+(1-fgc)*rhowc</f>
        <v>483.09482562166863</v>
      </c>
      <c r="L62" s="183" t="str">
        <f>IF(K62=G62,"OK",1-G62/K62)</f>
        <v>OK</v>
      </c>
      <c r="M62" s="197"/>
      <c r="N62" s="49"/>
      <c r="O62" s="49"/>
      <c r="X62" s="72"/>
      <c r="Y62" s="106"/>
      <c r="Z62" s="49"/>
      <c r="AA62" s="49"/>
      <c r="AB62" s="50"/>
      <c r="AC62" s="50"/>
      <c r="AD62" s="50"/>
      <c r="AE62" s="50"/>
      <c r="AF62" s="109"/>
      <c r="AG62" s="109"/>
      <c r="AH62" s="110"/>
      <c r="AI62" s="49"/>
      <c r="AJ62" s="52"/>
      <c r="AK62" s="52"/>
      <c r="AL62" s="53"/>
      <c r="AM62" s="111"/>
      <c r="AN62" s="111"/>
      <c r="AO62" s="103"/>
      <c r="AP62" s="105"/>
    </row>
    <row r="63" spans="1:42">
      <c r="B63" s="54" t="s">
        <v>203</v>
      </c>
      <c r="C63" s="141" t="s">
        <v>255</v>
      </c>
      <c r="D63" s="56" t="s">
        <v>231</v>
      </c>
      <c r="G63" s="132">
        <f>55:55*rhogm+(1-55:55)*rhowm</f>
        <v>910.67154620343558</v>
      </c>
      <c r="H63" s="112" t="s">
        <v>13</v>
      </c>
      <c r="I63" s="115"/>
      <c r="J63" s="206"/>
      <c r="M63" s="197"/>
      <c r="N63" s="49"/>
      <c r="O63" s="49"/>
      <c r="X63" s="72"/>
      <c r="Y63" s="106"/>
      <c r="Z63" s="49"/>
      <c r="AA63" s="49"/>
      <c r="AB63" s="50"/>
      <c r="AC63" s="50"/>
      <c r="AD63" s="50"/>
      <c r="AE63" s="50"/>
      <c r="AF63" s="109"/>
      <c r="AG63" s="109"/>
      <c r="AH63" s="110"/>
      <c r="AI63" s="49"/>
      <c r="AJ63" s="52"/>
      <c r="AK63" s="52"/>
      <c r="AL63" s="53"/>
      <c r="AM63" s="111"/>
      <c r="AN63" s="111"/>
      <c r="AO63" s="103"/>
      <c r="AP63" s="105"/>
    </row>
    <row r="64" spans="1:42">
      <c r="B64" s="54" t="s">
        <v>203</v>
      </c>
      <c r="C64" s="141" t="s">
        <v>225</v>
      </c>
      <c r="D64" s="56" t="s">
        <v>226</v>
      </c>
      <c r="G64" s="132">
        <f>MIN(rhomi)</f>
        <v>169.19583486922787</v>
      </c>
      <c r="H64" s="112" t="s">
        <v>13</v>
      </c>
      <c r="I64" s="115"/>
      <c r="J64" s="206"/>
      <c r="K64" s="132">
        <f>fgr*rhoga+(1-fgr)*rhowa</f>
        <v>181.85335022889569</v>
      </c>
      <c r="L64" s="170">
        <f>IF(K64=G64,"OK",1-G64/K64)</f>
        <v>6.9602871455136994E-2</v>
      </c>
      <c r="M64" s="197"/>
      <c r="N64" s="49"/>
      <c r="O64" s="49"/>
      <c r="X64" s="72"/>
      <c r="Y64" s="106"/>
      <c r="Z64" s="49"/>
      <c r="AA64" s="49"/>
      <c r="AB64" s="50"/>
      <c r="AC64" s="50"/>
      <c r="AD64" s="50"/>
      <c r="AE64" s="50"/>
      <c r="AF64" s="109"/>
      <c r="AG64" s="109"/>
      <c r="AH64" s="110"/>
      <c r="AI64" s="49"/>
      <c r="AJ64" s="52"/>
      <c r="AK64" s="52"/>
      <c r="AL64" s="53"/>
      <c r="AM64" s="111"/>
      <c r="AN64" s="111"/>
      <c r="AO64" s="103"/>
      <c r="AP64" s="105"/>
    </row>
    <row r="65" spans="1:42">
      <c r="B65" s="54" t="s">
        <v>203</v>
      </c>
      <c r="C65" s="141" t="s">
        <v>185</v>
      </c>
      <c r="D65" s="56" t="s">
        <v>180</v>
      </c>
      <c r="G65" s="132">
        <f>Circulation!R223</f>
        <v>941.78732299170463</v>
      </c>
      <c r="H65" s="112" t="s">
        <v>13</v>
      </c>
      <c r="I65" s="115"/>
      <c r="J65" s="206"/>
      <c r="K65" s="227">
        <f>fgp*rhogp+(1-fgp)*rhowp</f>
        <v>941.78732299170463</v>
      </c>
      <c r="L65" s="170" t="str">
        <f>IF(K65=G65,"OK",1-G65/K65)</f>
        <v>OK</v>
      </c>
      <c r="M65" s="197"/>
      <c r="N65" s="49"/>
      <c r="O65" s="49"/>
      <c r="X65" s="72"/>
      <c r="Y65" s="106"/>
      <c r="Z65" s="49"/>
      <c r="AA65" s="49"/>
      <c r="AB65" s="50"/>
      <c r="AC65" s="50"/>
      <c r="AD65" s="50"/>
      <c r="AE65" s="50"/>
      <c r="AF65" s="109"/>
      <c r="AG65" s="109"/>
      <c r="AH65" s="110"/>
      <c r="AI65" s="49"/>
      <c r="AJ65" s="52"/>
      <c r="AK65" s="52"/>
      <c r="AL65" s="53"/>
      <c r="AM65" s="111"/>
      <c r="AN65" s="111"/>
      <c r="AO65" s="103"/>
      <c r="AP65" s="105"/>
    </row>
    <row r="66" spans="1:42">
      <c r="B66" s="54" t="s">
        <v>203</v>
      </c>
      <c r="C66" s="141" t="s">
        <v>406</v>
      </c>
      <c r="D66" s="56" t="s">
        <v>177</v>
      </c>
      <c r="G66" s="132">
        <f>Circulation!R121</f>
        <v>824.06721275160601</v>
      </c>
      <c r="H66" s="112" t="s">
        <v>13</v>
      </c>
      <c r="I66" s="115"/>
      <c r="J66" s="206"/>
      <c r="K66" s="227">
        <f>fgs*rhogs+(1-fgs)*rhows</f>
        <v>824.06721275160601</v>
      </c>
      <c r="L66" s="170" t="str">
        <f>IF(K66=G66,"OK",1-G66/K66)</f>
        <v>OK</v>
      </c>
      <c r="M66" s="197"/>
      <c r="N66" s="49"/>
      <c r="O66" s="49"/>
      <c r="X66" s="72"/>
      <c r="Y66" s="106"/>
      <c r="Z66" s="49"/>
      <c r="AA66" s="49"/>
      <c r="AB66" s="50"/>
      <c r="AC66" s="50"/>
      <c r="AD66" s="50"/>
      <c r="AE66" s="50"/>
      <c r="AF66" s="109"/>
      <c r="AG66" s="109"/>
      <c r="AH66" s="110"/>
      <c r="AI66" s="49"/>
      <c r="AJ66" s="52"/>
      <c r="AK66" s="52"/>
      <c r="AL66" s="53"/>
      <c r="AM66" s="111"/>
      <c r="AN66" s="111"/>
      <c r="AO66" s="103"/>
      <c r="AP66" s="105"/>
    </row>
    <row r="67" spans="1:42">
      <c r="A67" s="102" t="s">
        <v>211</v>
      </c>
      <c r="B67" s="142"/>
      <c r="C67" s="143"/>
      <c r="G67" s="132"/>
      <c r="H67" s="37"/>
      <c r="I67" s="115"/>
      <c r="J67" s="206"/>
      <c r="M67" s="197"/>
      <c r="N67" s="49"/>
      <c r="O67" s="49"/>
      <c r="X67" s="72"/>
      <c r="Y67" s="106"/>
      <c r="Z67" s="49"/>
      <c r="AA67" s="49"/>
      <c r="AB67" s="50"/>
      <c r="AC67" s="50"/>
      <c r="AD67" s="50"/>
      <c r="AE67" s="50"/>
      <c r="AF67" s="109"/>
      <c r="AG67" s="109"/>
      <c r="AH67" s="110"/>
      <c r="AI67" s="49"/>
      <c r="AJ67" s="52"/>
      <c r="AK67" s="52"/>
      <c r="AL67" s="53"/>
      <c r="AM67" s="111"/>
      <c r="AN67" s="111"/>
      <c r="AO67" s="103"/>
      <c r="AP67" s="105"/>
    </row>
    <row r="68" spans="1:42">
      <c r="B68" s="41" t="s">
        <v>239</v>
      </c>
      <c r="C68" s="36" t="s">
        <v>238</v>
      </c>
      <c r="D68" s="56" t="s">
        <v>51</v>
      </c>
      <c r="G68" s="164">
        <f>Qo*rhowo</f>
        <v>10.569752008047764</v>
      </c>
      <c r="H68" s="37" t="s">
        <v>26</v>
      </c>
      <c r="I68" s="115"/>
      <c r="J68" s="206"/>
      <c r="K68" s="164">
        <f>mwr+mwb</f>
        <v>10.569752008047766</v>
      </c>
      <c r="L68" s="170" t="str">
        <f>IF(K68=G68,"OK",1-G68/K68)</f>
        <v>OK</v>
      </c>
      <c r="M68" s="422" t="s">
        <v>490</v>
      </c>
      <c r="N68" s="49"/>
      <c r="O68" s="49"/>
      <c r="X68" s="72"/>
      <c r="Y68" s="106"/>
      <c r="Z68" s="49"/>
      <c r="AA68" s="49"/>
      <c r="AB68" s="50"/>
      <c r="AC68" s="50"/>
      <c r="AD68" s="50"/>
      <c r="AE68" s="50"/>
      <c r="AF68" s="109"/>
      <c r="AG68" s="109"/>
      <c r="AH68" s="110"/>
      <c r="AI68" s="49"/>
      <c r="AJ68" s="52"/>
      <c r="AK68" s="52"/>
      <c r="AL68" s="53"/>
      <c r="AM68" s="111"/>
      <c r="AN68" s="111"/>
      <c r="AO68" s="103"/>
      <c r="AP68" s="105"/>
    </row>
    <row r="69" spans="1:42">
      <c r="B69" s="54" t="s">
        <v>236</v>
      </c>
      <c r="C69" s="36" t="s">
        <v>238</v>
      </c>
      <c r="D69" s="138" t="s">
        <v>25</v>
      </c>
      <c r="E69" s="150">
        <f>mg/mwt</f>
        <v>19.388739602548505</v>
      </c>
      <c r="F69" s="36" t="s">
        <v>43</v>
      </c>
      <c r="G69" s="164">
        <f>Qg*rhogo</f>
        <v>0.54288470887135809</v>
      </c>
      <c r="H69" s="37" t="s">
        <v>26</v>
      </c>
      <c r="K69" s="246"/>
      <c r="L69" s="58"/>
      <c r="M69" s="422" t="s">
        <v>490</v>
      </c>
    </row>
    <row r="70" spans="1:42">
      <c r="B70" s="54" t="s">
        <v>237</v>
      </c>
      <c r="C70" s="36" t="s">
        <v>238</v>
      </c>
      <c r="D70" s="176" t="s">
        <v>477</v>
      </c>
      <c r="E70" s="148"/>
      <c r="F70" s="36"/>
      <c r="G70" s="164">
        <f>mg+mw</f>
        <v>11.112636716919123</v>
      </c>
      <c r="H70" s="37" t="s">
        <v>26</v>
      </c>
      <c r="I70" s="227"/>
      <c r="K70" s="246"/>
      <c r="L70" s="58"/>
      <c r="M70" s="284" t="s">
        <v>386</v>
      </c>
    </row>
    <row r="71" spans="1:42">
      <c r="B71" s="54" t="s">
        <v>234</v>
      </c>
      <c r="C71" s="141" t="s">
        <v>235</v>
      </c>
      <c r="D71" s="138" t="s">
        <v>233</v>
      </c>
      <c r="E71" s="148"/>
      <c r="F71" s="36"/>
      <c r="G71" s="164">
        <f>70:70-ml</f>
        <v>8.9986863153095697</v>
      </c>
      <c r="H71" s="37" t="s">
        <v>26</v>
      </c>
      <c r="I71" s="227"/>
      <c r="K71" s="232">
        <f>mw+mg-ml</f>
        <v>8.9986863153095697</v>
      </c>
      <c r="L71" s="170" t="str">
        <f t="shared" ref="L71:L77" si="0">IF(K71=G71,"OK",1-G71/K71)</f>
        <v>OK</v>
      </c>
      <c r="M71" s="201"/>
    </row>
    <row r="72" spans="1:42">
      <c r="B72" s="54" t="s">
        <v>269</v>
      </c>
      <c r="C72" s="141" t="s">
        <v>270</v>
      </c>
      <c r="D72" s="56" t="s">
        <v>222</v>
      </c>
      <c r="G72" s="184">
        <f>IF(mr&gt;=mg,mr-mg,0)</f>
        <v>1.1064203649824522E-2</v>
      </c>
      <c r="H72" s="37" t="s">
        <v>26</v>
      </c>
      <c r="I72" s="164"/>
      <c r="K72" s="164">
        <f>IF(mr&gt;=mg,mw-mwb,0)</f>
        <v>1.1064203649823412E-2</v>
      </c>
      <c r="L72" s="285">
        <f t="shared" si="0"/>
        <v>-1.0036416142611415E-13</v>
      </c>
      <c r="M72" s="164">
        <f>IF(mr&gt;=mg,(Ag-Agss)*SQRT(2*rhowr*(Ps-Pa)),0)</f>
        <v>7.0367990889169424E-2</v>
      </c>
      <c r="N72" s="185"/>
      <c r="P72" s="184"/>
    </row>
    <row r="73" spans="1:42">
      <c r="B73" s="54" t="s">
        <v>269</v>
      </c>
      <c r="C73" s="141" t="s">
        <v>272</v>
      </c>
      <c r="D73" s="56" t="s">
        <v>224</v>
      </c>
      <c r="G73" s="164">
        <f>MAX(IF(mr&gt;=mg,mb,mw),0)</f>
        <v>10.558687804397941</v>
      </c>
      <c r="H73" s="37" t="s">
        <v>26</v>
      </c>
      <c r="I73" s="164"/>
      <c r="K73" s="164">
        <f>IF(mr&gt;=mg,mw-mwr,mw)</f>
        <v>10.558687804397939</v>
      </c>
      <c r="L73" s="285" t="str">
        <f t="shared" si="0"/>
        <v>OK</v>
      </c>
      <c r="M73" s="164">
        <f>IF(mr&gt;=mg,Aw*SQRT(2*rhowm*(Ps-Pm)),mw)</f>
        <v>20.691354330650025</v>
      </c>
      <c r="P73" s="184"/>
    </row>
    <row r="74" spans="1:42">
      <c r="B74" s="54" t="s">
        <v>271</v>
      </c>
      <c r="C74" s="141" t="s">
        <v>270</v>
      </c>
      <c r="D74" s="56" t="s">
        <v>221</v>
      </c>
      <c r="G74" s="164">
        <f>IF(mr&gt;=mg,mg,mr)</f>
        <v>0.54288470887135809</v>
      </c>
      <c r="H74" s="37" t="s">
        <v>26</v>
      </c>
      <c r="I74" s="164"/>
      <c r="K74" s="247">
        <f>IF(mr&gt;=mg,mg,mg-mgb)</f>
        <v>0.54288470887135809</v>
      </c>
      <c r="L74" s="285" t="str">
        <f t="shared" si="0"/>
        <v>OK</v>
      </c>
      <c r="M74" s="164">
        <f>IF(mr&gt;=mg,mg,Ag*SQRT(2*rhogr*(Ps-Pa)))</f>
        <v>0.54288470887135809</v>
      </c>
      <c r="N74" s="184"/>
      <c r="P74" s="184"/>
    </row>
    <row r="75" spans="1:42">
      <c r="B75" s="54" t="s">
        <v>271</v>
      </c>
      <c r="C75" s="141" t="s">
        <v>272</v>
      </c>
      <c r="D75" s="56" t="s">
        <v>223</v>
      </c>
      <c r="G75" s="184">
        <f>IF(mr&gt;=mg,0,mg-mr)</f>
        <v>0</v>
      </c>
      <c r="H75" s="37" t="s">
        <v>26</v>
      </c>
      <c r="I75" s="184"/>
      <c r="K75" s="247">
        <f>IF(mr&gt;=mg,0,mg-mgr)</f>
        <v>0</v>
      </c>
      <c r="L75" s="285" t="str">
        <f t="shared" si="0"/>
        <v>OK</v>
      </c>
      <c r="M75" s="164">
        <f>IF(mr&gt;=mg,0,(Agss-Ag)*SQRT(2*rhogm*(Ps-Pm)))</f>
        <v>0</v>
      </c>
    </row>
    <row r="76" spans="1:42">
      <c r="B76" s="54" t="s">
        <v>379</v>
      </c>
      <c r="C76" s="36" t="s">
        <v>227</v>
      </c>
      <c r="D76" s="283" t="s">
        <v>375</v>
      </c>
      <c r="E76" s="148"/>
      <c r="F76" s="36">
        <f>mr</f>
        <v>0.55394891252118261</v>
      </c>
      <c r="G76" s="164">
        <f>Ag*SQRT(2*rhomr*(Ps-Pa))</f>
        <v>0.56914795004824847</v>
      </c>
      <c r="H76" s="37" t="s">
        <v>26</v>
      </c>
      <c r="I76" s="232"/>
      <c r="K76" s="232">
        <f>mr</f>
        <v>0.55394891252118261</v>
      </c>
      <c r="L76" s="170">
        <f t="shared" si="0"/>
        <v>-2.7437615966950046E-2</v>
      </c>
      <c r="M76" s="232">
        <f>mgr+mwr</f>
        <v>0.55394891252118261</v>
      </c>
    </row>
    <row r="77" spans="1:42">
      <c r="B77" s="54" t="s">
        <v>232</v>
      </c>
      <c r="C77" s="141" t="s">
        <v>228</v>
      </c>
      <c r="D77" s="138" t="s">
        <v>214</v>
      </c>
      <c r="E77" s="148"/>
      <c r="F77" s="36"/>
      <c r="G77" s="164">
        <f>mw+mg-mr</f>
        <v>10.558687804397941</v>
      </c>
      <c r="H77" s="37" t="s">
        <v>26</v>
      </c>
      <c r="I77" s="164"/>
      <c r="K77" s="232">
        <f>mgb+mwb</f>
        <v>10.558687804397941</v>
      </c>
      <c r="L77" s="170" t="str">
        <f t="shared" si="0"/>
        <v>OK</v>
      </c>
      <c r="M77" s="164">
        <f>Aw*SQRT(2*rhomm*(Ps-Pm))</f>
        <v>20.691354330650025</v>
      </c>
    </row>
    <row r="78" spans="1:42">
      <c r="B78" s="54" t="s">
        <v>284</v>
      </c>
      <c r="C78" s="141" t="s">
        <v>283</v>
      </c>
      <c r="D78" s="138" t="s">
        <v>282</v>
      </c>
      <c r="E78" s="148"/>
      <c r="F78" s="36"/>
      <c r="G78" s="164">
        <f>flost*mw</f>
        <v>2.1139504016095532</v>
      </c>
      <c r="H78" s="37" t="s">
        <v>26</v>
      </c>
      <c r="K78" s="227"/>
      <c r="L78" s="44"/>
      <c r="M78" s="201"/>
    </row>
    <row r="79" spans="1:42">
      <c r="B79" s="54"/>
      <c r="C79" s="171" t="s">
        <v>482</v>
      </c>
      <c r="D79" s="176" t="s">
        <v>483</v>
      </c>
      <c r="E79" s="148"/>
      <c r="F79" s="36"/>
      <c r="G79" s="271">
        <f>mb/rhomm</f>
        <v>1.159439739653316E-2</v>
      </c>
      <c r="H79" s="175" t="s">
        <v>1</v>
      </c>
      <c r="I79" s="207">
        <f>Qb*15850.37</f>
        <v>183.7754886620873</v>
      </c>
      <c r="J79" s="172" t="s">
        <v>143</v>
      </c>
      <c r="K79" s="227"/>
      <c r="L79" s="44"/>
      <c r="M79" s="420" t="s">
        <v>484</v>
      </c>
    </row>
    <row r="80" spans="1:42">
      <c r="A80" s="102" t="s">
        <v>479</v>
      </c>
      <c r="B80" s="142"/>
      <c r="C80" s="143"/>
      <c r="D80" s="138"/>
      <c r="E80" s="148"/>
      <c r="F80" s="36"/>
      <c r="G80" s="164"/>
      <c r="H80" s="37"/>
      <c r="I80" s="227"/>
      <c r="L80" s="44"/>
      <c r="M80" s="201"/>
    </row>
    <row r="81" spans="1:42">
      <c r="A81" s="34"/>
      <c r="B81" s="41" t="s">
        <v>241</v>
      </c>
      <c r="C81" s="34" t="s">
        <v>400</v>
      </c>
      <c r="D81" s="56" t="s">
        <v>401</v>
      </c>
      <c r="E81" s="155">
        <f>G81/1000000</f>
        <v>2.6055242708663844</v>
      </c>
      <c r="F81" s="42" t="s">
        <v>48</v>
      </c>
      <c r="G81" s="151">
        <f>mx^2/(2*rhoms*Av^2)</f>
        <v>2605524.2708663843</v>
      </c>
      <c r="H81" s="37" t="s">
        <v>3</v>
      </c>
      <c r="I81" s="132">
        <f>G81/6895</f>
        <v>377.88604363544368</v>
      </c>
      <c r="J81" s="206" t="s">
        <v>2</v>
      </c>
      <c r="K81" s="151">
        <f>Pv-Ps</f>
        <v>2605524.2708663829</v>
      </c>
      <c r="L81" s="168" t="str">
        <f>IF(K81=G81,"OK",1-G81/K81)</f>
        <v>OK</v>
      </c>
      <c r="M81" s="201"/>
    </row>
    <row r="82" spans="1:42">
      <c r="B82" s="54" t="s">
        <v>240</v>
      </c>
      <c r="C82" s="141" t="s">
        <v>228</v>
      </c>
      <c r="D82" s="138" t="s">
        <v>216</v>
      </c>
      <c r="E82" s="155">
        <f>G82/1000000</f>
        <v>1.3394991769528284</v>
      </c>
      <c r="F82" s="42" t="s">
        <v>48</v>
      </c>
      <c r="G82" s="151">
        <f>mb^2/(2*rhomm*Aw^2)</f>
        <v>1339499.1769528284</v>
      </c>
      <c r="H82" s="112" t="s">
        <v>3</v>
      </c>
      <c r="I82" s="132">
        <f>G82/6895</f>
        <v>194.27109165378224</v>
      </c>
      <c r="J82" s="225" t="s">
        <v>2</v>
      </c>
      <c r="K82" s="151">
        <f>Ps-Pm</f>
        <v>5143993.2360635586</v>
      </c>
      <c r="L82" s="170">
        <f>IF(K82=G82,"OK",1-G82/K82)</f>
        <v>0.73959935103299623</v>
      </c>
      <c r="M82" s="201"/>
    </row>
    <row r="83" spans="1:42">
      <c r="B83" s="54" t="s">
        <v>241</v>
      </c>
      <c r="C83" s="172" t="s">
        <v>480</v>
      </c>
      <c r="D83" s="176" t="s">
        <v>481</v>
      </c>
      <c r="E83" s="135">
        <f>I83/145</f>
        <v>3.6664202781031188</v>
      </c>
      <c r="F83" s="42" t="s">
        <v>48</v>
      </c>
      <c r="G83" s="421">
        <f>IF('Circ Model'!H14="none",0,0.5*rhomm*(Qb/AHPeq)^2)</f>
        <v>3665595.3335405453</v>
      </c>
      <c r="H83" s="112" t="s">
        <v>3</v>
      </c>
      <c r="I83" s="421">
        <f>dPhp/6895</f>
        <v>531.63094032495223</v>
      </c>
      <c r="J83" s="172" t="s">
        <v>2</v>
      </c>
      <c r="K83" s="151"/>
      <c r="L83" s="201"/>
      <c r="M83" s="420" t="s">
        <v>488</v>
      </c>
      <c r="R83" s="421"/>
    </row>
    <row r="84" spans="1:42">
      <c r="B84" s="54" t="s">
        <v>241</v>
      </c>
      <c r="C84" s="36" t="s">
        <v>388</v>
      </c>
      <c r="D84" s="138" t="s">
        <v>389</v>
      </c>
      <c r="E84" s="155">
        <f>G84/1000000</f>
        <v>0.34475</v>
      </c>
      <c r="F84" s="42" t="s">
        <v>48</v>
      </c>
      <c r="G84" s="151">
        <f>'Circ Model'!F19</f>
        <v>344750</v>
      </c>
      <c r="H84" s="112" t="s">
        <v>3</v>
      </c>
      <c r="I84" s="132">
        <f>dPm0/6895</f>
        <v>50</v>
      </c>
      <c r="J84" s="225" t="s">
        <v>2</v>
      </c>
      <c r="K84" s="151"/>
      <c r="L84" s="201"/>
      <c r="M84" s="201"/>
      <c r="O84" s="335">
        <f>mwr/mw</f>
        <v>1.0467798715996634E-3</v>
      </c>
    </row>
    <row r="85" spans="1:42">
      <c r="B85" s="54" t="s">
        <v>241</v>
      </c>
      <c r="C85" s="36" t="s">
        <v>421</v>
      </c>
      <c r="D85" s="138" t="s">
        <v>290</v>
      </c>
      <c r="E85" s="155">
        <f>I85/145</f>
        <v>0.34482758620689657</v>
      </c>
      <c r="F85" s="42" t="s">
        <v>48</v>
      </c>
      <c r="G85" s="151">
        <f>'Circ Model'!F20</f>
        <v>5171250</v>
      </c>
      <c r="H85" s="112" t="s">
        <v>3</v>
      </c>
      <c r="I85" s="132">
        <f>dPm/6895</f>
        <v>50</v>
      </c>
      <c r="J85" s="225" t="s">
        <v>2</v>
      </c>
      <c r="K85" s="151"/>
      <c r="L85" s="201"/>
      <c r="M85" s="201"/>
      <c r="O85" s="334">
        <f>mgb/mg</f>
        <v>0</v>
      </c>
    </row>
    <row r="86" spans="1:42">
      <c r="B86" s="54" t="s">
        <v>390</v>
      </c>
      <c r="C86" s="36" t="s">
        <v>387</v>
      </c>
      <c r="D86" s="138" t="s">
        <v>102</v>
      </c>
      <c r="E86" s="155">
        <f>G86/1000000</f>
        <v>0.34475</v>
      </c>
      <c r="F86" s="42" t="s">
        <v>48</v>
      </c>
      <c r="G86" s="151">
        <f>IF('Circ Model'!H25="ON BOTTOM",Ppm+dPm0,dPm0)</f>
        <v>344750</v>
      </c>
      <c r="H86" s="112" t="s">
        <v>3</v>
      </c>
      <c r="I86" s="132">
        <f>E86*145</f>
        <v>49.988750000000003</v>
      </c>
      <c r="J86" s="225" t="s">
        <v>2</v>
      </c>
      <c r="K86" s="151">
        <f>Pm-Pb</f>
        <v>344750</v>
      </c>
      <c r="L86" s="170" t="str">
        <f>IF(K86=G86,"OK",1-G86/K86)</f>
        <v>OK</v>
      </c>
      <c r="M86" s="201"/>
    </row>
    <row r="87" spans="1:42">
      <c r="B87" s="54" t="s">
        <v>241</v>
      </c>
      <c r="C87" s="36" t="s">
        <v>511</v>
      </c>
      <c r="D87" s="138" t="s">
        <v>155</v>
      </c>
      <c r="E87" s="155">
        <f>G87/1000000</f>
        <v>0.87124973444936882</v>
      </c>
      <c r="F87" s="42" t="s">
        <v>48</v>
      </c>
      <c r="G87" s="151">
        <f>mb^2/(2*rhowa*Ab^2)</f>
        <v>871249.73444936879</v>
      </c>
      <c r="H87" s="112" t="s">
        <v>3</v>
      </c>
      <c r="I87" s="132">
        <f>G87/6895</f>
        <v>126.35964241470178</v>
      </c>
      <c r="J87" s="225" t="s">
        <v>2</v>
      </c>
      <c r="K87" s="151">
        <f>Pb-Pa</f>
        <v>871249.73444936797</v>
      </c>
      <c r="L87" s="168">
        <f>IF(K87=G87,"OK",1-G87/K87)</f>
        <v>-8.8817841970012523E-16</v>
      </c>
      <c r="M87" s="201" t="s">
        <v>414</v>
      </c>
    </row>
    <row r="88" spans="1:42">
      <c r="A88" s="102" t="s">
        <v>242</v>
      </c>
      <c r="B88" s="142"/>
      <c r="C88" s="143"/>
      <c r="D88" s="138"/>
      <c r="E88" s="148"/>
      <c r="F88" s="36"/>
      <c r="G88" s="164"/>
      <c r="H88" s="37"/>
      <c r="I88" s="227"/>
      <c r="L88" s="44"/>
      <c r="M88" s="201"/>
    </row>
    <row r="89" spans="1:42">
      <c r="C89" s="54" t="s">
        <v>245</v>
      </c>
      <c r="D89" s="56" t="s">
        <v>15</v>
      </c>
      <c r="E89" s="145">
        <f>G89/1000000</f>
        <v>44.717418962376641</v>
      </c>
      <c r="F89" s="114" t="s">
        <v>48</v>
      </c>
      <c r="G89" s="151">
        <f>Circulation!H223</f>
        <v>44717418.962376639</v>
      </c>
      <c r="H89" s="37" t="s">
        <v>3</v>
      </c>
      <c r="I89" s="227">
        <f t="shared" ref="I89:I94" si="1">G89/6895</f>
        <v>6485.4849836659378</v>
      </c>
      <c r="J89" s="253" t="s">
        <v>2</v>
      </c>
      <c r="K89" s="248"/>
      <c r="L89" s="113"/>
      <c r="M89" s="197"/>
      <c r="N89" s="49"/>
      <c r="O89" s="49"/>
      <c r="X89" s="72"/>
      <c r="Y89" s="106"/>
      <c r="Z89" s="49"/>
      <c r="AA89" s="49"/>
      <c r="AB89" s="50"/>
      <c r="AC89" s="50"/>
      <c r="AD89" s="50"/>
      <c r="AE89" s="50"/>
      <c r="AF89" s="109"/>
      <c r="AG89" s="109"/>
      <c r="AH89" s="110"/>
      <c r="AI89" s="49"/>
      <c r="AJ89" s="52"/>
      <c r="AK89" s="52"/>
      <c r="AL89" s="53"/>
      <c r="AM89" s="111"/>
      <c r="AN89" s="111"/>
      <c r="AO89" s="103"/>
      <c r="AP89" s="105"/>
    </row>
    <row r="90" spans="1:42">
      <c r="C90" s="41" t="s">
        <v>404</v>
      </c>
      <c r="D90" s="56" t="s">
        <v>405</v>
      </c>
      <c r="E90" s="144">
        <f>G90/1000000</f>
        <v>29.801910485154885</v>
      </c>
      <c r="F90" s="294" t="s">
        <v>48</v>
      </c>
      <c r="G90" s="151">
        <f>Circulation!H121</f>
        <v>29801910.485154886</v>
      </c>
      <c r="H90" s="37" t="s">
        <v>3</v>
      </c>
      <c r="I90" s="132">
        <f t="shared" si="1"/>
        <v>4322.2495264909185</v>
      </c>
      <c r="J90" s="295" t="s">
        <v>2</v>
      </c>
      <c r="K90" s="211"/>
      <c r="L90" s="113"/>
      <c r="M90" s="197"/>
      <c r="N90" s="49"/>
      <c r="O90" s="49"/>
      <c r="X90" s="72"/>
      <c r="Y90" s="106"/>
      <c r="Z90" s="49"/>
      <c r="AA90" s="49"/>
      <c r="AB90" s="50"/>
      <c r="AC90" s="50"/>
      <c r="AD90" s="50"/>
      <c r="AE90" s="50"/>
      <c r="AF90" s="109"/>
      <c r="AG90" s="109"/>
      <c r="AH90" s="110"/>
      <c r="AI90" s="49"/>
      <c r="AJ90" s="52"/>
      <c r="AK90" s="52"/>
      <c r="AL90" s="53"/>
      <c r="AM90" s="111"/>
      <c r="AN90" s="111"/>
      <c r="AO90" s="103"/>
      <c r="AP90" s="105"/>
    </row>
    <row r="91" spans="1:42">
      <c r="C91" s="41" t="s">
        <v>246</v>
      </c>
      <c r="D91" s="56" t="s">
        <v>116</v>
      </c>
      <c r="E91" s="144">
        <f>Ps/1000000</f>
        <v>27.196386214288502</v>
      </c>
      <c r="F91" s="294" t="s">
        <v>48</v>
      </c>
      <c r="G91" s="151">
        <f>Pv-dPv</f>
        <v>27196386.214288503</v>
      </c>
      <c r="H91" s="37" t="s">
        <v>3</v>
      </c>
      <c r="I91" s="132">
        <f t="shared" si="1"/>
        <v>3944.3634828554755</v>
      </c>
      <c r="J91" s="295" t="s">
        <v>2</v>
      </c>
      <c r="K91" s="151">
        <f>Pm+dPw</f>
        <v>23391892.155177772</v>
      </c>
      <c r="L91" s="170">
        <f>IF(K91=G91,"OK",1-G91/K91)</f>
        <v>-0.1626415697316137</v>
      </c>
      <c r="M91" s="201"/>
      <c r="N91" s="38"/>
      <c r="O91" s="38"/>
      <c r="Z91" s="38"/>
      <c r="AA91" s="38"/>
      <c r="AB91" s="52"/>
      <c r="AC91" s="52"/>
      <c r="AD91" s="53"/>
      <c r="AE91" s="53"/>
      <c r="AF91" s="111"/>
      <c r="AG91" s="111"/>
      <c r="AH91" s="121"/>
    </row>
    <row r="92" spans="1:42">
      <c r="C92" s="54" t="s">
        <v>520</v>
      </c>
      <c r="D92" s="56" t="s">
        <v>115</v>
      </c>
      <c r="E92" s="145">
        <f>Pm/1000000</f>
        <v>22.052392978224944</v>
      </c>
      <c r="F92" s="114" t="s">
        <v>48</v>
      </c>
      <c r="G92" s="151">
        <f>Pb+dPm</f>
        <v>22052392.978224944</v>
      </c>
      <c r="H92" s="37" t="s">
        <v>3</v>
      </c>
      <c r="I92" s="227">
        <f>G92/6895</f>
        <v>3198.3166030783095</v>
      </c>
      <c r="J92" s="253" t="s">
        <v>2</v>
      </c>
      <c r="K92" s="151">
        <f>Ps-dPw</f>
        <v>25856887.037335675</v>
      </c>
      <c r="L92" s="170">
        <f>IF(K92=G92,"OK",1-G92/K92)</f>
        <v>0.1471365850659937</v>
      </c>
      <c r="M92" s="201"/>
      <c r="N92" s="151"/>
      <c r="O92" s="49"/>
      <c r="X92" s="72"/>
      <c r="Y92" s="106"/>
      <c r="Z92" s="49"/>
      <c r="AA92" s="49"/>
      <c r="AB92" s="50"/>
      <c r="AC92" s="50"/>
      <c r="AD92" s="50"/>
      <c r="AE92" s="50"/>
      <c r="AF92" s="109"/>
      <c r="AG92" s="109"/>
      <c r="AH92" s="110"/>
      <c r="AI92" s="49"/>
      <c r="AJ92" s="52"/>
      <c r="AK92" s="52"/>
      <c r="AL92" s="53"/>
      <c r="AM92" s="111"/>
      <c r="AN92" s="111"/>
      <c r="AO92" s="103"/>
      <c r="AP92" s="105"/>
    </row>
    <row r="93" spans="1:42">
      <c r="C93" s="54" t="s">
        <v>244</v>
      </c>
      <c r="D93" s="56" t="s">
        <v>243</v>
      </c>
      <c r="E93" s="145">
        <f>Pb/1000000</f>
        <v>21.707642978224943</v>
      </c>
      <c r="F93" s="114" t="s">
        <v>48</v>
      </c>
      <c r="G93" s="151">
        <f>Pa+dPb</f>
        <v>21707642.978224944</v>
      </c>
      <c r="H93" s="37" t="s">
        <v>3</v>
      </c>
      <c r="I93" s="227">
        <f>G93/6895</f>
        <v>3148.3166030783095</v>
      </c>
      <c r="J93" s="253" t="s">
        <v>2</v>
      </c>
      <c r="K93" s="151">
        <f>Ps-dPw-dPm</f>
        <v>25512137.037335675</v>
      </c>
      <c r="L93" s="170">
        <f>IF(K93=G93,"OK",1-G93/K93)</f>
        <v>0.14912486764801602</v>
      </c>
      <c r="M93" s="201"/>
      <c r="N93" s="49"/>
      <c r="O93" s="49"/>
      <c r="X93" s="72"/>
      <c r="Y93" s="106"/>
      <c r="Z93" s="49"/>
      <c r="AA93" s="49"/>
      <c r="AB93" s="50"/>
      <c r="AC93" s="50"/>
      <c r="AD93" s="50"/>
      <c r="AE93" s="50"/>
      <c r="AF93" s="109"/>
      <c r="AG93" s="109"/>
      <c r="AH93" s="110"/>
      <c r="AI93" s="49"/>
      <c r="AJ93" s="52"/>
      <c r="AK93" s="52"/>
      <c r="AL93" s="53"/>
      <c r="AM93" s="111"/>
      <c r="AN93" s="111"/>
      <c r="AO93" s="103"/>
      <c r="AP93" s="105"/>
    </row>
    <row r="94" spans="1:42">
      <c r="C94" s="54" t="s">
        <v>247</v>
      </c>
      <c r="D94" s="56" t="s">
        <v>3</v>
      </c>
      <c r="E94" s="145">
        <f>Pa/1000000</f>
        <v>20.836393243775575</v>
      </c>
      <c r="F94" s="114" t="s">
        <v>48</v>
      </c>
      <c r="G94" s="151">
        <f>Circulation!H119</f>
        <v>20836393.243775576</v>
      </c>
      <c r="H94" s="37" t="s">
        <v>3</v>
      </c>
      <c r="I94" s="227">
        <f t="shared" si="1"/>
        <v>3021.9569606636078</v>
      </c>
      <c r="J94" s="253" t="s">
        <v>2</v>
      </c>
      <c r="K94" s="151">
        <f>Ps-dPw-dPm-dPb</f>
        <v>24640887.302886307</v>
      </c>
      <c r="L94" s="170">
        <f>IF(K94=G94,"OK",1-G94/K94)</f>
        <v>0.15439760802221969</v>
      </c>
      <c r="M94" s="201"/>
      <c r="N94" s="49"/>
      <c r="O94" s="49"/>
      <c r="X94" s="72"/>
      <c r="Y94" s="106"/>
      <c r="Z94" s="49"/>
      <c r="AA94" s="49"/>
      <c r="AB94" s="50"/>
      <c r="AC94" s="50"/>
      <c r="AD94" s="50"/>
      <c r="AE94" s="50"/>
      <c r="AF94" s="109"/>
      <c r="AG94" s="109"/>
      <c r="AH94" s="110"/>
      <c r="AI94" s="49"/>
      <c r="AJ94" s="52"/>
      <c r="AK94" s="52"/>
      <c r="AL94" s="53"/>
      <c r="AM94" s="111"/>
      <c r="AN94" s="111"/>
      <c r="AO94" s="103"/>
      <c r="AP94" s="105"/>
    </row>
    <row r="95" spans="1:42">
      <c r="A95" s="102" t="s">
        <v>257</v>
      </c>
      <c r="B95" s="142"/>
      <c r="C95" s="142"/>
      <c r="E95" s="145"/>
      <c r="F95" s="114"/>
      <c r="G95" s="151"/>
      <c r="H95" s="37"/>
      <c r="I95" s="227"/>
      <c r="J95" s="253"/>
      <c r="K95" s="248"/>
      <c r="L95" s="100"/>
      <c r="M95" s="197"/>
      <c r="N95" s="49"/>
      <c r="O95" s="49"/>
      <c r="X95" s="72"/>
      <c r="Y95" s="106"/>
      <c r="Z95" s="49"/>
      <c r="AA95" s="49"/>
      <c r="AB95" s="50"/>
      <c r="AC95" s="50"/>
      <c r="AD95" s="50"/>
      <c r="AE95" s="50"/>
      <c r="AF95" s="109"/>
      <c r="AG95" s="109"/>
      <c r="AH95" s="110"/>
      <c r="AI95" s="49"/>
      <c r="AJ95" s="52"/>
      <c r="AK95" s="52"/>
      <c r="AL95" s="53"/>
      <c r="AM95" s="111"/>
      <c r="AN95" s="111"/>
      <c r="AO95" s="103"/>
      <c r="AP95" s="105"/>
    </row>
    <row r="96" spans="1:42">
      <c r="C96" s="174" t="s">
        <v>521</v>
      </c>
      <c r="D96" s="176" t="s">
        <v>522</v>
      </c>
      <c r="E96" s="54"/>
      <c r="F96" s="36"/>
      <c r="G96" s="229">
        <f>0.25*PI()*dHPeq^2</f>
        <v>1.2922359175068947E-4</v>
      </c>
      <c r="H96" s="175" t="s">
        <v>5</v>
      </c>
    </row>
    <row r="97" spans="1:42">
      <c r="C97" s="41" t="s">
        <v>148</v>
      </c>
      <c r="D97" s="56" t="s">
        <v>288</v>
      </c>
      <c r="G97" s="229">
        <f>0.25*PI()*dw^2*nw*Cdw</f>
        <v>2.1376807281569312E-4</v>
      </c>
      <c r="H97" s="37" t="s">
        <v>5</v>
      </c>
      <c r="I97" s="115"/>
      <c r="J97" s="206"/>
      <c r="K97" s="115"/>
      <c r="L97" s="34"/>
      <c r="N97" s="103"/>
      <c r="O97" s="103"/>
      <c r="X97" s="99"/>
      <c r="Y97" s="99"/>
      <c r="Z97" s="99"/>
    </row>
    <row r="98" spans="1:42">
      <c r="C98" s="54" t="s">
        <v>267</v>
      </c>
      <c r="D98" s="56" t="s">
        <v>129</v>
      </c>
      <c r="G98" s="416">
        <f>PI()/4*dg^2*Cdg</f>
        <v>1.2268374551235884E-5</v>
      </c>
      <c r="H98" s="37" t="s">
        <v>5</v>
      </c>
      <c r="I98" s="222"/>
      <c r="M98" s="195" t="s">
        <v>472</v>
      </c>
    </row>
    <row r="99" spans="1:42">
      <c r="B99" s="34"/>
      <c r="C99" s="41" t="s">
        <v>402</v>
      </c>
      <c r="D99" s="56" t="s">
        <v>403</v>
      </c>
      <c r="G99" s="230">
        <f>PI()/4*dv^2*Cdw</f>
        <v>1.6957945693175079E-4</v>
      </c>
      <c r="H99" s="37" t="s">
        <v>5</v>
      </c>
      <c r="I99" s="222"/>
      <c r="M99" s="195"/>
    </row>
    <row r="100" spans="1:42">
      <c r="C100" s="54" t="s">
        <v>512</v>
      </c>
      <c r="D100" s="56" t="s">
        <v>259</v>
      </c>
      <c r="G100" s="230">
        <f>nn*dbit^2*Cdb*PI()/4</f>
        <v>2.5652168737883176E-4</v>
      </c>
      <c r="H100" s="37" t="s">
        <v>5</v>
      </c>
      <c r="I100" s="222"/>
      <c r="M100" s="195"/>
    </row>
    <row r="101" spans="1:42">
      <c r="B101" s="54"/>
      <c r="C101" s="54" t="s">
        <v>266</v>
      </c>
      <c r="D101" s="138" t="s">
        <v>258</v>
      </c>
      <c r="E101" s="148"/>
      <c r="F101" s="36"/>
      <c r="G101" s="229">
        <f>SQRT(1/(1/Aw^2+1/Ab^2))</f>
        <v>1.6422118243553677E-4</v>
      </c>
      <c r="H101" s="112" t="s">
        <v>5</v>
      </c>
      <c r="I101" s="227"/>
      <c r="K101" s="246"/>
      <c r="L101" s="58"/>
      <c r="M101" s="201"/>
    </row>
    <row r="102" spans="1:42">
      <c r="A102" s="102" t="s">
        <v>142</v>
      </c>
      <c r="B102" s="142"/>
      <c r="C102" s="142"/>
      <c r="E102" s="146"/>
      <c r="G102" s="132"/>
      <c r="H102" s="37"/>
      <c r="I102" s="115"/>
      <c r="J102" s="206"/>
      <c r="K102" s="115"/>
      <c r="L102" s="39"/>
      <c r="M102" s="195"/>
      <c r="N102" s="103"/>
      <c r="O102" s="103"/>
      <c r="X102" s="99"/>
      <c r="Y102" s="99"/>
      <c r="Z102" s="99"/>
    </row>
    <row r="103" spans="1:42" s="77" customFormat="1" ht="13.75" customHeight="1">
      <c r="C103" s="165" t="s">
        <v>111</v>
      </c>
      <c r="D103" s="154"/>
      <c r="E103" s="153">
        <f>60000*G103</f>
        <v>785.09593207899263</v>
      </c>
      <c r="F103" s="160" t="s">
        <v>110</v>
      </c>
      <c r="G103" s="231">
        <f>Circulation!V121+Circulation!W121</f>
        <v>1.3084932201316544E-2</v>
      </c>
      <c r="H103" s="96" t="s">
        <v>1</v>
      </c>
      <c r="I103" s="243">
        <f>60*G103*1000/3.79/42</f>
        <v>4.9321267249591196</v>
      </c>
      <c r="J103" s="252" t="s">
        <v>105</v>
      </c>
      <c r="K103" s="165"/>
      <c r="L103" s="96"/>
      <c r="M103" s="202"/>
      <c r="N103" s="89"/>
      <c r="O103" s="88"/>
      <c r="P103" s="90"/>
      <c r="Q103" s="90"/>
      <c r="R103" s="90"/>
      <c r="S103" s="136"/>
      <c r="T103" s="136"/>
      <c r="X103" s="136"/>
      <c r="Y103" s="136"/>
      <c r="Z103" s="136"/>
      <c r="AC103" s="91"/>
      <c r="AD103" s="92"/>
      <c r="AE103" s="92"/>
      <c r="AF103" s="92"/>
      <c r="AI103" s="86"/>
      <c r="AJ103" s="86"/>
      <c r="AK103" s="86"/>
      <c r="AL103" s="86"/>
      <c r="AM103" s="86"/>
      <c r="AN103" s="86"/>
    </row>
    <row r="104" spans="1:42">
      <c r="C104" s="54" t="s">
        <v>149</v>
      </c>
      <c r="D104" s="138" t="s">
        <v>156</v>
      </c>
      <c r="E104" s="54"/>
      <c r="F104" s="36"/>
      <c r="G104" s="164">
        <f>mb/rhomm/Aw</f>
        <v>54.238208932770021</v>
      </c>
      <c r="H104" s="112" t="s">
        <v>4</v>
      </c>
      <c r="N104" s="38"/>
      <c r="O104" s="38"/>
      <c r="X104" s="119"/>
      <c r="Y104" s="120"/>
      <c r="Z104" s="38"/>
      <c r="AA104" s="38"/>
      <c r="AB104" s="52"/>
      <c r="AC104" s="52"/>
      <c r="AD104" s="53"/>
      <c r="AE104" s="53"/>
      <c r="AF104" s="111"/>
      <c r="AG104" s="111"/>
      <c r="AH104" s="121"/>
      <c r="AK104" s="103"/>
      <c r="AL104" s="103"/>
      <c r="AM104" s="103"/>
      <c r="AN104" s="103"/>
      <c r="AO104" s="103"/>
      <c r="AP104" s="105"/>
    </row>
    <row r="105" spans="1:42">
      <c r="C105" s="115" t="s">
        <v>150</v>
      </c>
      <c r="G105" s="151">
        <f>rhomm*0.5*vsl^2</f>
        <v>1339499.176952828</v>
      </c>
      <c r="H105" s="112" t="s">
        <v>3</v>
      </c>
      <c r="K105" s="151">
        <f>dPw</f>
        <v>1339499.1769528284</v>
      </c>
      <c r="L105" s="170" t="str">
        <f>IF(K105=G105,"OK",1-K105/G105)</f>
        <v>OK</v>
      </c>
      <c r="M105" s="190"/>
      <c r="N105" s="38"/>
      <c r="O105" s="38"/>
      <c r="Z105" s="40"/>
      <c r="AA105" s="40"/>
      <c r="AB105" s="122"/>
      <c r="AC105" s="122"/>
      <c r="AD105" s="123"/>
      <c r="AE105" s="123"/>
      <c r="AF105" s="124"/>
      <c r="AG105" s="124"/>
      <c r="AH105" s="125"/>
    </row>
    <row r="106" spans="1:42">
      <c r="A106" s="102" t="s">
        <v>145</v>
      </c>
      <c r="B106" s="142"/>
      <c r="C106" s="142"/>
      <c r="D106" s="139"/>
      <c r="E106" s="46"/>
      <c r="F106" s="51"/>
      <c r="G106" s="147"/>
      <c r="H106" s="71"/>
      <c r="I106" s="147"/>
      <c r="J106" s="250"/>
      <c r="K106" s="115"/>
      <c r="L106" s="39"/>
      <c r="N106" s="55"/>
      <c r="O106" s="56"/>
      <c r="X106" s="99"/>
      <c r="Y106" s="99"/>
      <c r="Z106" s="55"/>
      <c r="AA106" s="56"/>
      <c r="AB106" s="57"/>
      <c r="AC106" s="57"/>
      <c r="AD106" s="57"/>
      <c r="AE106" s="57"/>
      <c r="AF106" s="57"/>
      <c r="AG106" s="57"/>
      <c r="AH106" s="57"/>
    </row>
    <row r="107" spans="1:42">
      <c r="C107" s="54" t="s">
        <v>248</v>
      </c>
      <c r="D107" s="56" t="s">
        <v>249</v>
      </c>
      <c r="G107" s="164">
        <f>1+BB*Pp+CCC*Pp^2+DD*Pp^3</f>
        <v>1.2925967087956232</v>
      </c>
      <c r="N107" s="37"/>
      <c r="O107" s="38"/>
      <c r="X107" s="99"/>
      <c r="Y107" s="99"/>
      <c r="Z107" s="37"/>
      <c r="AA107" s="38"/>
      <c r="AB107" s="53"/>
      <c r="AC107" s="53"/>
      <c r="AD107" s="53"/>
      <c r="AE107" s="53"/>
      <c r="AF107" s="111"/>
      <c r="AG107" s="111"/>
      <c r="AH107" s="121"/>
    </row>
    <row r="108" spans="1:42">
      <c r="C108" s="54" t="s">
        <v>154</v>
      </c>
      <c r="D108" s="56" t="s">
        <v>252</v>
      </c>
      <c r="G108" s="164">
        <f>1+BB*Ps+CCC*Ps^2+DD*Ps^3</f>
        <v>1.1182042103364498</v>
      </c>
      <c r="N108" s="37"/>
      <c r="O108" s="38"/>
      <c r="X108" s="99"/>
      <c r="Y108" s="99"/>
      <c r="Z108" s="37"/>
      <c r="AA108" s="38"/>
      <c r="AB108" s="53"/>
      <c r="AC108" s="53"/>
      <c r="AD108" s="53"/>
      <c r="AE108" s="53"/>
      <c r="AF108" s="111"/>
      <c r="AG108" s="111"/>
      <c r="AH108" s="121"/>
    </row>
    <row r="109" spans="1:42">
      <c r="C109" s="54" t="s">
        <v>250</v>
      </c>
      <c r="D109" s="56" t="s">
        <v>251</v>
      </c>
      <c r="G109" s="164">
        <f>1+BB*Pa+CCC*Pa^2+DD*Pa^3</f>
        <v>1.0708819586459242</v>
      </c>
      <c r="N109" s="37"/>
      <c r="O109" s="38"/>
      <c r="X109" s="99"/>
      <c r="Y109" s="99"/>
      <c r="Z109" s="37"/>
      <c r="AA109" s="38"/>
      <c r="AB109" s="53"/>
      <c r="AC109" s="53"/>
      <c r="AD109" s="53"/>
      <c r="AE109" s="53"/>
      <c r="AF109" s="111"/>
      <c r="AG109" s="111"/>
      <c r="AH109" s="121"/>
    </row>
    <row r="110" spans="1:42">
      <c r="C110" s="54" t="s">
        <v>253</v>
      </c>
      <c r="D110" s="56" t="s">
        <v>254</v>
      </c>
      <c r="G110" s="164">
        <f>1+BB*Pchoke+CCC*Pchoke^2+DD*Pchoke^3</f>
        <v>1.0008819439907437</v>
      </c>
      <c r="N110" s="37"/>
      <c r="O110" s="38"/>
      <c r="X110" s="99"/>
      <c r="Y110" s="99"/>
      <c r="Z110" s="37"/>
      <c r="AA110" s="38"/>
      <c r="AB110" s="53"/>
      <c r="AC110" s="53"/>
      <c r="AD110" s="53"/>
      <c r="AE110" s="53"/>
      <c r="AF110" s="111"/>
      <c r="AG110" s="111"/>
      <c r="AH110" s="121"/>
    </row>
    <row r="111" spans="1:42">
      <c r="C111" s="54" t="s">
        <v>81</v>
      </c>
      <c r="D111" s="138" t="s">
        <v>44</v>
      </c>
      <c r="E111" s="148"/>
      <c r="F111" s="36"/>
      <c r="G111" s="164">
        <f>mg/mw</f>
        <v>5.1362104660356074E-2</v>
      </c>
      <c r="H111" s="37"/>
      <c r="I111" s="232"/>
      <c r="K111" s="245"/>
      <c r="L111" s="59"/>
    </row>
    <row r="112" spans="1:42">
      <c r="A112" s="102" t="s">
        <v>117</v>
      </c>
      <c r="B112" s="142"/>
      <c r="C112" s="142"/>
      <c r="G112" s="132"/>
      <c r="J112" s="254"/>
    </row>
    <row r="113" spans="1:13">
      <c r="C113" s="127" t="s">
        <v>205</v>
      </c>
      <c r="D113" s="140" t="s">
        <v>135</v>
      </c>
      <c r="E113" s="149"/>
      <c r="F113" s="128"/>
      <c r="G113" s="233">
        <f>khs*EXP(1300*(1/Tb-1/298.15))</f>
        <v>1.4315152529066465E-9</v>
      </c>
      <c r="H113" s="129"/>
    </row>
    <row r="114" spans="1:13">
      <c r="C114" s="127" t="s">
        <v>118</v>
      </c>
      <c r="D114" s="140" t="s">
        <v>119</v>
      </c>
      <c r="E114" s="149"/>
      <c r="F114" s="128"/>
      <c r="G114" s="238">
        <f>Ps*kh*mwt</f>
        <v>1.0900971673114331E-3</v>
      </c>
      <c r="H114" s="129" t="s">
        <v>120</v>
      </c>
      <c r="J114" s="254"/>
    </row>
    <row r="115" spans="1:13">
      <c r="C115" s="127" t="s">
        <v>121</v>
      </c>
      <c r="D115" s="140" t="s">
        <v>122</v>
      </c>
      <c r="E115" s="149"/>
      <c r="F115" s="128"/>
      <c r="G115" s="152">
        <f>MAX(0,mg-fg*mw)</f>
        <v>0.53136265214820089</v>
      </c>
      <c r="H115" s="129" t="s">
        <v>26</v>
      </c>
      <c r="J115" s="254"/>
    </row>
    <row r="116" spans="1:13">
      <c r="A116" s="130" t="s">
        <v>393</v>
      </c>
      <c r="B116" s="142"/>
      <c r="C116" s="142"/>
    </row>
    <row r="117" spans="1:13">
      <c r="C117" s="131" t="s">
        <v>123</v>
      </c>
      <c r="D117" s="56" t="s">
        <v>168</v>
      </c>
      <c r="G117" s="163">
        <f>(2/(k+1))^(k/(k-1))</f>
        <v>0.4703492613167628</v>
      </c>
      <c r="M117" s="206" t="s">
        <v>124</v>
      </c>
    </row>
    <row r="118" spans="1:13">
      <c r="C118" s="132" t="s">
        <v>125</v>
      </c>
      <c r="D118" s="56" t="s">
        <v>166</v>
      </c>
      <c r="G118" s="163">
        <f>Pa/Ps</f>
        <v>0.76614565919160615</v>
      </c>
      <c r="H118" s="133" t="str">
        <f>IF(RPc&lt;RP,"subsonic","supersonic")</f>
        <v>subsonic</v>
      </c>
      <c r="I118" s="242"/>
      <c r="J118" s="206"/>
      <c r="M118" s="206" t="s">
        <v>167</v>
      </c>
    </row>
    <row r="119" spans="1:13">
      <c r="C119" s="54" t="s">
        <v>126</v>
      </c>
      <c r="D119" s="56" t="s">
        <v>127</v>
      </c>
      <c r="G119" s="234">
        <f>SQRT((RP^-((k-1)/k)-1)*2/(k-1))</f>
        <v>0.5619934888095488</v>
      </c>
      <c r="J119" s="206"/>
    </row>
    <row r="120" spans="1:13">
      <c r="C120" s="131" t="s">
        <v>128</v>
      </c>
      <c r="D120" s="56" t="s">
        <v>164</v>
      </c>
      <c r="G120" s="229">
        <f>mgc/(Ps*SQRT(k/(Zs*Rgas*Tb))*(2/(k+1))^((k+1)/(2*(k-1))))</f>
        <v>1.0094344349583167E-5</v>
      </c>
      <c r="H120" s="37" t="s">
        <v>5</v>
      </c>
      <c r="M120" s="206" t="s">
        <v>130</v>
      </c>
    </row>
    <row r="121" spans="1:13">
      <c r="C121" s="131" t="s">
        <v>377</v>
      </c>
      <c r="D121" s="56" t="s">
        <v>376</v>
      </c>
      <c r="G121" s="270">
        <f>2*SQRT(Ags/Cdg/PI())</f>
        <v>4.4466959910725128E-3</v>
      </c>
      <c r="H121" s="37" t="s">
        <v>6</v>
      </c>
      <c r="I121" s="236">
        <f>39.37*dgs</f>
        <v>0.17506642116852481</v>
      </c>
      <c r="J121" s="225" t="s">
        <v>7</v>
      </c>
      <c r="M121" s="206"/>
    </row>
    <row r="122" spans="1:13">
      <c r="A122" s="130" t="s">
        <v>394</v>
      </c>
      <c r="B122" s="142"/>
      <c r="C122" s="142"/>
      <c r="G122" s="163"/>
    </row>
    <row r="123" spans="1:13">
      <c r="C123" s="54" t="s">
        <v>131</v>
      </c>
      <c r="D123" s="56" t="s">
        <v>165</v>
      </c>
      <c r="G123" s="163">
        <f>MIN(Tei)</f>
        <v>395.90234342691934</v>
      </c>
      <c r="H123" s="112" t="s">
        <v>28</v>
      </c>
      <c r="K123" s="163">
        <f>Tb/(1+0.5*(k-1)*Me^2)</f>
        <v>394.85125023529963</v>
      </c>
      <c r="L123" s="170">
        <f>IF(K123=G123,"OK",1-K123/G123)</f>
        <v>2.6549304621980019E-3</v>
      </c>
      <c r="M123" s="199" t="s">
        <v>383</v>
      </c>
    </row>
    <row r="124" spans="1:13">
      <c r="C124" s="54" t="s">
        <v>132</v>
      </c>
      <c r="D124" s="56" t="s">
        <v>219</v>
      </c>
      <c r="G124" s="229">
        <f>mgc*SQRT(Rgas*Te)/(Pa*Me*SQRT(k))</f>
        <v>1.1628687824164488E-5</v>
      </c>
      <c r="H124" s="37" t="s">
        <v>5</v>
      </c>
      <c r="I124" s="242"/>
      <c r="M124" s="203"/>
    </row>
    <row r="125" spans="1:13">
      <c r="C125" s="54" t="s">
        <v>471</v>
      </c>
      <c r="D125" s="56" t="s">
        <v>470</v>
      </c>
      <c r="G125" s="235">
        <f>2*SQRT(Agss/Cdg/PI())</f>
        <v>4.7726956084515916E-3</v>
      </c>
      <c r="H125" s="37"/>
      <c r="M125" s="203"/>
    </row>
    <row r="126" spans="1:13">
      <c r="C126" s="54"/>
      <c r="G126" s="235"/>
      <c r="H126" s="37"/>
      <c r="I126" s="492" t="str">
        <f>'Circ Model'!H13</f>
        <v>MGS™</v>
      </c>
      <c r="M126" s="203"/>
    </row>
    <row r="127" spans="1:13">
      <c r="A127" s="414" t="s">
        <v>395</v>
      </c>
      <c r="B127" s="415"/>
      <c r="C127" s="415"/>
      <c r="D127" s="139" t="s">
        <v>396</v>
      </c>
      <c r="E127" s="46"/>
      <c r="F127" s="51"/>
      <c r="G127" s="235">
        <f>IF(RP&lt;RPc,dgs,dgss)</f>
        <v>4.7726956084515916E-3</v>
      </c>
      <c r="H127" s="71"/>
      <c r="I127" s="236">
        <f>MIN(G127*39.37*1.03,'Dropdown Lists'!I10)</f>
        <v>0.19353805688788134</v>
      </c>
      <c r="J127" s="225" t="s">
        <v>7</v>
      </c>
      <c r="K127" s="232"/>
    </row>
    <row r="128" spans="1:13">
      <c r="C128" s="134"/>
      <c r="D128" s="139"/>
      <c r="E128" s="46"/>
      <c r="F128" s="51"/>
      <c r="G128" s="235"/>
      <c r="H128" s="71"/>
    </row>
    <row r="129" spans="1:115">
      <c r="A129" s="130" t="s">
        <v>311</v>
      </c>
      <c r="B129" s="142"/>
      <c r="C129" s="142"/>
    </row>
    <row r="130" spans="1:115">
      <c r="C130" s="257" t="s">
        <v>310</v>
      </c>
      <c r="D130" s="187" t="s">
        <v>312</v>
      </c>
      <c r="E130" s="116" t="s">
        <v>309</v>
      </c>
      <c r="G130" s="226">
        <f>MAX(O135:DK135)</f>
        <v>0.98000000000000065</v>
      </c>
      <c r="H130" s="226"/>
      <c r="I130" s="237"/>
      <c r="K130" s="226"/>
      <c r="L130" s="167"/>
      <c r="M130" s="59"/>
    </row>
    <row r="131" spans="1:115">
      <c r="C131" s="64" t="s">
        <v>293</v>
      </c>
      <c r="D131" s="187" t="s">
        <v>294</v>
      </c>
      <c r="E131" s="116"/>
      <c r="G131" s="132">
        <f>xg*cp+(1-xg)*cpw</f>
        <v>743.01177215189648</v>
      </c>
      <c r="N131" s="36" t="s">
        <v>473</v>
      </c>
    </row>
    <row r="132" spans="1:115">
      <c r="C132" s="64" t="s">
        <v>295</v>
      </c>
      <c r="D132" s="187" t="s">
        <v>296</v>
      </c>
      <c r="E132" s="116"/>
      <c r="G132" s="234">
        <f>MAX(vr)</f>
        <v>267.65530785056592</v>
      </c>
      <c r="H132" t="s">
        <v>4</v>
      </c>
      <c r="O132" s="44">
        <v>0</v>
      </c>
      <c r="P132" s="44">
        <f>0.01+O132</f>
        <v>0.01</v>
      </c>
      <c r="Q132" s="44">
        <f t="shared" ref="Q132:CB132" si="2">0.01+P132</f>
        <v>0.02</v>
      </c>
      <c r="R132" s="44">
        <f t="shared" si="2"/>
        <v>0.03</v>
      </c>
      <c r="S132" s="44">
        <f t="shared" si="2"/>
        <v>0.04</v>
      </c>
      <c r="T132" s="44">
        <f t="shared" si="2"/>
        <v>0.05</v>
      </c>
      <c r="U132" s="44">
        <f t="shared" si="2"/>
        <v>6.0000000000000005E-2</v>
      </c>
      <c r="V132" s="44">
        <f t="shared" si="2"/>
        <v>7.0000000000000007E-2</v>
      </c>
      <c r="W132" s="44">
        <f t="shared" si="2"/>
        <v>0.08</v>
      </c>
      <c r="X132" s="44">
        <f t="shared" si="2"/>
        <v>0.09</v>
      </c>
      <c r="Y132" s="44">
        <f t="shared" si="2"/>
        <v>9.9999999999999992E-2</v>
      </c>
      <c r="Z132" s="44">
        <f t="shared" si="2"/>
        <v>0.10999999999999999</v>
      </c>
      <c r="AA132" s="44">
        <f t="shared" si="2"/>
        <v>0.11999999999999998</v>
      </c>
      <c r="AB132" s="44">
        <f t="shared" si="2"/>
        <v>0.12999999999999998</v>
      </c>
      <c r="AC132" s="44">
        <f t="shared" si="2"/>
        <v>0.13999999999999999</v>
      </c>
      <c r="AD132" s="44">
        <f t="shared" si="2"/>
        <v>0.15</v>
      </c>
      <c r="AE132" s="44">
        <f t="shared" si="2"/>
        <v>0.16</v>
      </c>
      <c r="AF132" s="44">
        <f t="shared" si="2"/>
        <v>0.17</v>
      </c>
      <c r="AG132" s="44">
        <f t="shared" si="2"/>
        <v>0.18000000000000002</v>
      </c>
      <c r="AH132" s="44">
        <f t="shared" si="2"/>
        <v>0.19000000000000003</v>
      </c>
      <c r="AI132" s="44">
        <f t="shared" si="2"/>
        <v>0.20000000000000004</v>
      </c>
      <c r="AJ132" s="44">
        <f t="shared" si="2"/>
        <v>0.21000000000000005</v>
      </c>
      <c r="AK132" s="44">
        <f t="shared" si="2"/>
        <v>0.22000000000000006</v>
      </c>
      <c r="AL132" s="44">
        <f t="shared" si="2"/>
        <v>0.23000000000000007</v>
      </c>
      <c r="AM132" s="44">
        <f t="shared" si="2"/>
        <v>0.24000000000000007</v>
      </c>
      <c r="AN132" s="44">
        <f t="shared" si="2"/>
        <v>0.25000000000000006</v>
      </c>
      <c r="AO132" s="44">
        <f t="shared" si="2"/>
        <v>0.26000000000000006</v>
      </c>
      <c r="AP132" s="44">
        <f t="shared" si="2"/>
        <v>0.27000000000000007</v>
      </c>
      <c r="AQ132" s="44">
        <f t="shared" si="2"/>
        <v>0.28000000000000008</v>
      </c>
      <c r="AR132" s="44">
        <f t="shared" si="2"/>
        <v>0.29000000000000009</v>
      </c>
      <c r="AS132" s="44">
        <f t="shared" si="2"/>
        <v>0.3000000000000001</v>
      </c>
      <c r="AT132" s="44">
        <f t="shared" si="2"/>
        <v>0.31000000000000011</v>
      </c>
      <c r="AU132" s="44">
        <f t="shared" si="2"/>
        <v>0.32000000000000012</v>
      </c>
      <c r="AV132" s="44">
        <f t="shared" si="2"/>
        <v>0.33000000000000013</v>
      </c>
      <c r="AW132" s="44">
        <f t="shared" si="2"/>
        <v>0.34000000000000014</v>
      </c>
      <c r="AX132" s="44">
        <f t="shared" si="2"/>
        <v>0.35000000000000014</v>
      </c>
      <c r="AY132" s="44">
        <f t="shared" si="2"/>
        <v>0.36000000000000015</v>
      </c>
      <c r="AZ132" s="44">
        <f t="shared" si="2"/>
        <v>0.37000000000000016</v>
      </c>
      <c r="BA132" s="44">
        <f t="shared" si="2"/>
        <v>0.38000000000000017</v>
      </c>
      <c r="BB132" s="44">
        <f t="shared" si="2"/>
        <v>0.39000000000000018</v>
      </c>
      <c r="BC132" s="44">
        <f t="shared" si="2"/>
        <v>0.40000000000000019</v>
      </c>
      <c r="BD132" s="44">
        <f t="shared" si="2"/>
        <v>0.4100000000000002</v>
      </c>
      <c r="BE132" s="44">
        <f t="shared" si="2"/>
        <v>0.42000000000000021</v>
      </c>
      <c r="BF132" s="44">
        <f t="shared" si="2"/>
        <v>0.43000000000000022</v>
      </c>
      <c r="BG132" s="44">
        <f t="shared" si="2"/>
        <v>0.44000000000000022</v>
      </c>
      <c r="BH132" s="44">
        <f t="shared" si="2"/>
        <v>0.45000000000000023</v>
      </c>
      <c r="BI132" s="44">
        <f t="shared" si="2"/>
        <v>0.46000000000000024</v>
      </c>
      <c r="BJ132" s="44">
        <f t="shared" si="2"/>
        <v>0.47000000000000025</v>
      </c>
      <c r="BK132" s="44">
        <f t="shared" si="2"/>
        <v>0.48000000000000026</v>
      </c>
      <c r="BL132" s="44">
        <f t="shared" si="2"/>
        <v>0.49000000000000027</v>
      </c>
      <c r="BM132" s="44">
        <f t="shared" si="2"/>
        <v>0.50000000000000022</v>
      </c>
      <c r="BN132" s="44">
        <f t="shared" si="2"/>
        <v>0.51000000000000023</v>
      </c>
      <c r="BO132" s="44">
        <f t="shared" si="2"/>
        <v>0.52000000000000024</v>
      </c>
      <c r="BP132" s="44">
        <f t="shared" si="2"/>
        <v>0.53000000000000025</v>
      </c>
      <c r="BQ132" s="44">
        <f t="shared" si="2"/>
        <v>0.54000000000000026</v>
      </c>
      <c r="BR132" s="44">
        <f t="shared" si="2"/>
        <v>0.55000000000000027</v>
      </c>
      <c r="BS132" s="44">
        <f t="shared" si="2"/>
        <v>0.56000000000000028</v>
      </c>
      <c r="BT132" s="44">
        <f t="shared" si="2"/>
        <v>0.57000000000000028</v>
      </c>
      <c r="BU132" s="44">
        <f t="shared" si="2"/>
        <v>0.58000000000000029</v>
      </c>
      <c r="BV132" s="44">
        <f t="shared" si="2"/>
        <v>0.5900000000000003</v>
      </c>
      <c r="BW132" s="44">
        <f t="shared" si="2"/>
        <v>0.60000000000000031</v>
      </c>
      <c r="BX132" s="44">
        <f t="shared" si="2"/>
        <v>0.61000000000000032</v>
      </c>
      <c r="BY132" s="44">
        <f t="shared" si="2"/>
        <v>0.62000000000000033</v>
      </c>
      <c r="BZ132" s="44">
        <f t="shared" si="2"/>
        <v>0.63000000000000034</v>
      </c>
      <c r="CA132" s="44">
        <f t="shared" si="2"/>
        <v>0.64000000000000035</v>
      </c>
      <c r="CB132" s="44">
        <f t="shared" si="2"/>
        <v>0.65000000000000036</v>
      </c>
      <c r="CC132" s="44">
        <f t="shared" ref="CC132:DK132" si="3">0.01+CB132</f>
        <v>0.66000000000000036</v>
      </c>
      <c r="CD132" s="44">
        <f t="shared" si="3"/>
        <v>0.67000000000000037</v>
      </c>
      <c r="CE132" s="44">
        <f t="shared" si="3"/>
        <v>0.68000000000000038</v>
      </c>
      <c r="CF132" s="44">
        <f t="shared" si="3"/>
        <v>0.69000000000000039</v>
      </c>
      <c r="CG132" s="44">
        <f t="shared" si="3"/>
        <v>0.7000000000000004</v>
      </c>
      <c r="CH132" s="44">
        <f t="shared" si="3"/>
        <v>0.71000000000000041</v>
      </c>
      <c r="CI132" s="44">
        <f t="shared" si="3"/>
        <v>0.72000000000000042</v>
      </c>
      <c r="CJ132" s="44">
        <f t="shared" si="3"/>
        <v>0.73000000000000043</v>
      </c>
      <c r="CK132" s="44">
        <f t="shared" si="3"/>
        <v>0.74000000000000044</v>
      </c>
      <c r="CL132" s="44">
        <f t="shared" si="3"/>
        <v>0.75000000000000044</v>
      </c>
      <c r="CM132" s="44">
        <f t="shared" si="3"/>
        <v>0.76000000000000045</v>
      </c>
      <c r="CN132" s="44">
        <f t="shared" si="3"/>
        <v>0.77000000000000046</v>
      </c>
      <c r="CO132" s="44">
        <f t="shared" si="3"/>
        <v>0.78000000000000047</v>
      </c>
      <c r="CP132" s="44">
        <f t="shared" si="3"/>
        <v>0.79000000000000048</v>
      </c>
      <c r="CQ132" s="44">
        <f t="shared" si="3"/>
        <v>0.80000000000000049</v>
      </c>
      <c r="CR132" s="44">
        <f t="shared" si="3"/>
        <v>0.8100000000000005</v>
      </c>
      <c r="CS132" s="44">
        <f t="shared" si="3"/>
        <v>0.82000000000000051</v>
      </c>
      <c r="CT132" s="44">
        <f t="shared" si="3"/>
        <v>0.83000000000000052</v>
      </c>
      <c r="CU132" s="44">
        <f t="shared" si="3"/>
        <v>0.84000000000000052</v>
      </c>
      <c r="CV132" s="44">
        <f t="shared" si="3"/>
        <v>0.85000000000000053</v>
      </c>
      <c r="CW132" s="44">
        <f t="shared" si="3"/>
        <v>0.86000000000000054</v>
      </c>
      <c r="CX132" s="44">
        <f t="shared" si="3"/>
        <v>0.87000000000000055</v>
      </c>
      <c r="CY132" s="44">
        <f t="shared" si="3"/>
        <v>0.88000000000000056</v>
      </c>
      <c r="CZ132" s="44">
        <f t="shared" si="3"/>
        <v>0.89000000000000057</v>
      </c>
      <c r="DA132" s="44">
        <f t="shared" si="3"/>
        <v>0.90000000000000058</v>
      </c>
      <c r="DB132" s="44">
        <f t="shared" si="3"/>
        <v>0.91000000000000059</v>
      </c>
      <c r="DC132" s="44">
        <f t="shared" si="3"/>
        <v>0.9200000000000006</v>
      </c>
      <c r="DD132" s="44">
        <f t="shared" si="3"/>
        <v>0.9300000000000006</v>
      </c>
      <c r="DE132" s="44">
        <f t="shared" si="3"/>
        <v>0.94000000000000061</v>
      </c>
      <c r="DF132" s="44">
        <f t="shared" si="3"/>
        <v>0.95000000000000062</v>
      </c>
      <c r="DG132" s="44">
        <f t="shared" si="3"/>
        <v>0.96000000000000063</v>
      </c>
      <c r="DH132" s="44">
        <f t="shared" si="3"/>
        <v>0.97000000000000064</v>
      </c>
      <c r="DI132" s="44">
        <f t="shared" si="3"/>
        <v>0.98000000000000065</v>
      </c>
      <c r="DJ132" s="44">
        <f t="shared" si="3"/>
        <v>0.99000000000000066</v>
      </c>
      <c r="DK132" s="44">
        <f t="shared" si="3"/>
        <v>1.0000000000000007</v>
      </c>
    </row>
    <row r="133" spans="1:115">
      <c r="C133" s="64" t="s">
        <v>297</v>
      </c>
      <c r="D133" s="187" t="s">
        <v>298</v>
      </c>
      <c r="E133" s="116"/>
      <c r="G133" s="234">
        <f>MAX(rhogri)</f>
        <v>165.30510615795157</v>
      </c>
      <c r="H133" t="s">
        <v>13</v>
      </c>
      <c r="N133" s="226">
        <f>MIN(MAX(mgr/(mgr+mwr),0),1)</f>
        <v>0.98002667141367217</v>
      </c>
      <c r="O133" s="44">
        <f t="dataTable" ref="O133:DK133" dt2D="0" dtr="1" r1="G130" ca="1"/>
        <v>0.38200351966182416</v>
      </c>
      <c r="P133" s="44">
        <v>0.3933542282112808</v>
      </c>
      <c r="Q133" s="44">
        <v>0.40387264812760687</v>
      </c>
      <c r="R133" s="44">
        <v>0.41400084966614942</v>
      </c>
      <c r="S133" s="44">
        <v>0.42384619705446019</v>
      </c>
      <c r="T133" s="44">
        <v>0.43346317798667927</v>
      </c>
      <c r="U133" s="44">
        <v>0.44288615506569506</v>
      </c>
      <c r="V133" s="44">
        <v>0.45213935205772005</v>
      </c>
      <c r="W133" s="44">
        <v>0.46124103031395569</v>
      </c>
      <c r="X133" s="44">
        <v>0.47020557838282151</v>
      </c>
      <c r="Y133" s="44">
        <v>0.47904468914779963</v>
      </c>
      <c r="Z133" s="44">
        <v>0.48776808174732617</v>
      </c>
      <c r="AA133" s="44">
        <v>0.49638397356855773</v>
      </c>
      <c r="AB133" s="44">
        <v>0.50489940460798088</v>
      </c>
      <c r="AC133" s="44">
        <v>0.51332046942588117</v>
      </c>
      <c r="AD133" s="44">
        <v>0.52165248847924639</v>
      </c>
      <c r="AE133" s="44">
        <v>0.52990013810752734</v>
      </c>
      <c r="AF133" s="44">
        <v>0.53806755138028162</v>
      </c>
      <c r="AG133" s="44">
        <v>0.54615839783126796</v>
      </c>
      <c r="AH133" s="44">
        <v>0.55417594752304711</v>
      </c>
      <c r="AI133" s="44">
        <v>0.56212312323830804</v>
      </c>
      <c r="AJ133" s="44">
        <v>0.57000254350936341</v>
      </c>
      <c r="AK133" s="44">
        <v>0.57781655846381863</v>
      </c>
      <c r="AL133" s="44">
        <v>0.58556727995660129</v>
      </c>
      <c r="AM133" s="44">
        <v>0.59325660709944827</v>
      </c>
      <c r="AN133" s="44">
        <v>0.60088624804011004</v>
      </c>
      <c r="AO133" s="44">
        <v>0.60845773865378183</v>
      </c>
      <c r="AP133" s="44">
        <v>0.61597245866794847</v>
      </c>
      <c r="AQ133" s="44">
        <v>0.6234316456350838</v>
      </c>
      <c r="AR133" s="44">
        <v>0.63083640708596889</v>
      </c>
      <c r="AS133" s="44">
        <v>0.63818773113311933</v>
      </c>
      <c r="AT133" s="44">
        <v>0.64548649574429584</v>
      </c>
      <c r="AU133" s="44">
        <v>0.65273347686684502</v>
      </c>
      <c r="AV133" s="44">
        <v>0.65992935555232124</v>
      </c>
      <c r="AW133" s="44">
        <v>0.66707472420556357</v>
      </c>
      <c r="AX133" s="44">
        <v>0.67417009206186729</v>
      </c>
      <c r="AY133" s="44">
        <v>0.68121588997901017</v>
      </c>
      <c r="AZ133" s="44">
        <v>0.68821247461693535</v>
      </c>
      <c r="BA133" s="44">
        <v>0.69516013206624916</v>
      </c>
      <c r="BB133" s="44">
        <v>0.70205908097685232</v>
      </c>
      <c r="BC133" s="44">
        <v>0.70890947522970493</v>
      </c>
      <c r="BD133" s="44">
        <v>0.71571140618753382</v>
      </c>
      <c r="BE133" s="44">
        <v>0.7224649045540994</v>
      </c>
      <c r="BF133" s="44">
        <v>0.72916994186617512</v>
      </c>
      <c r="BG133" s="44">
        <v>0.73582643163753836</v>
      </c>
      <c r="BH133" s="44">
        <v>0.74243423016991394</v>
      </c>
      <c r="BI133" s="44">
        <v>0.7489931370418037</v>
      </c>
      <c r="BJ133" s="44">
        <v>0.75550289528240688</v>
      </c>
      <c r="BK133" s="44">
        <v>0.76196319123432321</v>
      </c>
      <c r="BL133" s="44">
        <v>0.76837365410530689</v>
      </c>
      <c r="BM133" s="44">
        <v>0.77473385520600169</v>
      </c>
      <c r="BN133" s="44">
        <v>0.781043306867228</v>
      </c>
      <c r="BO133" s="44">
        <v>0.78730146102694776</v>
      </c>
      <c r="BP133" s="44">
        <v>0.79350770747349975</v>
      </c>
      <c r="BQ133" s="44">
        <v>0.79966137172789653</v>
      </c>
      <c r="BR133" s="44">
        <v>0.80576171254398365</v>
      </c>
      <c r="BS133" s="44">
        <v>0.81180791900086013</v>
      </c>
      <c r="BT133" s="44">
        <v>0.81779910715717907</v>
      </c>
      <c r="BU133" s="44">
        <v>0.82373431623162408</v>
      </c>
      <c r="BV133" s="44">
        <v>0.82961250426791611</v>
      </c>
      <c r="BW133" s="44">
        <v>0.83543254323601779</v>
      </c>
      <c r="BX133" s="44">
        <v>0.84119321351362464</v>
      </c>
      <c r="BY133" s="44">
        <v>0.84689319768337989</v>
      </c>
      <c r="BZ133" s="44">
        <v>0.85253107357136859</v>
      </c>
      <c r="CA133" s="44">
        <v>0.85810530644105432</v>
      </c>
      <c r="CB133" s="44">
        <v>0.86361424024364086</v>
      </c>
      <c r="CC133" s="44">
        <v>0.86905608781062538</v>
      </c>
      <c r="CD133" s="44">
        <v>0.87442891985646831</v>
      </c>
      <c r="CE133" s="44">
        <v>0.8797306526385773</v>
      </c>
      <c r="CF133" s="44">
        <v>0.88495903409743848</v>
      </c>
      <c r="CG133" s="44">
        <v>0.89011162827102608</v>
      </c>
      <c r="CH133" s="44">
        <v>0.89518579774381857</v>
      </c>
      <c r="CI133" s="44">
        <v>0.90017868385059185</v>
      </c>
      <c r="CJ133" s="44">
        <v>0.90508718430749269</v>
      </c>
      <c r="CK133" s="44">
        <v>0.90990792788594688</v>
      </c>
      <c r="CL133" s="44">
        <v>0.91463724567675464</v>
      </c>
      <c r="CM133" s="44">
        <v>0.91927113840973285</v>
      </c>
      <c r="CN133" s="44">
        <v>0.92380523919524149</v>
      </c>
      <c r="CO133" s="44">
        <v>0.92823477093388773</v>
      </c>
      <c r="CP133" s="44">
        <v>0.93255449749461017</v>
      </c>
      <c r="CQ133" s="44">
        <v>0.93675866758261617</v>
      </c>
      <c r="CR133" s="44">
        <v>0.94084094999913859</v>
      </c>
      <c r="CS133" s="44">
        <v>0.9447943587239227</v>
      </c>
      <c r="CT133" s="44">
        <v>0.94861116591512695</v>
      </c>
      <c r="CU133" s="44">
        <v>0.95228280050179426</v>
      </c>
      <c r="CV133" s="44">
        <v>0.95579972951791947</v>
      </c>
      <c r="CW133" s="44">
        <v>0.95915131866322401</v>
      </c>
      <c r="CX133" s="44">
        <v>0.96232566773287809</v>
      </c>
      <c r="CY133" s="44">
        <v>0.96530941548144822</v>
      </c>
      <c r="CZ133" s="44">
        <v>0.96808750710055413</v>
      </c>
      <c r="DA133" s="44">
        <v>0.97064291569384864</v>
      </c>
      <c r="DB133" s="44">
        <v>0.97295630678751777</v>
      </c>
      <c r="DC133" s="44">
        <v>0.975005631826243</v>
      </c>
      <c r="DD133" s="44">
        <v>0.97676563250306569</v>
      </c>
      <c r="DE133" s="44">
        <v>0.97820723227364703</v>
      </c>
      <c r="DF133" s="44">
        <v>0.9792967839630089</v>
      </c>
      <c r="DG133" s="44">
        <v>0.97999513219143364</v>
      </c>
      <c r="DH133" s="44">
        <v>0.980256435260345</v>
      </c>
      <c r="DI133" s="44">
        <v>0.98002667141367217</v>
      </c>
      <c r="DJ133" s="44">
        <v>0.97924172640569174</v>
      </c>
      <c r="DK133" s="44">
        <v>0.97782491904180979</v>
      </c>
    </row>
    <row r="134" spans="1:115">
      <c r="C134" s="64" t="s">
        <v>299</v>
      </c>
      <c r="D134" s="187" t="s">
        <v>370</v>
      </c>
      <c r="E134" s="116" t="s">
        <v>371</v>
      </c>
      <c r="G134" s="163">
        <f>MAX(Si)</f>
        <v>1.4027851900375639</v>
      </c>
      <c r="N134" s="412">
        <f>MIN(O134:DK134)</f>
        <v>7.113643072373223E-10</v>
      </c>
      <c r="O134" s="105">
        <f>(O133-O132)^2</f>
        <v>0.14592668903402167</v>
      </c>
      <c r="P134" s="105">
        <f t="shared" ref="P134:CA134" si="4">(P133-P132)^2</f>
        <v>0.14696046428746676</v>
      </c>
      <c r="Q134" s="105">
        <f t="shared" si="4"/>
        <v>0.14735820998050148</v>
      </c>
      <c r="R134" s="105">
        <f t="shared" si="4"/>
        <v>0.14745665254432472</v>
      </c>
      <c r="S134" s="105">
        <f t="shared" si="4"/>
        <v>0.14733790299317151</v>
      </c>
      <c r="T134" s="105">
        <f t="shared" si="4"/>
        <v>0.14704400887164368</v>
      </c>
      <c r="U134" s="105">
        <f t="shared" si="4"/>
        <v>0.14660180774099149</v>
      </c>
      <c r="V134" s="105">
        <f t="shared" si="4"/>
        <v>0.14603048439109409</v>
      </c>
      <c r="W134" s="105">
        <f t="shared" si="4"/>
        <v>0.14534472319484648</v>
      </c>
      <c r="X134" s="105">
        <f t="shared" si="4"/>
        <v>0.14455628183341585</v>
      </c>
      <c r="Y134" s="105">
        <f t="shared" si="4"/>
        <v>0.14367487637115206</v>
      </c>
      <c r="Z134" s="105">
        <f t="shared" si="4"/>
        <v>0.14270872358705453</v>
      </c>
      <c r="AA134" s="105">
        <f t="shared" si="4"/>
        <v>0.14166489555925676</v>
      </c>
      <c r="AB134" s="105">
        <f t="shared" si="4"/>
        <v>0.14054956357541856</v>
      </c>
      <c r="AC134" s="105">
        <f t="shared" si="4"/>
        <v>0.13936817289236025</v>
      </c>
      <c r="AD134" s="105">
        <f t="shared" si="4"/>
        <v>0.13812557219281635</v>
      </c>
      <c r="AE134" s="105">
        <f t="shared" si="4"/>
        <v>0.13682611217196777</v>
      </c>
      <c r="AF134" s="105">
        <f t="shared" si="4"/>
        <v>0.13547372237907621</v>
      </c>
      <c r="AG134" s="105">
        <f t="shared" si="4"/>
        <v>0.13407197230236106</v>
      </c>
      <c r="AH134" s="105">
        <f t="shared" si="4"/>
        <v>0.13262412075430913</v>
      </c>
      <c r="AI134" s="105">
        <f t="shared" si="4"/>
        <v>0.13113315638386677</v>
      </c>
      <c r="AJ134" s="105">
        <f t="shared" si="4"/>
        <v>0.12960183133321104</v>
      </c>
      <c r="AK134" s="105">
        <f t="shared" si="4"/>
        <v>0.12803268951089128</v>
      </c>
      <c r="AL134" s="105">
        <f t="shared" si="4"/>
        <v>0.12642809057573601</v>
      </c>
      <c r="AM134" s="105">
        <f t="shared" si="4"/>
        <v>0.1247902304594139</v>
      </c>
      <c r="AN134" s="105">
        <f t="shared" si="4"/>
        <v>0.12312115906366558</v>
      </c>
      <c r="AO134" s="105">
        <f t="shared" si="4"/>
        <v>0.12142279562770728</v>
      </c>
      <c r="AP134" s="105">
        <f t="shared" si="4"/>
        <v>0.11969694215674527</v>
      </c>
      <c r="AQ134" s="105">
        <f t="shared" si="4"/>
        <v>0.11794529522362171</v>
      </c>
      <c r="AR134" s="105">
        <f t="shared" si="4"/>
        <v>0.11616945639527224</v>
      </c>
      <c r="AS134" s="105">
        <f t="shared" si="4"/>
        <v>0.11437094148896694</v>
      </c>
      <c r="AT134" s="105">
        <f t="shared" si="4"/>
        <v>0.11255118882678736</v>
      </c>
      <c r="AU134" s="105">
        <f t="shared" si="4"/>
        <v>0.11071156662789922</v>
      </c>
      <c r="AV134" s="105">
        <f t="shared" si="4"/>
        <v>0.10885337965516992</v>
      </c>
      <c r="AW134" s="105">
        <f t="shared" si="4"/>
        <v>0.10697787521414538</v>
      </c>
      <c r="AX134" s="105">
        <f t="shared" si="4"/>
        <v>0.10508624858739941</v>
      </c>
      <c r="AY134" s="105">
        <f t="shared" si="4"/>
        <v>0.10317964797500746</v>
      </c>
      <c r="AZ134" s="105">
        <f t="shared" si="4"/>
        <v>0.10125917900183362</v>
      </c>
      <c r="BA134" s="105">
        <f t="shared" si="4"/>
        <v>9.9325908844015501E-2</v>
      </c>
      <c r="BB134" s="105">
        <f t="shared" si="4"/>
        <v>9.7380870020117569E-2</v>
      </c>
      <c r="BC134" s="105">
        <f t="shared" si="4"/>
        <v>9.5425063886691572E-2</v>
      </c>
      <c r="BD134" s="105">
        <f t="shared" si="4"/>
        <v>9.3459463873159163E-2</v>
      </c>
      <c r="BE134" s="105">
        <f t="shared" si="4"/>
        <v>9.1485018486920339E-2</v>
      </c>
      <c r="BF134" s="105">
        <f t="shared" si="4"/>
        <v>8.9502654116210473E-2</v>
      </c>
      <c r="BG134" s="105">
        <f t="shared" si="4"/>
        <v>8.7513277655399027E-2</v>
      </c>
      <c r="BH134" s="105">
        <f t="shared" si="4"/>
        <v>8.5517778975070069E-2</v>
      </c>
      <c r="BI134" s="105">
        <f t="shared" si="4"/>
        <v>8.3517033257262591E-2</v>
      </c>
      <c r="BJ134" s="105">
        <f t="shared" si="4"/>
        <v>8.1511903214636847E-2</v>
      </c>
      <c r="BK134" s="105">
        <f t="shared" si="4"/>
        <v>7.9503241211043379E-2</v>
      </c>
      <c r="BL134" s="105">
        <f t="shared" si="4"/>
        <v>7.7491891299940899E-2</v>
      </c>
      <c r="BM134" s="105">
        <f t="shared" si="4"/>
        <v>7.5478691196352185E-2</v>
      </c>
      <c r="BN134" s="105">
        <f t="shared" si="4"/>
        <v>7.3464474197522209E-2</v>
      </c>
      <c r="BO134" s="105">
        <f t="shared" si="4"/>
        <v>7.1450071067140741E-2</v>
      </c>
      <c r="BP134" s="105">
        <f t="shared" si="4"/>
        <v>6.9436311897939376E-2</v>
      </c>
      <c r="BQ134" s="105">
        <f t="shared" si="4"/>
        <v>6.7424027967612724E-2</v>
      </c>
      <c r="BR134" s="105">
        <f t="shared" si="4"/>
        <v>6.5414053603431194E-2</v>
      </c>
      <c r="BS134" s="105">
        <f t="shared" si="4"/>
        <v>6.34072280715436E-2</v>
      </c>
      <c r="BT134" s="105">
        <f t="shared" si="4"/>
        <v>6.1404397507894976E-2</v>
      </c>
      <c r="BU134" s="105">
        <f t="shared" si="4"/>
        <v>5.9406416908897183E-2</v>
      </c>
      <c r="BV134" s="105">
        <f t="shared" si="4"/>
        <v>5.7414152201541967E-2</v>
      </c>
      <c r="BW134" s="105">
        <f t="shared" si="4"/>
        <v>5.542848241457924E-2</v>
      </c>
      <c r="BX134" s="105">
        <f t="shared" si="4"/>
        <v>5.3450301974756281E-2</v>
      </c>
      <c r="BY134" s="105">
        <f t="shared" si="4"/>
        <v>5.1480523154989161E-2</v>
      </c>
      <c r="BZ134" s="105">
        <f t="shared" si="4"/>
        <v>4.9520078704825714E-2</v>
      </c>
      <c r="CA134" s="105">
        <f t="shared" si="4"/>
        <v>4.7569924697746055E-2</v>
      </c>
      <c r="CB134" s="105">
        <f t="shared" ref="CB134:DK134" si="5">(CB133-CB132)^2</f>
        <v>4.5631043634867766E-2</v>
      </c>
      <c r="CC134" s="105">
        <f t="shared" si="5"/>
        <v>4.3704447850683753E-2</v>
      </c>
      <c r="CD134" s="105">
        <f t="shared" si="5"/>
        <v>4.1791183273682191E-2</v>
      </c>
      <c r="CE134" s="105">
        <f t="shared" si="5"/>
        <v>3.9892333603431876E-2</v>
      </c>
      <c r="CF134" s="105">
        <f t="shared" si="5"/>
        <v>3.8009024976206028E-2</v>
      </c>
      <c r="CG134" s="105">
        <f t="shared" si="5"/>
        <v>3.6142431203860653E-2</v>
      </c>
      <c r="CH134" s="105">
        <f t="shared" si="5"/>
        <v>3.4293779686014325E-2</v>
      </c>
      <c r="CI134" s="105">
        <f t="shared" si="5"/>
        <v>3.2464358114131377E-2</v>
      </c>
      <c r="CJ134" s="105">
        <f t="shared" si="5"/>
        <v>3.0655522108725766E-2</v>
      </c>
      <c r="CK134" s="105">
        <f t="shared" si="5"/>
        <v>2.8868703958495976E-2</v>
      </c>
      <c r="CL134" s="105">
        <f t="shared" si="5"/>
        <v>2.7105422664027917E-2</v>
      </c>
      <c r="CM134" s="105">
        <f t="shared" si="5"/>
        <v>2.5367295530332134E-2</v>
      </c>
      <c r="CN134" s="105">
        <f t="shared" si="5"/>
        <v>2.3656051603905309E-2</v>
      </c>
      <c r="CO134" s="105">
        <f t="shared" si="5"/>
        <v>2.1973547313822027E-2</v>
      </c>
      <c r="CP134" s="105">
        <f t="shared" si="5"/>
        <v>2.0321784755940681E-2</v>
      </c>
      <c r="CQ134" s="105">
        <f t="shared" si="5"/>
        <v>1.8702933158972375E-2</v>
      </c>
      <c r="CR134" s="105">
        <f t="shared" si="5"/>
        <v>1.7119354196676952E-2</v>
      </c>
      <c r="CS134" s="105">
        <f t="shared" si="5"/>
        <v>1.5573631969314975E-2</v>
      </c>
      <c r="CT134" s="105">
        <f t="shared" si="5"/>
        <v>1.4068608679745652E-2</v>
      </c>
      <c r="CU134" s="105">
        <f t="shared" si="5"/>
        <v>1.2607427288525611E-2</v>
      </c>
      <c r="CV134" s="105">
        <f t="shared" si="5"/>
        <v>1.1193582766064808E-2</v>
      </c>
      <c r="CW134" s="105">
        <f t="shared" si="5"/>
        <v>9.8309839926560855E-3</v>
      </c>
      <c r="CX134" s="105">
        <f t="shared" si="5"/>
        <v>8.5240289223217046E-3</v>
      </c>
      <c r="CY134" s="105">
        <f t="shared" si="5"/>
        <v>7.2776963697862617E-3</v>
      </c>
      <c r="CZ134" s="105">
        <f t="shared" si="5"/>
        <v>6.0976587651790032E-3</v>
      </c>
      <c r="DA134" s="105">
        <f t="shared" si="5"/>
        <v>4.9904215377281251E-3</v>
      </c>
      <c r="DB134" s="105">
        <f t="shared" si="5"/>
        <v>3.963496564323982E-3</v>
      </c>
      <c r="DC134" s="105">
        <f t="shared" si="5"/>
        <v>3.0256195326041316E-3</v>
      </c>
      <c r="DD134" s="105">
        <f t="shared" si="5"/>
        <v>2.1870243834117382E-3</v>
      </c>
      <c r="DE134" s="105">
        <f t="shared" si="5"/>
        <v>1.4597925980123685E-3</v>
      </c>
      <c r="DF134" s="105">
        <f t="shared" si="5"/>
        <v>8.5830155057517899E-4</v>
      </c>
      <c r="DG134" s="105">
        <f t="shared" si="5"/>
        <v>3.9980531135288053E-4</v>
      </c>
      <c r="DH134" s="105">
        <f t="shared" si="5"/>
        <v>1.0519446424963519E-4</v>
      </c>
      <c r="DI134" s="105">
        <f t="shared" si="5"/>
        <v>7.113643072373223E-10</v>
      </c>
      <c r="DJ134" s="105">
        <f t="shared" si="5"/>
        <v>1.1574045073000458E-4</v>
      </c>
      <c r="DK134" s="105">
        <f t="shared" si="5"/>
        <v>4.9173421550231951E-4</v>
      </c>
    </row>
    <row r="135" spans="1:115">
      <c r="C135" s="64" t="s">
        <v>300</v>
      </c>
      <c r="D135" s="187" t="s">
        <v>301</v>
      </c>
      <c r="E135" s="116"/>
      <c r="G135" s="132">
        <f>1/((xg/rhogt/tsf+(1-xg)/rhows)^2*(xg*tsf^2+1-xg))^0.5</f>
        <v>168.69679334202323</v>
      </c>
      <c r="H135" t="s">
        <v>13</v>
      </c>
      <c r="N135" s="234"/>
      <c r="O135" s="36">
        <f t="shared" ref="O135:AT135" si="6">IF(O134=MIN($O$134:$DK$134),O132,0)</f>
        <v>0</v>
      </c>
      <c r="P135" s="36">
        <f t="shared" si="6"/>
        <v>0</v>
      </c>
      <c r="Q135" s="36">
        <f t="shared" si="6"/>
        <v>0</v>
      </c>
      <c r="R135" s="36">
        <f t="shared" si="6"/>
        <v>0</v>
      </c>
      <c r="S135" s="36">
        <f t="shared" si="6"/>
        <v>0</v>
      </c>
      <c r="T135" s="36">
        <f t="shared" si="6"/>
        <v>0</v>
      </c>
      <c r="U135" s="36">
        <f t="shared" si="6"/>
        <v>0</v>
      </c>
      <c r="V135" s="36">
        <f t="shared" si="6"/>
        <v>0</v>
      </c>
      <c r="W135" s="36">
        <f t="shared" si="6"/>
        <v>0</v>
      </c>
      <c r="X135" s="36">
        <f t="shared" si="6"/>
        <v>0</v>
      </c>
      <c r="Y135" s="36">
        <f t="shared" si="6"/>
        <v>0</v>
      </c>
      <c r="Z135" s="36">
        <f t="shared" si="6"/>
        <v>0</v>
      </c>
      <c r="AA135" s="36">
        <f t="shared" si="6"/>
        <v>0</v>
      </c>
      <c r="AB135" s="36">
        <f t="shared" si="6"/>
        <v>0</v>
      </c>
      <c r="AC135" s="36">
        <f t="shared" si="6"/>
        <v>0</v>
      </c>
      <c r="AD135" s="36">
        <f t="shared" si="6"/>
        <v>0</v>
      </c>
      <c r="AE135" s="36">
        <f t="shared" si="6"/>
        <v>0</v>
      </c>
      <c r="AF135" s="36">
        <f t="shared" si="6"/>
        <v>0</v>
      </c>
      <c r="AG135" s="36">
        <f t="shared" si="6"/>
        <v>0</v>
      </c>
      <c r="AH135" s="36">
        <f t="shared" si="6"/>
        <v>0</v>
      </c>
      <c r="AI135" s="36">
        <f t="shared" si="6"/>
        <v>0</v>
      </c>
      <c r="AJ135" s="36">
        <f t="shared" si="6"/>
        <v>0</v>
      </c>
      <c r="AK135" s="36">
        <f t="shared" si="6"/>
        <v>0</v>
      </c>
      <c r="AL135" s="36">
        <f t="shared" si="6"/>
        <v>0</v>
      </c>
      <c r="AM135" s="36">
        <f t="shared" si="6"/>
        <v>0</v>
      </c>
      <c r="AN135" s="36">
        <f t="shared" si="6"/>
        <v>0</v>
      </c>
      <c r="AO135" s="36">
        <f t="shared" si="6"/>
        <v>0</v>
      </c>
      <c r="AP135" s="36">
        <f t="shared" si="6"/>
        <v>0</v>
      </c>
      <c r="AQ135" s="36">
        <f t="shared" si="6"/>
        <v>0</v>
      </c>
      <c r="AR135" s="36">
        <f t="shared" si="6"/>
        <v>0</v>
      </c>
      <c r="AS135" s="36">
        <f t="shared" si="6"/>
        <v>0</v>
      </c>
      <c r="AT135" s="36">
        <f t="shared" si="6"/>
        <v>0</v>
      </c>
      <c r="AU135" s="36">
        <f t="shared" ref="AU135:BZ135" si="7">IF(AU134=MIN($O$134:$DK$134),AU132,0)</f>
        <v>0</v>
      </c>
      <c r="AV135" s="36">
        <f t="shared" si="7"/>
        <v>0</v>
      </c>
      <c r="AW135" s="36">
        <f t="shared" si="7"/>
        <v>0</v>
      </c>
      <c r="AX135" s="36">
        <f t="shared" si="7"/>
        <v>0</v>
      </c>
      <c r="AY135" s="36">
        <f t="shared" si="7"/>
        <v>0</v>
      </c>
      <c r="AZ135" s="36">
        <f t="shared" si="7"/>
        <v>0</v>
      </c>
      <c r="BA135" s="36">
        <f t="shared" si="7"/>
        <v>0</v>
      </c>
      <c r="BB135" s="36">
        <f t="shared" si="7"/>
        <v>0</v>
      </c>
      <c r="BC135" s="36">
        <f t="shared" si="7"/>
        <v>0</v>
      </c>
      <c r="BD135" s="36">
        <f t="shared" si="7"/>
        <v>0</v>
      </c>
      <c r="BE135" s="36">
        <f t="shared" si="7"/>
        <v>0</v>
      </c>
      <c r="BF135" s="36">
        <f t="shared" si="7"/>
        <v>0</v>
      </c>
      <c r="BG135" s="36">
        <f t="shared" si="7"/>
        <v>0</v>
      </c>
      <c r="BH135" s="36">
        <f t="shared" si="7"/>
        <v>0</v>
      </c>
      <c r="BI135" s="36">
        <f t="shared" si="7"/>
        <v>0</v>
      </c>
      <c r="BJ135" s="36">
        <f t="shared" si="7"/>
        <v>0</v>
      </c>
      <c r="BK135" s="36">
        <f t="shared" si="7"/>
        <v>0</v>
      </c>
      <c r="BL135" s="36">
        <f t="shared" si="7"/>
        <v>0</v>
      </c>
      <c r="BM135" s="36">
        <f t="shared" si="7"/>
        <v>0</v>
      </c>
      <c r="BN135" s="36">
        <f t="shared" si="7"/>
        <v>0</v>
      </c>
      <c r="BO135" s="36">
        <f t="shared" si="7"/>
        <v>0</v>
      </c>
      <c r="BP135" s="36">
        <f t="shared" si="7"/>
        <v>0</v>
      </c>
      <c r="BQ135" s="36">
        <f t="shared" si="7"/>
        <v>0</v>
      </c>
      <c r="BR135" s="36">
        <f t="shared" si="7"/>
        <v>0</v>
      </c>
      <c r="BS135" s="36">
        <f t="shared" si="7"/>
        <v>0</v>
      </c>
      <c r="BT135" s="36">
        <f t="shared" si="7"/>
        <v>0</v>
      </c>
      <c r="BU135" s="36">
        <f t="shared" si="7"/>
        <v>0</v>
      </c>
      <c r="BV135" s="36">
        <f t="shared" si="7"/>
        <v>0</v>
      </c>
      <c r="BW135" s="36">
        <f t="shared" si="7"/>
        <v>0</v>
      </c>
      <c r="BX135" s="36">
        <f t="shared" si="7"/>
        <v>0</v>
      </c>
      <c r="BY135" s="36">
        <f t="shared" si="7"/>
        <v>0</v>
      </c>
      <c r="BZ135" s="36">
        <f t="shared" si="7"/>
        <v>0</v>
      </c>
      <c r="CA135" s="36">
        <f t="shared" ref="CA135:DF135" si="8">IF(CA134=MIN($O$134:$DK$134),CA132,0)</f>
        <v>0</v>
      </c>
      <c r="CB135" s="36">
        <f t="shared" si="8"/>
        <v>0</v>
      </c>
      <c r="CC135" s="36">
        <f t="shared" si="8"/>
        <v>0</v>
      </c>
      <c r="CD135" s="36">
        <f t="shared" si="8"/>
        <v>0</v>
      </c>
      <c r="CE135" s="36">
        <f t="shared" si="8"/>
        <v>0</v>
      </c>
      <c r="CF135" s="36">
        <f t="shared" si="8"/>
        <v>0</v>
      </c>
      <c r="CG135" s="36">
        <f t="shared" si="8"/>
        <v>0</v>
      </c>
      <c r="CH135" s="36">
        <f t="shared" si="8"/>
        <v>0</v>
      </c>
      <c r="CI135" s="36">
        <f t="shared" si="8"/>
        <v>0</v>
      </c>
      <c r="CJ135" s="36">
        <f t="shared" si="8"/>
        <v>0</v>
      </c>
      <c r="CK135" s="36">
        <f t="shared" si="8"/>
        <v>0</v>
      </c>
      <c r="CL135" s="36">
        <f t="shared" si="8"/>
        <v>0</v>
      </c>
      <c r="CM135" s="36">
        <f t="shared" si="8"/>
        <v>0</v>
      </c>
      <c r="CN135" s="36">
        <f t="shared" si="8"/>
        <v>0</v>
      </c>
      <c r="CO135" s="36">
        <f t="shared" si="8"/>
        <v>0</v>
      </c>
      <c r="CP135" s="36">
        <f t="shared" si="8"/>
        <v>0</v>
      </c>
      <c r="CQ135" s="36">
        <f t="shared" si="8"/>
        <v>0</v>
      </c>
      <c r="CR135" s="36">
        <f t="shared" si="8"/>
        <v>0</v>
      </c>
      <c r="CS135" s="36">
        <f t="shared" si="8"/>
        <v>0</v>
      </c>
      <c r="CT135" s="36">
        <f t="shared" si="8"/>
        <v>0</v>
      </c>
      <c r="CU135" s="36">
        <f t="shared" si="8"/>
        <v>0</v>
      </c>
      <c r="CV135" s="36">
        <f t="shared" si="8"/>
        <v>0</v>
      </c>
      <c r="CW135" s="36">
        <f t="shared" si="8"/>
        <v>0</v>
      </c>
      <c r="CX135" s="36">
        <f t="shared" si="8"/>
        <v>0</v>
      </c>
      <c r="CY135" s="36">
        <f t="shared" si="8"/>
        <v>0</v>
      </c>
      <c r="CZ135" s="36">
        <f t="shared" si="8"/>
        <v>0</v>
      </c>
      <c r="DA135" s="36">
        <f t="shared" si="8"/>
        <v>0</v>
      </c>
      <c r="DB135" s="36">
        <f t="shared" si="8"/>
        <v>0</v>
      </c>
      <c r="DC135" s="36">
        <f t="shared" si="8"/>
        <v>0</v>
      </c>
      <c r="DD135" s="36">
        <f t="shared" si="8"/>
        <v>0</v>
      </c>
      <c r="DE135" s="36">
        <f t="shared" si="8"/>
        <v>0</v>
      </c>
      <c r="DF135" s="36">
        <f t="shared" si="8"/>
        <v>0</v>
      </c>
      <c r="DG135" s="36">
        <f>IF(DG134=MIN($O$134:$DK$134),DG132,0)</f>
        <v>0</v>
      </c>
      <c r="DH135" s="36">
        <f>IF(DH134=MIN($O$134:$DK$134),DH132,0)</f>
        <v>0</v>
      </c>
      <c r="DI135" s="36">
        <f>IF(DI134=MIN($O$134:$DK$134),DI132,0)</f>
        <v>0.98000000000000065</v>
      </c>
      <c r="DJ135" s="36">
        <f>IF(DJ134=MIN($O$134:$DK$134),DJ132,0)</f>
        <v>0</v>
      </c>
      <c r="DK135" s="36">
        <f>IF(DK134=MIN($O$134:$DK$134),DK132,0)</f>
        <v>0</v>
      </c>
    </row>
    <row r="136" spans="1:115">
      <c r="C136" s="258" t="s">
        <v>302</v>
      </c>
      <c r="D136" s="187" t="s">
        <v>303</v>
      </c>
      <c r="E136" s="116"/>
      <c r="G136" s="132">
        <f>vt*rhotS</f>
        <v>45152.592155362523</v>
      </c>
      <c r="H136" t="s">
        <v>372</v>
      </c>
      <c r="N136" s="132"/>
    </row>
    <row r="137" spans="1:115">
      <c r="C137" s="64" t="s">
        <v>304</v>
      </c>
      <c r="D137" s="187" t="s">
        <v>212</v>
      </c>
      <c r="E137" s="259"/>
      <c r="G137" s="231">
        <f>Gflux*Ag</f>
        <v>0.55394891252118261</v>
      </c>
      <c r="H137" s="112" t="s">
        <v>26</v>
      </c>
      <c r="K137" s="271">
        <f>mgr+mwr</f>
        <v>0.55394891252118261</v>
      </c>
      <c r="L137" s="170" t="str">
        <f>IF(K137=G137,"OK",1-K137/G137)</f>
        <v>OK</v>
      </c>
      <c r="M137" s="44"/>
      <c r="N137" s="231"/>
    </row>
    <row r="138" spans="1:115">
      <c r="C138" s="64" t="s">
        <v>305</v>
      </c>
      <c r="D138" s="187" t="s">
        <v>306</v>
      </c>
      <c r="E138" s="272">
        <f>60*G138</f>
        <v>28.337833834787965</v>
      </c>
      <c r="F138" s="36" t="s">
        <v>56</v>
      </c>
      <c r="G138" s="164">
        <f>xg*mr/rhogo</f>
        <v>0.47229723057979939</v>
      </c>
      <c r="H138" s="112" t="s">
        <v>1</v>
      </c>
      <c r="I138" s="227">
        <f>E138*3.281^3</f>
        <v>1000.8876731396472</v>
      </c>
      <c r="J138" s="225" t="s">
        <v>106</v>
      </c>
      <c r="K138" s="232">
        <f>Qg</f>
        <v>0.47231008449287359</v>
      </c>
      <c r="L138" s="170"/>
      <c r="N138" s="164"/>
    </row>
    <row r="140" spans="1:115">
      <c r="G140" s="234"/>
    </row>
    <row r="141" spans="1:115">
      <c r="G141" s="296"/>
    </row>
  </sheetData>
  <mergeCells count="3">
    <mergeCell ref="E3:F3"/>
    <mergeCell ref="G3:H3"/>
    <mergeCell ref="I3:J3"/>
  </mergeCells>
  <phoneticPr fontId="0" type="noConversion"/>
  <conditionalFormatting sqref="L137:L138 L123 L105 L91:L94 L48:L50 L36 L38 L44 L46 L40:L42 L52 L54 L60 L62 L56 L58 L64:L66 L71:L77 L86:L87 L81:L82 L68">
    <cfRule type="cellIs" dxfId="0" priority="2" stopIfTrue="1" operator="notEqual">
      <formula>"OK"</formula>
    </cfRule>
  </conditionalFormatting>
  <pageMargins left="0.75" right="0.75" top="1" bottom="1" header="0.5" footer="0.5"/>
  <pageSetup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AJ226"/>
  <sheetViews>
    <sheetView topLeftCell="E3" workbookViewId="0">
      <selection activeCell="AB19" sqref="AB19"/>
    </sheetView>
  </sheetViews>
  <sheetFormatPr baseColWidth="10" defaultColWidth="8.83203125" defaultRowHeight="12" x14ac:dyDescent="0"/>
  <cols>
    <col min="4" max="6" width="9.5" customWidth="1"/>
    <col min="7" max="7" width="6.6640625" customWidth="1"/>
    <col min="8" max="8" width="11" bestFit="1" customWidth="1"/>
    <col min="9" max="9" width="7.33203125" customWidth="1"/>
    <col min="10" max="10" width="6.6640625" customWidth="1"/>
    <col min="11" max="11" width="8.5" customWidth="1"/>
    <col min="12" max="12" width="8" customWidth="1"/>
    <col min="13" max="14" width="8.33203125" customWidth="1"/>
    <col min="15" max="15" width="8.6640625" customWidth="1"/>
    <col min="16" max="16" width="8.33203125" customWidth="1"/>
    <col min="17" max="17" width="8.5" customWidth="1"/>
    <col min="18" max="18" width="8.1640625" customWidth="1"/>
    <col min="19" max="20" width="9.6640625" bestFit="1" customWidth="1"/>
    <col min="22" max="22" width="9.33203125" customWidth="1"/>
    <col min="24" max="24" width="9.83203125" customWidth="1"/>
    <col min="25" max="25" width="9.5" customWidth="1"/>
    <col min="26" max="26" width="8.5" customWidth="1"/>
    <col min="27" max="27" width="9.83203125" bestFit="1" customWidth="1"/>
    <col min="29" max="29" width="9.1640625" style="330" customWidth="1"/>
    <col min="30" max="30" width="7" bestFit="1" customWidth="1"/>
    <col min="31" max="32" width="11" customWidth="1"/>
    <col min="33" max="33" width="8.33203125" customWidth="1"/>
    <col min="34" max="34" width="7.83203125" customWidth="1"/>
  </cols>
  <sheetData>
    <row r="1" spans="1:36" ht="17">
      <c r="A1" s="32" t="s">
        <v>40</v>
      </c>
      <c r="K1" s="68" t="s">
        <v>138</v>
      </c>
      <c r="L1" s="69"/>
      <c r="M1" s="69"/>
      <c r="N1" s="69"/>
      <c r="O1" s="70"/>
    </row>
    <row r="2" spans="1:36">
      <c r="D2" s="5"/>
      <c r="E2" s="5"/>
      <c r="F2" s="5"/>
      <c r="G2" s="5"/>
      <c r="K2" t="s">
        <v>410</v>
      </c>
    </row>
    <row r="3" spans="1:36" s="24" customFormat="1">
      <c r="C3" s="23" t="s">
        <v>65</v>
      </c>
      <c r="D3" s="26">
        <v>100</v>
      </c>
      <c r="E3" s="26"/>
      <c r="F3" s="26"/>
      <c r="K3" s="33" t="s">
        <v>440</v>
      </c>
      <c r="O3" s="27"/>
      <c r="P3" s="27"/>
      <c r="Q3" s="27"/>
      <c r="Z3" s="28"/>
      <c r="AC3" s="337"/>
      <c r="AI3" s="33" t="s">
        <v>453</v>
      </c>
    </row>
    <row r="4" spans="1:36" s="24" customFormat="1" ht="94">
      <c r="C4" s="23"/>
      <c r="D4" s="26"/>
      <c r="E4" s="26"/>
      <c r="F4" s="26"/>
      <c r="K4" s="27" t="s">
        <v>82</v>
      </c>
      <c r="O4" s="27" t="s">
        <v>439</v>
      </c>
      <c r="P4" s="27" t="s">
        <v>439</v>
      </c>
      <c r="Q4" s="27" t="s">
        <v>447</v>
      </c>
      <c r="T4" s="350" t="s">
        <v>76</v>
      </c>
      <c r="U4" s="351" t="s">
        <v>457</v>
      </c>
      <c r="V4" s="351"/>
      <c r="W4" s="351"/>
      <c r="X4" s="351"/>
      <c r="Y4" s="351"/>
      <c r="Z4" s="352"/>
      <c r="AA4" s="351"/>
      <c r="AB4" s="351"/>
      <c r="AC4" s="353"/>
      <c r="AD4" s="351"/>
      <c r="AE4" s="354"/>
      <c r="AF4" s="351"/>
      <c r="AG4" s="351"/>
      <c r="AH4" s="351"/>
      <c r="AI4" s="351" t="s">
        <v>452</v>
      </c>
      <c r="AJ4" s="351" t="s">
        <v>451</v>
      </c>
    </row>
    <row r="5" spans="1:36" s="27" customFormat="1" ht="38.25" customHeight="1">
      <c r="A5" s="27" t="s">
        <v>415</v>
      </c>
      <c r="B5" s="27" t="s">
        <v>17</v>
      </c>
      <c r="C5" s="27" t="s">
        <v>64</v>
      </c>
      <c r="D5" s="27" t="s">
        <v>415</v>
      </c>
      <c r="E5" s="27" t="s">
        <v>460</v>
      </c>
      <c r="F5" s="27" t="s">
        <v>461</v>
      </c>
      <c r="G5" s="27" t="s">
        <v>66</v>
      </c>
      <c r="H5" s="1042" t="s">
        <v>17</v>
      </c>
      <c r="I5" s="1042"/>
      <c r="K5" s="27" t="s">
        <v>83</v>
      </c>
      <c r="L5" s="29" t="s">
        <v>59</v>
      </c>
      <c r="M5" s="27" t="s">
        <v>441</v>
      </c>
      <c r="N5" s="27" t="s">
        <v>442</v>
      </c>
      <c r="O5" s="345" t="s">
        <v>443</v>
      </c>
      <c r="P5" s="345" t="s">
        <v>444</v>
      </c>
      <c r="Q5" s="345" t="s">
        <v>159</v>
      </c>
      <c r="R5" s="27" t="s">
        <v>90</v>
      </c>
      <c r="S5" s="27" t="s">
        <v>70</v>
      </c>
      <c r="T5" s="27" t="s">
        <v>71</v>
      </c>
      <c r="U5" s="27" t="s">
        <v>79</v>
      </c>
      <c r="V5" s="27" t="s">
        <v>85</v>
      </c>
      <c r="W5" s="27" t="s">
        <v>92</v>
      </c>
      <c r="X5" s="27" t="s">
        <v>95</v>
      </c>
      <c r="Y5" s="27" t="s">
        <v>95</v>
      </c>
      <c r="Z5" s="27" t="s">
        <v>458</v>
      </c>
      <c r="AA5" s="27" t="s">
        <v>157</v>
      </c>
      <c r="AB5" s="27" t="s">
        <v>158</v>
      </c>
      <c r="AC5" s="338" t="s">
        <v>430</v>
      </c>
      <c r="AD5" s="27" t="s">
        <v>286</v>
      </c>
      <c r="AE5" s="27" t="s">
        <v>432</v>
      </c>
      <c r="AF5" s="27" t="s">
        <v>429</v>
      </c>
      <c r="AG5" s="27" t="s">
        <v>434</v>
      </c>
      <c r="AH5" s="419" t="s">
        <v>476</v>
      </c>
      <c r="AI5" s="27" t="s">
        <v>454</v>
      </c>
      <c r="AJ5" s="27" t="s">
        <v>450</v>
      </c>
    </row>
    <row r="6" spans="1:36" s="27" customFormat="1">
      <c r="D6" s="27" t="s">
        <v>448</v>
      </c>
      <c r="E6" s="27" t="s">
        <v>137</v>
      </c>
      <c r="F6" s="27" t="s">
        <v>37</v>
      </c>
      <c r="G6" s="27" t="s">
        <v>27</v>
      </c>
      <c r="H6" s="27" t="s">
        <v>31</v>
      </c>
      <c r="J6" s="27" t="s">
        <v>45</v>
      </c>
      <c r="K6" s="27" t="s">
        <v>84</v>
      </c>
      <c r="L6" s="30" t="s">
        <v>32</v>
      </c>
      <c r="M6" s="27" t="s">
        <v>33</v>
      </c>
      <c r="O6" s="345" t="s">
        <v>101</v>
      </c>
      <c r="P6" s="345" t="s">
        <v>438</v>
      </c>
      <c r="Q6" s="345" t="s">
        <v>446</v>
      </c>
      <c r="R6" s="27" t="s">
        <v>80</v>
      </c>
      <c r="S6" s="31" t="s">
        <v>62</v>
      </c>
      <c r="T6" s="31" t="s">
        <v>61</v>
      </c>
      <c r="U6" s="27" t="s">
        <v>11</v>
      </c>
      <c r="V6" s="27" t="s">
        <v>91</v>
      </c>
      <c r="W6" s="27" t="s">
        <v>93</v>
      </c>
      <c r="X6" s="27" t="s">
        <v>96</v>
      </c>
      <c r="Y6" s="27" t="s">
        <v>97</v>
      </c>
      <c r="Z6" s="27" t="s">
        <v>109</v>
      </c>
      <c r="AC6" s="417" t="s">
        <v>431</v>
      </c>
      <c r="AD6" s="27" t="s">
        <v>287</v>
      </c>
      <c r="AE6" s="27" t="s">
        <v>433</v>
      </c>
      <c r="AI6" s="27" t="s">
        <v>455</v>
      </c>
      <c r="AJ6" s="27" t="s">
        <v>449</v>
      </c>
    </row>
    <row r="7" spans="1:36" s="12" customFormat="1">
      <c r="A7" s="12" t="s">
        <v>35</v>
      </c>
      <c r="B7" s="12" t="s">
        <v>445</v>
      </c>
      <c r="C7" s="12" t="s">
        <v>30</v>
      </c>
      <c r="D7" s="12" t="s">
        <v>6</v>
      </c>
      <c r="E7" s="12" t="s">
        <v>6</v>
      </c>
      <c r="F7" s="12" t="s">
        <v>5</v>
      </c>
      <c r="G7" s="12" t="s">
        <v>28</v>
      </c>
      <c r="H7" s="12" t="s">
        <v>3</v>
      </c>
      <c r="I7" s="12" t="s">
        <v>48</v>
      </c>
      <c r="K7" s="12" t="s">
        <v>13</v>
      </c>
      <c r="L7" s="12" t="s">
        <v>13</v>
      </c>
      <c r="M7" s="12" t="s">
        <v>58</v>
      </c>
      <c r="O7" s="265" t="s">
        <v>4</v>
      </c>
      <c r="P7" s="265" t="s">
        <v>4</v>
      </c>
      <c r="Q7" s="265" t="s">
        <v>58</v>
      </c>
      <c r="R7" s="12" t="s">
        <v>13</v>
      </c>
      <c r="S7" s="12" t="s">
        <v>12</v>
      </c>
      <c r="T7" s="12" t="s">
        <v>12</v>
      </c>
      <c r="U7" s="12" t="s">
        <v>12</v>
      </c>
      <c r="V7" s="12" t="s">
        <v>94</v>
      </c>
      <c r="W7" s="12" t="s">
        <v>94</v>
      </c>
      <c r="X7" s="12" t="s">
        <v>4</v>
      </c>
      <c r="Y7" s="12" t="s">
        <v>4</v>
      </c>
      <c r="Z7" s="12" t="s">
        <v>4</v>
      </c>
      <c r="AA7" s="12" t="s">
        <v>3</v>
      </c>
      <c r="AB7" s="12" t="s">
        <v>3</v>
      </c>
      <c r="AC7" s="339" t="s">
        <v>4</v>
      </c>
      <c r="AD7" s="27"/>
      <c r="AE7" s="12" t="s">
        <v>4</v>
      </c>
      <c r="AJ7" s="12" t="s">
        <v>100</v>
      </c>
    </row>
    <row r="8" spans="1:36" s="12" customFormat="1">
      <c r="A8" s="76" t="s">
        <v>139</v>
      </c>
      <c r="C8" s="9" t="s">
        <v>60</v>
      </c>
      <c r="O8" s="265"/>
      <c r="P8" s="265"/>
      <c r="Q8" s="346"/>
      <c r="AC8" s="418" t="s">
        <v>474</v>
      </c>
      <c r="AD8" s="418" t="s">
        <v>475</v>
      </c>
      <c r="AE8" s="418"/>
      <c r="AG8" s="418" t="s">
        <v>474</v>
      </c>
    </row>
    <row r="9" spans="1:36">
      <c r="A9">
        <f>D9*3.28</f>
        <v>0</v>
      </c>
      <c r="B9" s="4">
        <f>H9/6895</f>
        <v>414.593283488785</v>
      </c>
      <c r="C9" s="12">
        <v>0</v>
      </c>
      <c r="D9" s="4">
        <f t="shared" ref="D9:D50" si="0">i*L/N</f>
        <v>0</v>
      </c>
      <c r="E9">
        <f t="shared" ref="E9:E19" si="1">IF(MD&lt;TVD,dcase,dhor)</f>
        <v>0.11861823723647448</v>
      </c>
      <c r="F9">
        <f t="shared" ref="F9:F19" si="2">0.25*PI()*(E9^2-dto^2)</f>
        <v>9.0239389202190143E-3</v>
      </c>
      <c r="G9" s="4">
        <f t="shared" ref="G9:G19" si="3">T0+MIN(D9,TVD)*dT</f>
        <v>277.44444444444446</v>
      </c>
      <c r="H9" s="17">
        <f>Pchoke</f>
        <v>2858620.6896551726</v>
      </c>
      <c r="I9" s="2">
        <f>Pi/1000000</f>
        <v>2.8586206896551727</v>
      </c>
      <c r="J9" s="2">
        <f>1+BB*H9+CCC*H9^2+DD*H9^3</f>
        <v>1.0008819439907437</v>
      </c>
      <c r="K9" s="4">
        <f>(-0.002516*(T-273)^2-0.1853*(T-273)+1002)*(1+Pi/1000000*(0.00000002*(T-273)^2-0.00000224*(T-273)+0.000508))*(1+Cbrine)</f>
        <v>1002.5532006068998</v>
      </c>
      <c r="L9" s="4">
        <f t="shared" ref="L9:L20" si="4">Pi/(Z*Rgas*T)</f>
        <v>34.669346564529882</v>
      </c>
      <c r="M9" s="161">
        <f t="shared" ref="M9:M50" si="5">mg/rhoi/(mg/rhoi+(mw-ml)/rhow)</f>
        <v>0.64993152271579135</v>
      </c>
      <c r="N9" s="161">
        <f>1-Q9</f>
        <v>0.53669494827887843</v>
      </c>
      <c r="O9" s="346">
        <f>IF(D9&lt;TVD,1.53*((9.8*(0.17-0.00033*T)*(rhow-rhoi)/rhow^2))^0.25,0)</f>
        <v>0.25237077254114809</v>
      </c>
      <c r="P9" s="346">
        <f>IF(D9&lt;TVD,0.35*SQRT(9.8*dci*(rhow-rhoi)/rhow),0)</f>
        <v>0.37077865418863654</v>
      </c>
      <c r="Q9" s="348">
        <f>IF(M9&lt;0.25,(1-Y9/(1.2*Z9+O9))/1.024,(1-Y9/(1.15*Z9+P9))/1.07)</f>
        <v>0.46330505172112157</v>
      </c>
      <c r="R9" s="162">
        <f t="shared" ref="R9:R20" si="6">fL*rhow+(1-fL)*rhoi</f>
        <v>483.09482562166863</v>
      </c>
      <c r="S9" s="13">
        <f>0.001*(83080000000*T^-4.4259)</f>
        <v>1.2771552230200938E-3</v>
      </c>
      <c r="T9" s="13">
        <f>0.001*(0.0167214+0.0000392728*(T-273)+0.000000122474*(T-273)^2+0.000000856087*(Pi*0.000145)+0.000000000469295*(Pi*0.000145)^2)</f>
        <v>1.7333842770057701E-5</v>
      </c>
      <c r="U9" s="13">
        <f>(1-fL)*mug+fL*muw</f>
        <v>6.0101545250617542E-4</v>
      </c>
      <c r="V9" s="20">
        <f t="shared" ref="V9:V50" si="7">(mw-ml)/rhow</f>
        <v>8.4342672302272388E-3</v>
      </c>
      <c r="W9" s="20">
        <f>mg/rhoi</f>
        <v>1.5658925323582016E-2</v>
      </c>
      <c r="X9" s="402">
        <f>Qw/Aa</f>
        <v>0.93465473390222553</v>
      </c>
      <c r="Y9" s="402">
        <f>Qn/Aa</f>
        <v>1.7352649948124834</v>
      </c>
      <c r="Z9" s="336">
        <f>(Qw+Qn)/Aa</f>
        <v>2.6699197287147092</v>
      </c>
      <c r="AA9" s="65">
        <f t="shared" ref="AA9:AA19" si="8">0.1275*(1)*rho^0.8*va^1.8*mu^0.2/((dci-dto)^1.2)</f>
        <v>600.61333903271429</v>
      </c>
      <c r="AB9" s="14">
        <f>IF(D9&lt;TVD,rho*g*L/N,0)</f>
        <v>216508.96148288198</v>
      </c>
      <c r="AC9" s="340">
        <f t="shared" ref="AC9:AC50" si="9">IF(MD&gt;TVD,X9/Q9,1000)</f>
        <v>1000</v>
      </c>
      <c r="AD9" s="2">
        <f>IF(MD&lt;TVD,1-1.8*SQRT(g*DP*(rhorock-rho)/rho)/va,1)</f>
        <v>0.85865153424101193</v>
      </c>
      <c r="AE9" s="66">
        <f>3000*mu/(dci-dto)/rho</f>
        <v>5.5033693459498358E-2</v>
      </c>
      <c r="AF9" s="4">
        <f t="shared" ref="AF9:AF50" si="10">Z9/AE9</f>
        <v>48.514274817473719</v>
      </c>
      <c r="AG9" s="4">
        <f>SQRT(K9*AC9^2/(9.8*Q9*dci*(K9-L9)))</f>
        <v>1386.819063018339</v>
      </c>
      <c r="AH9" s="4">
        <f t="shared" ref="AH9:AH50" si="11">9.8*0.001*MIN(D9,TVD)*145</f>
        <v>0</v>
      </c>
      <c r="AI9" s="349">
        <f>IF(vsg&gt;15.3*((9.8*(0.17-0.00033*T)*(rhow-rhoi)/rhoi^2))^0.25,1,0)</f>
        <v>0</v>
      </c>
      <c r="AJ9" s="1">
        <f>0.17-0.00033*T</f>
        <v>7.8443333333333337E-2</v>
      </c>
    </row>
    <row r="10" spans="1:36">
      <c r="A10" s="943"/>
      <c r="B10" s="944"/>
      <c r="C10" s="945"/>
      <c r="D10" s="944">
        <f>1+D9</f>
        <v>1</v>
      </c>
      <c r="E10" s="943">
        <f t="shared" si="1"/>
        <v>0.11861823723647448</v>
      </c>
      <c r="F10" s="943">
        <f t="shared" si="2"/>
        <v>9.0239389202190143E-3</v>
      </c>
      <c r="G10" s="944">
        <f t="shared" si="3"/>
        <v>277.4808888888889</v>
      </c>
      <c r="H10" s="946">
        <f>H9+AA9+AB9</f>
        <v>3075730.2644770872</v>
      </c>
      <c r="I10" s="947">
        <f t="shared" ref="I10:I83" si="12">Pi/1000000</f>
        <v>3.075730264477087</v>
      </c>
      <c r="J10" s="947">
        <f>1+BB*H10+CCC*H10^2+DD*H10^3</f>
        <v>1.0010753060843576</v>
      </c>
      <c r="K10" s="944">
        <f t="shared" ref="K10:K83" si="13">(-0.002516*(T-273)^2-0.1853*(T-273)+1002)*(1+Pi/1000000*(0.00000002*(T-273)^2-0.00000224*(T-273)+0.000508))*(1+Cbrine)</f>
        <v>1002.6537240251423</v>
      </c>
      <c r="L10" s="944">
        <f t="shared" si="4"/>
        <v>37.290347592134331</v>
      </c>
      <c r="M10" s="948">
        <f t="shared" si="5"/>
        <v>0.63319774581185839</v>
      </c>
      <c r="N10" s="948">
        <f>1-Q10</f>
        <v>0.49947083382114377</v>
      </c>
      <c r="O10" s="949">
        <f>IF(D10&lt;TVD,1.53*((9.8*(0.17-0.00033*T)*(rhow-rhoi)/rhow^2))^0.25,0)</f>
        <v>0.25218400142152742</v>
      </c>
      <c r="P10" s="949">
        <f>IF(D10&lt;TVD,0.35*SQRT(9.8*dci*(rhow-rhoi)/rhow),0)</f>
        <v>0.37027700208096131</v>
      </c>
      <c r="Q10" s="950">
        <f>IF(N8&lt;0.25,(1-Y10/(1.2*Z10+O10))/1.024,(1-Y10/(1.15*Z10+P10))/1.07)</f>
        <v>0.50052916617885623</v>
      </c>
      <c r="R10" s="951">
        <f t="shared" si="6"/>
        <v>520.48287345775316</v>
      </c>
      <c r="S10" s="952">
        <f t="shared" ref="S10:S83" si="14">0.001*(83080000000*T^-4.4259)</f>
        <v>1.2764129804992033E-3</v>
      </c>
      <c r="T10" s="952">
        <f t="shared" ref="T10:T83" si="15">0.001*(0.0167214+0.0000392728*(T-273)+0.000000122474*(T-273)^2+0.000000856087*(Pi*0.000145)+0.000000000469295*(Pi*0.000145)^2)</f>
        <v>1.7374976855664951E-5</v>
      </c>
      <c r="U10" s="952">
        <f t="shared" ref="U10:U83" si="16">(1-fL)*mug+fL*muw</f>
        <v>6.4756021900685696E-4</v>
      </c>
      <c r="V10" s="953">
        <f t="shared" si="7"/>
        <v>8.4334216328369963E-3</v>
      </c>
      <c r="W10" s="953">
        <f t="shared" ref="W10:W83" si="17">mg/rhoi</f>
        <v>1.4558317203400619E-2</v>
      </c>
      <c r="X10" s="954">
        <f t="shared" ref="X10:X83" si="18">Qw/Aa</f>
        <v>0.93456102788341056</v>
      </c>
      <c r="Y10" s="954">
        <f t="shared" ref="Y10:Y83" si="19">Qn/Aa</f>
        <v>1.6132996169534448</v>
      </c>
      <c r="Z10" s="955">
        <f t="shared" ref="Z10:Z83" si="20">(Qw+Qn)/Aa</f>
        <v>2.5478606448368555</v>
      </c>
      <c r="AA10" s="956">
        <f t="shared" si="8"/>
        <v>594.82958800502638</v>
      </c>
      <c r="AB10" s="956">
        <f t="shared" ref="AB10:AB19" si="21">IF(D10&lt;TVD,rho*g,0)</f>
        <v>5100.7321598859817</v>
      </c>
      <c r="AC10" s="955">
        <f>IF(MD&gt;TVD,X10/Q10,1000)</f>
        <v>1000</v>
      </c>
      <c r="AD10" s="947">
        <f t="shared" ref="AD10:AD83" si="22">IF(MD&lt;TVD,1-1.8*SQRT(g*DP*(rhorock-rho)/rho)/va,1)</f>
        <v>0.85853558134780816</v>
      </c>
      <c r="AE10" s="957">
        <f t="shared" ref="AE10:AE83" si="23">3000*mu/(dci-dto)/rho</f>
        <v>5.5036286888472161E-2</v>
      </c>
      <c r="AF10" s="944">
        <f>Z10/AE10</f>
        <v>46.294195863902431</v>
      </c>
      <c r="AG10" s="958">
        <f>SQRT(K10*AC10^2/(9.8*Q10*dci*(K10-L10)))</f>
        <v>1336.0619964880116</v>
      </c>
      <c r="AH10" s="944">
        <f>9.8*0.001*MIN(D10,TVD)*145</f>
        <v>1.4210000000000003</v>
      </c>
      <c r="AI10" s="959">
        <f t="shared" ref="AI10:AI83" si="24">IF(vsg&gt;20*((9.8*(0.17-0.00033*T)*(rhow-rhoi)/rhoi^2))^0.25,1,0)</f>
        <v>0</v>
      </c>
      <c r="AJ10" s="957">
        <f t="shared" ref="AJ10:AJ83" si="25">0.17-0.00033*T</f>
        <v>7.8431306666666673E-2</v>
      </c>
    </row>
    <row r="11" spans="1:36">
      <c r="A11" s="943"/>
      <c r="B11" s="944"/>
      <c r="C11" s="945"/>
      <c r="D11" s="944">
        <f t="shared" ref="D11:D19" si="26">1+D10</f>
        <v>2</v>
      </c>
      <c r="E11" s="943">
        <f t="shared" si="1"/>
        <v>0.11861823723647448</v>
      </c>
      <c r="F11" s="943">
        <f t="shared" si="2"/>
        <v>9.0239389202190143E-3</v>
      </c>
      <c r="G11" s="944">
        <f t="shared" si="3"/>
        <v>277.51733333333334</v>
      </c>
      <c r="H11" s="946">
        <f t="shared" ref="H11:H19" si="27">H10+AA10+AB10</f>
        <v>3081425.8262249781</v>
      </c>
      <c r="I11" s="947">
        <f t="shared" si="12"/>
        <v>3.0814258262249781</v>
      </c>
      <c r="J11" s="947">
        <f t="shared" ref="J11:J19" si="28">1+BB*H11+CCC*H11^2+DD*H11^3</f>
        <v>1.0010806150447882</v>
      </c>
      <c r="K11" s="944">
        <f t="shared" si="13"/>
        <v>1002.6487441878052</v>
      </c>
      <c r="L11" s="944">
        <f t="shared" si="4"/>
        <v>37.354296688882869</v>
      </c>
      <c r="M11" s="948">
        <f t="shared" si="5"/>
        <v>0.63279854300556615</v>
      </c>
      <c r="N11" s="948">
        <f t="shared" ref="N11:N19" si="29">1-Q11</f>
        <v>0.52193085670789574</v>
      </c>
      <c r="O11" s="949">
        <f t="shared" ref="O11:O19" si="30">IF(D11&lt;TVD,1.53*((9.8*(0.17-0.00033*T)*(rhow-rhoi)/rhow^2))^0.25,0)</f>
        <v>0.252170458044367</v>
      </c>
      <c r="P11" s="949">
        <f t="shared" ref="P11:P19" si="31">IF(D11&lt;TVD,0.35*SQRT(9.8*dci*(rhow-rhoi)/rhow),0)</f>
        <v>0.37026470206461931</v>
      </c>
      <c r="Q11" s="950">
        <f t="shared" ref="Q11:Q19" si="32">IF(N9&lt;0.25,(1-Y11/(1.2*Z11+O11))/1.024,(1-Y11/(1.15*Z11+P11))/1.07)</f>
        <v>0.47806914329210431</v>
      </c>
      <c r="R11" s="951">
        <f t="shared" si="6"/>
        <v>498.8317862293178</v>
      </c>
      <c r="S11" s="952">
        <f t="shared" si="14"/>
        <v>1.2756712667414166E-3</v>
      </c>
      <c r="T11" s="952">
        <f t="shared" si="15"/>
        <v>1.7377501317527953E-5</v>
      </c>
      <c r="U11" s="952">
        <f t="shared" si="16"/>
        <v>6.1892892376352252E-4</v>
      </c>
      <c r="V11" s="953">
        <f t="shared" si="7"/>
        <v>8.4334635189593013E-3</v>
      </c>
      <c r="W11" s="953">
        <f t="shared" si="17"/>
        <v>1.4533393933044595E-2</v>
      </c>
      <c r="X11" s="954">
        <f t="shared" si="18"/>
        <v>0.93456566955072184</v>
      </c>
      <c r="Y11" s="954">
        <f t="shared" si="19"/>
        <v>1.6105377110300592</v>
      </c>
      <c r="Z11" s="955">
        <f t="shared" si="20"/>
        <v>2.5451033805807812</v>
      </c>
      <c r="AA11" s="956">
        <f t="shared" si="8"/>
        <v>568.66485729036322</v>
      </c>
      <c r="AB11" s="956">
        <f t="shared" si="21"/>
        <v>4888.551505047315</v>
      </c>
      <c r="AC11" s="955">
        <f t="shared" ref="AC11:AC19" si="33">IF(MD&gt;TVD,X11/Q11,1000)</f>
        <v>1000</v>
      </c>
      <c r="AD11" s="947">
        <f t="shared" si="22"/>
        <v>0.85460809016336348</v>
      </c>
      <c r="AE11" s="957">
        <f t="shared" si="23"/>
        <v>5.488606141467206E-2</v>
      </c>
      <c r="AF11" s="944">
        <f t="shared" ref="AF11:AF19" si="34">Z11/AE11</f>
        <v>46.370668890816567</v>
      </c>
      <c r="AG11" s="958">
        <f t="shared" ref="AG11:AG19" si="35">SQRT(K11*AC11^2/(9.8*Q11*dci*(K11-L11)))</f>
        <v>1367.1317697838042</v>
      </c>
      <c r="AH11" s="944">
        <f t="shared" ref="AH11:AH19" si="36">9.8*0.001*MIN(D11,TVD)*145</f>
        <v>2.8420000000000005</v>
      </c>
      <c r="AI11" s="959">
        <f t="shared" si="24"/>
        <v>0</v>
      </c>
      <c r="AJ11" s="957">
        <f t="shared" si="25"/>
        <v>7.8419280000000008E-2</v>
      </c>
    </row>
    <row r="12" spans="1:36">
      <c r="A12" s="943"/>
      <c r="B12" s="944"/>
      <c r="C12" s="945"/>
      <c r="D12" s="944">
        <f t="shared" si="26"/>
        <v>3</v>
      </c>
      <c r="E12" s="943">
        <f t="shared" si="1"/>
        <v>0.11861823723647448</v>
      </c>
      <c r="F12" s="943">
        <f t="shared" si="2"/>
        <v>9.0239389202190143E-3</v>
      </c>
      <c r="G12" s="944">
        <f t="shared" si="3"/>
        <v>277.55377777777778</v>
      </c>
      <c r="H12" s="946">
        <f t="shared" si="27"/>
        <v>3086883.0425873157</v>
      </c>
      <c r="I12" s="947">
        <f t="shared" si="12"/>
        <v>3.0868830425873157</v>
      </c>
      <c r="J12" s="947">
        <f t="shared" si="28"/>
        <v>1.0010857131618487</v>
      </c>
      <c r="K12" s="944">
        <f t="shared" si="13"/>
        <v>1002.6436380470515</v>
      </c>
      <c r="L12" s="944">
        <f t="shared" si="4"/>
        <v>37.415347216988934</v>
      </c>
      <c r="M12" s="948">
        <f t="shared" si="5"/>
        <v>0.63241781860040069</v>
      </c>
      <c r="N12" s="948">
        <f t="shared" si="29"/>
        <v>0.52160496872079298</v>
      </c>
      <c r="O12" s="949">
        <f t="shared" si="30"/>
        <v>0.25215711053312606</v>
      </c>
      <c r="P12" s="949">
        <f t="shared" si="31"/>
        <v>0.37025295654637524</v>
      </c>
      <c r="Q12" s="950">
        <f t="shared" si="32"/>
        <v>0.47839503127920702</v>
      </c>
      <c r="R12" s="951">
        <f t="shared" si="6"/>
        <v>499.17576560021223</v>
      </c>
      <c r="S12" s="952">
        <f t="shared" si="14"/>
        <v>1.2749300813006807E-3</v>
      </c>
      <c r="T12" s="952">
        <f t="shared" si="15"/>
        <v>1.7379982638816935E-5</v>
      </c>
      <c r="U12" s="952">
        <f t="shared" si="16"/>
        <v>6.189857014233291E-4</v>
      </c>
      <c r="V12" s="953">
        <f t="shared" si="7"/>
        <v>8.4335064678696964E-3</v>
      </c>
      <c r="W12" s="953">
        <f t="shared" si="17"/>
        <v>1.4509679830656605E-2</v>
      </c>
      <c r="X12" s="954">
        <f t="shared" si="18"/>
        <v>0.93457042899233322</v>
      </c>
      <c r="Y12" s="954">
        <f t="shared" si="19"/>
        <v>1.6079098006909438</v>
      </c>
      <c r="Z12" s="955">
        <f t="shared" si="20"/>
        <v>2.5424802296832771</v>
      </c>
      <c r="AA12" s="956">
        <f t="shared" si="8"/>
        <v>567.93382947987197</v>
      </c>
      <c r="AB12" s="956">
        <f t="shared" si="21"/>
        <v>4891.9225028820802</v>
      </c>
      <c r="AC12" s="955">
        <f t="shared" si="33"/>
        <v>1000</v>
      </c>
      <c r="AD12" s="947">
        <f t="shared" si="22"/>
        <v>0.85451987260553586</v>
      </c>
      <c r="AE12" s="957">
        <f t="shared" si="23"/>
        <v>5.4853271243359931E-2</v>
      </c>
      <c r="AF12" s="944">
        <f t="shared" si="34"/>
        <v>46.350567104802309</v>
      </c>
      <c r="AG12" s="958">
        <f t="shared" si="35"/>
        <v>1366.7093924993208</v>
      </c>
      <c r="AH12" s="944">
        <f t="shared" si="36"/>
        <v>4.2630000000000008</v>
      </c>
      <c r="AI12" s="959">
        <f t="shared" si="24"/>
        <v>0</v>
      </c>
      <c r="AJ12" s="957">
        <f t="shared" si="25"/>
        <v>7.8407253333333343E-2</v>
      </c>
    </row>
    <row r="13" spans="1:36">
      <c r="A13" s="943"/>
      <c r="B13" s="944"/>
      <c r="C13" s="945"/>
      <c r="D13" s="944">
        <f t="shared" si="26"/>
        <v>4</v>
      </c>
      <c r="E13" s="943">
        <f t="shared" si="1"/>
        <v>0.11861823723647448</v>
      </c>
      <c r="F13" s="943">
        <f t="shared" si="2"/>
        <v>9.0239389202190143E-3</v>
      </c>
      <c r="G13" s="944">
        <f t="shared" si="3"/>
        <v>277.59022222222222</v>
      </c>
      <c r="H13" s="946">
        <f t="shared" si="27"/>
        <v>3092342.8989196774</v>
      </c>
      <c r="I13" s="947">
        <f t="shared" si="12"/>
        <v>3.0923428989196773</v>
      </c>
      <c r="J13" s="947">
        <f t="shared" si="28"/>
        <v>1.0010908248339399</v>
      </c>
      <c r="K13" s="944">
        <f t="shared" si="13"/>
        <v>1002.6385258360199</v>
      </c>
      <c r="L13" s="944">
        <f t="shared" si="4"/>
        <v>37.476412529557749</v>
      </c>
      <c r="M13" s="948">
        <f t="shared" si="5"/>
        <v>0.63203745502052078</v>
      </c>
      <c r="N13" s="948">
        <f t="shared" si="29"/>
        <v>0.52127946911209566</v>
      </c>
      <c r="O13" s="949">
        <f t="shared" si="30"/>
        <v>0.25214376135366273</v>
      </c>
      <c r="P13" s="949">
        <f t="shared" si="31"/>
        <v>0.37024120765666108</v>
      </c>
      <c r="Q13" s="950">
        <f t="shared" si="32"/>
        <v>0.47872053088790428</v>
      </c>
      <c r="R13" s="951">
        <f t="shared" si="6"/>
        <v>499.51933180451897</v>
      </c>
      <c r="S13" s="952">
        <f t="shared" si="14"/>
        <v>1.2741894237313814E-3</v>
      </c>
      <c r="T13" s="952">
        <f t="shared" si="15"/>
        <v>1.7382465361950761E-5</v>
      </c>
      <c r="U13" s="952">
        <f t="shared" si="16"/>
        <v>6.1904175969617681E-4</v>
      </c>
      <c r="V13" s="953">
        <f t="shared" si="7"/>
        <v>8.4335494682768099E-3</v>
      </c>
      <c r="W13" s="953">
        <f t="shared" si="17"/>
        <v>1.4486037275931453E-2</v>
      </c>
      <c r="X13" s="954">
        <f t="shared" si="18"/>
        <v>0.93457519414062307</v>
      </c>
      <c r="Y13" s="954">
        <f t="shared" si="19"/>
        <v>1.605289819002883</v>
      </c>
      <c r="Z13" s="955">
        <f t="shared" si="20"/>
        <v>2.5398650131435061</v>
      </c>
      <c r="AA13" s="956">
        <f t="shared" si="8"/>
        <v>567.20512049383842</v>
      </c>
      <c r="AB13" s="956">
        <f t="shared" si="21"/>
        <v>4895.2894516842862</v>
      </c>
      <c r="AC13" s="955">
        <f t="shared" si="33"/>
        <v>1000</v>
      </c>
      <c r="AD13" s="947">
        <f t="shared" si="22"/>
        <v>0.85443179442868433</v>
      </c>
      <c r="AE13" s="957">
        <f t="shared" si="23"/>
        <v>5.4820507868822352E-2</v>
      </c>
      <c r="AF13" s="944">
        <f t="shared" si="34"/>
        <v>46.330563358169549</v>
      </c>
      <c r="AG13" s="958">
        <f t="shared" si="35"/>
        <v>1366.2880307609432</v>
      </c>
      <c r="AH13" s="944">
        <f t="shared" si="36"/>
        <v>5.6840000000000011</v>
      </c>
      <c r="AI13" s="959">
        <f t="shared" si="24"/>
        <v>0</v>
      </c>
      <c r="AJ13" s="957">
        <f t="shared" si="25"/>
        <v>7.8395226666666679E-2</v>
      </c>
    </row>
    <row r="14" spans="1:36">
      <c r="A14" s="943"/>
      <c r="B14" s="944"/>
      <c r="C14" s="945"/>
      <c r="D14" s="944">
        <f t="shared" si="26"/>
        <v>5</v>
      </c>
      <c r="E14" s="943">
        <f t="shared" si="1"/>
        <v>0.11861823723647448</v>
      </c>
      <c r="F14" s="943">
        <f t="shared" si="2"/>
        <v>9.0239389202190143E-3</v>
      </c>
      <c r="G14" s="944">
        <f t="shared" si="3"/>
        <v>277.62666666666667</v>
      </c>
      <c r="H14" s="946">
        <f t="shared" si="27"/>
        <v>3097805.3934918554</v>
      </c>
      <c r="I14" s="947">
        <f t="shared" si="12"/>
        <v>3.0978053934918552</v>
      </c>
      <c r="J14" s="947">
        <f t="shared" si="28"/>
        <v>1.0010959500745797</v>
      </c>
      <c r="K14" s="944">
        <f t="shared" si="13"/>
        <v>1002.6334075540595</v>
      </c>
      <c r="L14" s="944">
        <f t="shared" si="4"/>
        <v>37.537492596142719</v>
      </c>
      <c r="M14" s="948">
        <f t="shared" si="5"/>
        <v>0.63165745197052292</v>
      </c>
      <c r="N14" s="948">
        <f t="shared" si="29"/>
        <v>0.52095435737534068</v>
      </c>
      <c r="O14" s="949">
        <f t="shared" si="30"/>
        <v>0.25213041050758034</v>
      </c>
      <c r="P14" s="949">
        <f t="shared" si="31"/>
        <v>0.37022945540073188</v>
      </c>
      <c r="Q14" s="950">
        <f t="shared" si="32"/>
        <v>0.47904564262465932</v>
      </c>
      <c r="R14" s="951">
        <f t="shared" si="6"/>
        <v>499.8624853715915</v>
      </c>
      <c r="S14" s="952">
        <f t="shared" si="14"/>
        <v>1.2734492935883416E-3</v>
      </c>
      <c r="T14" s="952">
        <f t="shared" si="15"/>
        <v>1.738494948746221E-5</v>
      </c>
      <c r="U14" s="952">
        <f t="shared" si="16"/>
        <v>6.1909710038518919E-4</v>
      </c>
      <c r="V14" s="953">
        <f t="shared" si="7"/>
        <v>8.4335925201876882E-3</v>
      </c>
      <c r="W14" s="953">
        <f t="shared" si="17"/>
        <v>1.4462465959357762E-2</v>
      </c>
      <c r="X14" s="954">
        <f t="shared" si="18"/>
        <v>0.9345799649963723</v>
      </c>
      <c r="Y14" s="954">
        <f t="shared" si="19"/>
        <v>1.6026777316669552</v>
      </c>
      <c r="Z14" s="955">
        <f t="shared" si="20"/>
        <v>2.5372576966633273</v>
      </c>
      <c r="AA14" s="956">
        <f t="shared" si="8"/>
        <v>566.4787195537931</v>
      </c>
      <c r="AB14" s="956">
        <f t="shared" si="21"/>
        <v>4898.6523566415972</v>
      </c>
      <c r="AC14" s="955">
        <f t="shared" si="33"/>
        <v>1000</v>
      </c>
      <c r="AD14" s="947">
        <f t="shared" si="22"/>
        <v>0.85434385532910406</v>
      </c>
      <c r="AE14" s="957">
        <f t="shared" si="23"/>
        <v>5.4787771256112124E-2</v>
      </c>
      <c r="AF14" s="944">
        <f t="shared" si="34"/>
        <v>46.310657259675821</v>
      </c>
      <c r="AG14" s="958">
        <f t="shared" si="35"/>
        <v>1365.867681408899</v>
      </c>
      <c r="AH14" s="944">
        <f t="shared" si="36"/>
        <v>7.1050000000000013</v>
      </c>
      <c r="AI14" s="959">
        <f t="shared" si="24"/>
        <v>0</v>
      </c>
      <c r="AJ14" s="957">
        <f t="shared" si="25"/>
        <v>7.8383200000000014E-2</v>
      </c>
    </row>
    <row r="15" spans="1:36">
      <c r="A15" s="943"/>
      <c r="B15" s="944"/>
      <c r="C15" s="945"/>
      <c r="D15" s="944">
        <f t="shared" si="26"/>
        <v>6</v>
      </c>
      <c r="E15" s="943">
        <f t="shared" si="1"/>
        <v>0.11861823723647448</v>
      </c>
      <c r="F15" s="943">
        <f t="shared" si="2"/>
        <v>9.0239389202190143E-3</v>
      </c>
      <c r="G15" s="944">
        <f t="shared" si="3"/>
        <v>277.66311111111111</v>
      </c>
      <c r="H15" s="946">
        <f t="shared" si="27"/>
        <v>3103270.5245680506</v>
      </c>
      <c r="I15" s="947">
        <f t="shared" si="12"/>
        <v>3.1032705245680505</v>
      </c>
      <c r="J15" s="947">
        <f t="shared" si="28"/>
        <v>1.0011010888972718</v>
      </c>
      <c r="K15" s="944">
        <f t="shared" si="13"/>
        <v>1002.628283200518</v>
      </c>
      <c r="L15" s="944">
        <f t="shared" si="4"/>
        <v>37.598587386240524</v>
      </c>
      <c r="M15" s="948">
        <f t="shared" si="5"/>
        <v>0.63127780915529907</v>
      </c>
      <c r="N15" s="948">
        <f t="shared" si="29"/>
        <v>0.52062963300495202</v>
      </c>
      <c r="O15" s="949">
        <f t="shared" si="30"/>
        <v>0.25211705799648626</v>
      </c>
      <c r="P15" s="949">
        <f t="shared" si="31"/>
        <v>0.37021769978385388</v>
      </c>
      <c r="Q15" s="950">
        <f t="shared" si="32"/>
        <v>0.47937036699504798</v>
      </c>
      <c r="R15" s="951">
        <f t="shared" si="6"/>
        <v>500.20522682985023</v>
      </c>
      <c r="S15" s="952">
        <f t="shared" si="14"/>
        <v>1.2727096904268126E-3</v>
      </c>
      <c r="T15" s="952">
        <f t="shared" si="15"/>
        <v>1.7387435015882692E-5</v>
      </c>
      <c r="U15" s="952">
        <f t="shared" si="16"/>
        <v>6.1915172528927153E-4</v>
      </c>
      <c r="V15" s="953">
        <f t="shared" si="7"/>
        <v>8.4336356236093882E-3</v>
      </c>
      <c r="W15" s="953">
        <f t="shared" si="17"/>
        <v>1.443896557321275E-2</v>
      </c>
      <c r="X15" s="954">
        <f t="shared" si="18"/>
        <v>0.93458474156036297</v>
      </c>
      <c r="Y15" s="954">
        <f t="shared" si="19"/>
        <v>1.6000735045824435</v>
      </c>
      <c r="Z15" s="955">
        <f t="shared" si="20"/>
        <v>2.5346582461428064</v>
      </c>
      <c r="AA15" s="956">
        <f t="shared" si="8"/>
        <v>565.75461594796843</v>
      </c>
      <c r="AB15" s="956">
        <f t="shared" si="21"/>
        <v>4902.0112229325323</v>
      </c>
      <c r="AC15" s="955">
        <f t="shared" si="33"/>
        <v>1000</v>
      </c>
      <c r="AD15" s="947">
        <f t="shared" si="22"/>
        <v>0.85425605500412183</v>
      </c>
      <c r="AE15" s="957">
        <f t="shared" si="23"/>
        <v>5.4755061370378166E-2</v>
      </c>
      <c r="AF15" s="944">
        <f t="shared" si="34"/>
        <v>46.290848420343956</v>
      </c>
      <c r="AG15" s="958">
        <f t="shared" si="35"/>
        <v>1365.4483412969423</v>
      </c>
      <c r="AH15" s="944">
        <f t="shared" si="36"/>
        <v>8.5260000000000016</v>
      </c>
      <c r="AI15" s="959">
        <f t="shared" si="24"/>
        <v>0</v>
      </c>
      <c r="AJ15" s="957">
        <f t="shared" si="25"/>
        <v>7.8371173333333349E-2</v>
      </c>
    </row>
    <row r="16" spans="1:36">
      <c r="A16" s="943"/>
      <c r="B16" s="944"/>
      <c r="C16" s="945"/>
      <c r="D16" s="944">
        <f t="shared" si="26"/>
        <v>7</v>
      </c>
      <c r="E16" s="943">
        <f t="shared" si="1"/>
        <v>0.11861823723647448</v>
      </c>
      <c r="F16" s="943">
        <f t="shared" si="2"/>
        <v>9.0239389202190143E-3</v>
      </c>
      <c r="G16" s="944">
        <f t="shared" si="3"/>
        <v>277.69955555555555</v>
      </c>
      <c r="H16" s="946">
        <f t="shared" si="27"/>
        <v>3108738.2904069312</v>
      </c>
      <c r="I16" s="947">
        <f t="shared" si="12"/>
        <v>3.1087382904069312</v>
      </c>
      <c r="J16" s="947">
        <f t="shared" si="28"/>
        <v>1.0011062413155054</v>
      </c>
      <c r="K16" s="944">
        <f t="shared" si="13"/>
        <v>1002.6231527747418</v>
      </c>
      <c r="L16" s="944">
        <f t="shared" si="4"/>
        <v>37.659696869291757</v>
      </c>
      <c r="M16" s="948">
        <f t="shared" si="5"/>
        <v>0.6308985262800324</v>
      </c>
      <c r="N16" s="948">
        <f t="shared" si="29"/>
        <v>0.52030529549623505</v>
      </c>
      <c r="O16" s="949">
        <f t="shared" si="30"/>
        <v>0.25210370382199127</v>
      </c>
      <c r="P16" s="949">
        <f t="shared" si="31"/>
        <v>0.37020594081130515</v>
      </c>
      <c r="Q16" s="950">
        <f t="shared" si="32"/>
        <v>0.47969470450376495</v>
      </c>
      <c r="R16" s="951">
        <f t="shared" si="6"/>
        <v>500.54755670678844</v>
      </c>
      <c r="S16" s="952">
        <f t="shared" si="14"/>
        <v>1.2719706138024833E-3</v>
      </c>
      <c r="T16" s="952">
        <f t="shared" si="15"/>
        <v>1.7389921947742249E-5</v>
      </c>
      <c r="U16" s="952">
        <f t="shared" si="16"/>
        <v>6.1920563620313125E-4</v>
      </c>
      <c r="V16" s="953">
        <f t="shared" si="7"/>
        <v>8.4336787785489788E-3</v>
      </c>
      <c r="W16" s="953">
        <f t="shared" si="17"/>
        <v>1.441553581154908E-2</v>
      </c>
      <c r="X16" s="954">
        <f t="shared" si="18"/>
        <v>0.93458952383337834</v>
      </c>
      <c r="Y16" s="954">
        <f t="shared" si="19"/>
        <v>1.5974771038453803</v>
      </c>
      <c r="Z16" s="955">
        <f t="shared" si="20"/>
        <v>2.5320666276787587</v>
      </c>
      <c r="AA16" s="956">
        <f t="shared" si="8"/>
        <v>565.0327990307776</v>
      </c>
      <c r="AB16" s="956">
        <f t="shared" si="21"/>
        <v>4905.3660557265275</v>
      </c>
      <c r="AC16" s="955">
        <f t="shared" si="33"/>
        <v>1000</v>
      </c>
      <c r="AD16" s="947">
        <f t="shared" si="22"/>
        <v>0.85416839315209026</v>
      </c>
      <c r="AE16" s="957">
        <f t="shared" si="23"/>
        <v>5.4722378176865517E-2</v>
      </c>
      <c r="AF16" s="944">
        <f t="shared" si="34"/>
        <v>46.271136453444882</v>
      </c>
      <c r="AG16" s="958">
        <f t="shared" si="35"/>
        <v>1365.0300072922767</v>
      </c>
      <c r="AH16" s="944">
        <f t="shared" si="36"/>
        <v>9.947000000000001</v>
      </c>
      <c r="AI16" s="959">
        <f t="shared" si="24"/>
        <v>0</v>
      </c>
      <c r="AJ16" s="957">
        <f t="shared" si="25"/>
        <v>7.8359146666666685E-2</v>
      </c>
    </row>
    <row r="17" spans="1:36">
      <c r="A17" s="943"/>
      <c r="B17" s="944"/>
      <c r="C17" s="945"/>
      <c r="D17" s="944">
        <f t="shared" si="26"/>
        <v>8</v>
      </c>
      <c r="E17" s="943">
        <f t="shared" si="1"/>
        <v>0.11861823723647448</v>
      </c>
      <c r="F17" s="943">
        <f t="shared" si="2"/>
        <v>9.0239389202190143E-3</v>
      </c>
      <c r="G17" s="944">
        <f t="shared" si="3"/>
        <v>277.73599999999999</v>
      </c>
      <c r="H17" s="946">
        <f t="shared" si="27"/>
        <v>3114208.6892616884</v>
      </c>
      <c r="I17" s="947">
        <f t="shared" si="12"/>
        <v>3.1142086892616883</v>
      </c>
      <c r="J17" s="947">
        <f t="shared" si="28"/>
        <v>1.0011114073427552</v>
      </c>
      <c r="K17" s="944">
        <f t="shared" si="13"/>
        <v>1002.6180162760757</v>
      </c>
      <c r="L17" s="944">
        <f t="shared" si="4"/>
        <v>37.720821014681754</v>
      </c>
      <c r="M17" s="948">
        <f t="shared" si="5"/>
        <v>0.63051960305019128</v>
      </c>
      <c r="N17" s="948">
        <f t="shared" si="29"/>
        <v>0.51998134434537069</v>
      </c>
      <c r="O17" s="949">
        <f t="shared" si="30"/>
        <v>0.25209034798570995</v>
      </c>
      <c r="P17" s="949">
        <f t="shared" si="31"/>
        <v>0.37019417848837438</v>
      </c>
      <c r="Q17" s="950">
        <f t="shared" si="32"/>
        <v>0.48001865565462926</v>
      </c>
      <c r="R17" s="951">
        <f t="shared" si="6"/>
        <v>500.88947552897838</v>
      </c>
      <c r="S17" s="952">
        <f t="shared" si="14"/>
        <v>1.2712320632714779E-3</v>
      </c>
      <c r="T17" s="952">
        <f t="shared" si="15"/>
        <v>1.7392410283569565E-5</v>
      </c>
      <c r="U17" s="952">
        <f t="shared" si="16"/>
        <v>6.1925883491729212E-4</v>
      </c>
      <c r="V17" s="953">
        <f t="shared" si="7"/>
        <v>8.4337219850135481E-3</v>
      </c>
      <c r="W17" s="953">
        <f t="shared" si="17"/>
        <v>1.4392176370181755E-2</v>
      </c>
      <c r="X17" s="954">
        <f t="shared" si="18"/>
        <v>0.93459431181620389</v>
      </c>
      <c r="Y17" s="954">
        <f t="shared" si="19"/>
        <v>1.5948884957470935</v>
      </c>
      <c r="Z17" s="955">
        <f t="shared" si="20"/>
        <v>2.5294828075632974</v>
      </c>
      <c r="AA17" s="956">
        <f t="shared" si="8"/>
        <v>564.31325822229394</v>
      </c>
      <c r="AB17" s="956">
        <f t="shared" si="21"/>
        <v>4908.7168601839885</v>
      </c>
      <c r="AC17" s="955">
        <f t="shared" si="33"/>
        <v>1000</v>
      </c>
      <c r="AD17" s="947">
        <f t="shared" si="22"/>
        <v>0.85408086947238149</v>
      </c>
      <c r="AE17" s="957">
        <f t="shared" si="23"/>
        <v>5.46897216409147E-2</v>
      </c>
      <c r="AF17" s="944">
        <f t="shared" si="34"/>
        <v>46.251520974481068</v>
      </c>
      <c r="AG17" s="958">
        <f t="shared" si="35"/>
        <v>1364.6126762754741</v>
      </c>
      <c r="AH17" s="944">
        <f t="shared" si="36"/>
        <v>11.368000000000002</v>
      </c>
      <c r="AI17" s="959">
        <f t="shared" si="24"/>
        <v>0</v>
      </c>
      <c r="AJ17" s="957">
        <f t="shared" si="25"/>
        <v>7.834712000000002E-2</v>
      </c>
    </row>
    <row r="18" spans="1:36">
      <c r="A18" s="943"/>
      <c r="B18" s="944"/>
      <c r="C18" s="945"/>
      <c r="D18" s="944">
        <f t="shared" si="26"/>
        <v>9</v>
      </c>
      <c r="E18" s="943">
        <f t="shared" si="1"/>
        <v>0.11861823723647448</v>
      </c>
      <c r="F18" s="943">
        <f t="shared" si="2"/>
        <v>9.0239389202190143E-3</v>
      </c>
      <c r="G18" s="944">
        <f t="shared" si="3"/>
        <v>277.77244444444443</v>
      </c>
      <c r="H18" s="946">
        <f t="shared" si="27"/>
        <v>3119681.7193800947</v>
      </c>
      <c r="I18" s="947">
        <f t="shared" si="12"/>
        <v>3.1196817193800945</v>
      </c>
      <c r="J18" s="947">
        <f t="shared" si="28"/>
        <v>1.0011165869924818</v>
      </c>
      <c r="K18" s="944">
        <f t="shared" si="13"/>
        <v>1002.6128737038632</v>
      </c>
      <c r="L18" s="944">
        <f t="shared" si="4"/>
        <v>37.78195979174123</v>
      </c>
      <c r="M18" s="948">
        <f t="shared" si="5"/>
        <v>0.63014103917152497</v>
      </c>
      <c r="N18" s="948">
        <f t="shared" si="29"/>
        <v>0.51965777904941035</v>
      </c>
      <c r="O18" s="949">
        <f t="shared" si="30"/>
        <v>0.25207699048926036</v>
      </c>
      <c r="P18" s="949">
        <f t="shared" si="31"/>
        <v>0.37018241282036146</v>
      </c>
      <c r="Q18" s="950">
        <f t="shared" si="32"/>
        <v>0.48034222095058965</v>
      </c>
      <c r="R18" s="951">
        <f t="shared" si="6"/>
        <v>501.23098382207706</v>
      </c>
      <c r="S18" s="952">
        <f t="shared" si="14"/>
        <v>1.2704940383903528E-3</v>
      </c>
      <c r="T18" s="952">
        <f t="shared" si="15"/>
        <v>1.7394900023891979E-5</v>
      </c>
      <c r="U18" s="952">
        <f t="shared" si="16"/>
        <v>6.1931132321810798E-4</v>
      </c>
      <c r="V18" s="953">
        <f t="shared" si="7"/>
        <v>8.4337652430101946E-3</v>
      </c>
      <c r="W18" s="953">
        <f t="shared" si="17"/>
        <v>1.4368886946675208E-2</v>
      </c>
      <c r="X18" s="954">
        <f t="shared" si="18"/>
        <v>0.93459910550962644</v>
      </c>
      <c r="Y18" s="954">
        <f t="shared" si="19"/>
        <v>1.5923076467727764</v>
      </c>
      <c r="Z18" s="955">
        <f t="shared" si="20"/>
        <v>2.5269067522824029</v>
      </c>
      <c r="AA18" s="956">
        <f t="shared" si="8"/>
        <v>563.59598300774371</v>
      </c>
      <c r="AB18" s="956">
        <f t="shared" si="21"/>
        <v>4912.063641456356</v>
      </c>
      <c r="AC18" s="955">
        <f t="shared" si="33"/>
        <v>1000</v>
      </c>
      <c r="AD18" s="947">
        <f t="shared" si="22"/>
        <v>0.85399348366538197</v>
      </c>
      <c r="AE18" s="957">
        <f t="shared" si="23"/>
        <v>5.4657091727961099E-2</v>
      </c>
      <c r="AF18" s="944">
        <f t="shared" si="34"/>
        <v>46.232001601170182</v>
      </c>
      <c r="AG18" s="958">
        <f t="shared" si="35"/>
        <v>1364.196345140399</v>
      </c>
      <c r="AH18" s="944">
        <f t="shared" si="36"/>
        <v>12.789000000000001</v>
      </c>
      <c r="AI18" s="959">
        <f t="shared" si="24"/>
        <v>0</v>
      </c>
      <c r="AJ18" s="957">
        <f t="shared" si="25"/>
        <v>7.8335093333333355E-2</v>
      </c>
    </row>
    <row r="19" spans="1:36">
      <c r="A19" s="943"/>
      <c r="B19" s="944"/>
      <c r="C19" s="945"/>
      <c r="D19" s="944">
        <f t="shared" si="26"/>
        <v>10</v>
      </c>
      <c r="E19" s="943">
        <f t="shared" si="1"/>
        <v>0.11861823723647448</v>
      </c>
      <c r="F19" s="943">
        <f t="shared" si="2"/>
        <v>9.0239389202190143E-3</v>
      </c>
      <c r="G19" s="944">
        <f t="shared" si="3"/>
        <v>277.80888888888887</v>
      </c>
      <c r="H19" s="946">
        <f t="shared" si="27"/>
        <v>3125157.379004559</v>
      </c>
      <c r="I19" s="947">
        <f t="shared" si="12"/>
        <v>3.125157379004559</v>
      </c>
      <c r="J19" s="947">
        <f t="shared" si="28"/>
        <v>1.0011217802781316</v>
      </c>
      <c r="K19" s="944">
        <f t="shared" si="13"/>
        <v>1002.6077250574467</v>
      </c>
      <c r="L19" s="944">
        <f t="shared" si="4"/>
        <v>37.843113169747085</v>
      </c>
      <c r="M19" s="948">
        <f t="shared" si="5"/>
        <v>0.62976283435005886</v>
      </c>
      <c r="N19" s="948">
        <f t="shared" si="29"/>
        <v>0.51933459910626889</v>
      </c>
      <c r="O19" s="949">
        <f t="shared" si="30"/>
        <v>0.25206363133426413</v>
      </c>
      <c r="P19" s="949">
        <f t="shared" si="31"/>
        <v>0.3701706438125773</v>
      </c>
      <c r="Q19" s="950">
        <f t="shared" si="32"/>
        <v>0.48066540089373111</v>
      </c>
      <c r="R19" s="951">
        <f t="shared" si="6"/>
        <v>501.57208211083309</v>
      </c>
      <c r="S19" s="952">
        <f t="shared" si="14"/>
        <v>1.2697565387160856E-3</v>
      </c>
      <c r="T19" s="952">
        <f t="shared" si="15"/>
        <v>1.7397391169235485E-5</v>
      </c>
      <c r="U19" s="952">
        <f t="shared" si="16"/>
        <v>6.1936310288777355E-4</v>
      </c>
      <c r="V19" s="953">
        <f t="shared" si="7"/>
        <v>8.433808552546029E-3</v>
      </c>
      <c r="W19" s="953">
        <f t="shared" si="17"/>
        <v>1.4345667240330437E-2</v>
      </c>
      <c r="X19" s="954">
        <f t="shared" si="18"/>
        <v>0.93460390491443368</v>
      </c>
      <c r="Y19" s="954">
        <f t="shared" si="19"/>
        <v>1.5897345236000626</v>
      </c>
      <c r="Z19" s="955">
        <f t="shared" si="20"/>
        <v>2.5243384285144961</v>
      </c>
      <c r="AA19" s="956">
        <f t="shared" si="8"/>
        <v>562.88096293699402</v>
      </c>
      <c r="AB19" s="956">
        <f t="shared" si="21"/>
        <v>4915.4064046861649</v>
      </c>
      <c r="AC19" s="955">
        <f t="shared" si="33"/>
        <v>1000</v>
      </c>
      <c r="AD19" s="947">
        <f t="shared" si="22"/>
        <v>0.85390623543248578</v>
      </c>
      <c r="AE19" s="957">
        <f t="shared" si="23"/>
        <v>5.4624488403533983E-2</v>
      </c>
      <c r="AF19" s="944">
        <f t="shared" si="34"/>
        <v>46.212577953429061</v>
      </c>
      <c r="AG19" s="958">
        <f t="shared" si="35"/>
        <v>1363.7810107941298</v>
      </c>
      <c r="AH19" s="944">
        <f t="shared" si="36"/>
        <v>14.210000000000003</v>
      </c>
      <c r="AI19" s="959">
        <f t="shared" si="24"/>
        <v>0</v>
      </c>
      <c r="AJ19" s="957">
        <f t="shared" si="25"/>
        <v>7.8323066666666691E-2</v>
      </c>
    </row>
    <row r="20" spans="1:36">
      <c r="A20">
        <f t="shared" ref="A20:A83" si="37">D20*3.28</f>
        <v>149.99999999999997</v>
      </c>
      <c r="B20" s="4">
        <f t="shared" ref="B20:B83" si="38">H20/6895</f>
        <v>454.04433159857609</v>
      </c>
      <c r="C20" s="12">
        <f>1+C9</f>
        <v>1</v>
      </c>
      <c r="D20" s="4">
        <f t="shared" si="0"/>
        <v>45.731707317073166</v>
      </c>
      <c r="E20">
        <f t="shared" ref="E20:E83" si="39">IF(MD&lt;TVD,dcase,dhor)</f>
        <v>0.11861823723647448</v>
      </c>
      <c r="F20">
        <f t="shared" ref="F20:F83" si="40">0.25*PI()*(E20^2-dto^2)</f>
        <v>9.0239389202190143E-3</v>
      </c>
      <c r="G20" s="4">
        <f t="shared" ref="G20:G83" si="41">T0+MIN(D20,TVD)*dT</f>
        <v>279.11111111111114</v>
      </c>
      <c r="H20" s="10">
        <f>H19+AA19+AB19</f>
        <v>3130635.6663721823</v>
      </c>
      <c r="I20" s="2">
        <f t="shared" si="12"/>
        <v>3.1306356663721822</v>
      </c>
      <c r="J20" s="2">
        <f t="shared" ref="J20:J83" si="42">1+BB*H20+CCC*H20^2+DD*H20^3</f>
        <v>1.0011269872131359</v>
      </c>
      <c r="K20" s="4">
        <f t="shared" si="13"/>
        <v>1002.3246947293787</v>
      </c>
      <c r="L20" s="4">
        <f t="shared" si="4"/>
        <v>37.732383995910588</v>
      </c>
      <c r="M20" s="161">
        <f t="shared" si="5"/>
        <v>0.6303800247663468</v>
      </c>
      <c r="N20" s="161">
        <f t="shared" ref="N20:N83" si="43">1-Q20</f>
        <v>0.51987695286284352</v>
      </c>
      <c r="O20" s="346">
        <f t="shared" ref="O20:O83" si="44">IF(D20&lt;TVD,1.53*((9.8*(0.17-0.00033*T)*(rhow-rhoi)/rhow^2))^0.25,0)</f>
        <v>0.25174146530520486</v>
      </c>
      <c r="P20" s="346">
        <f t="shared" ref="P20:P83" si="45">IF(D20&lt;TVD,0.35*SQRT(9.8*dci*(rhow-rhoi)/rhow),0)</f>
        <v>0.37018984211933015</v>
      </c>
      <c r="Q20" s="347">
        <f>IF(N9&lt;0.25,(1-Y20/(1.2*Z20+O20))/1.024,(1-Y20/(1.15*Z20+P20))/1.07)</f>
        <v>0.48012304713715648</v>
      </c>
      <c r="R20" s="162">
        <f t="shared" si="6"/>
        <v>500.85538347033423</v>
      </c>
      <c r="S20" s="13">
        <f t="shared" si="14"/>
        <v>1.2437454573903989E-3</v>
      </c>
      <c r="T20" s="13">
        <f t="shared" si="15"/>
        <v>1.7451292878984732E-5</v>
      </c>
      <c r="U20" s="13">
        <f t="shared" si="16"/>
        <v>6.0622338383071843E-4</v>
      </c>
      <c r="V20" s="20">
        <f t="shared" si="7"/>
        <v>8.4361900399163806E-3</v>
      </c>
      <c r="W20" s="20">
        <f t="shared" si="17"/>
        <v>1.4387765928868836E-2</v>
      </c>
      <c r="X20" s="402">
        <f t="shared" si="18"/>
        <v>0.93486781265931163</v>
      </c>
      <c r="Y20" s="402">
        <f t="shared" si="19"/>
        <v>1.5943997467260826</v>
      </c>
      <c r="Z20" s="336">
        <f t="shared" si="20"/>
        <v>2.5292675593853944</v>
      </c>
      <c r="AA20" s="65">
        <f>0.1275*(L/N)*rho^0.8*va^1.8*mu^0.2/((dci-dto)^1.2)</f>
        <v>25692.099235275815</v>
      </c>
      <c r="AB20" s="14">
        <f t="shared" ref="AB20:AB83" si="46">IF(D20&lt;TVD,rho*g*L/N,0)</f>
        <v>224468.72368944858</v>
      </c>
      <c r="AC20" s="340">
        <f t="shared" si="9"/>
        <v>1000</v>
      </c>
      <c r="AD20" s="2">
        <f t="shared" si="22"/>
        <v>0.8540623272802248</v>
      </c>
      <c r="AE20" s="66">
        <f t="shared" si="23"/>
        <v>5.3542142594798024E-2</v>
      </c>
      <c r="AF20" s="4">
        <f t="shared" si="10"/>
        <v>47.238818560673913</v>
      </c>
      <c r="AG20" s="3">
        <f t="shared" ref="AG20:AG50" si="47">SQRT(K20*AC20^2/(9.8*Q20*dci*(K20-L20)))</f>
        <v>1364.480299926011</v>
      </c>
      <c r="AH20" s="4">
        <f t="shared" si="11"/>
        <v>64.984756097560975</v>
      </c>
      <c r="AI20" s="349">
        <f t="shared" si="24"/>
        <v>0</v>
      </c>
      <c r="AJ20" s="1">
        <f t="shared" si="25"/>
        <v>7.7893333333333342E-2</v>
      </c>
    </row>
    <row r="21" spans="1:36">
      <c r="A21">
        <f t="shared" si="37"/>
        <v>299.99999999999994</v>
      </c>
      <c r="B21" s="4">
        <f t="shared" si="38"/>
        <v>490.32581425625909</v>
      </c>
      <c r="C21" s="12">
        <f t="shared" ref="C21:C29" si="48">1+C20</f>
        <v>2</v>
      </c>
      <c r="D21" s="4">
        <f t="shared" si="0"/>
        <v>91.463414634146332</v>
      </c>
      <c r="E21">
        <f t="shared" si="39"/>
        <v>0.11861823723647448</v>
      </c>
      <c r="F21">
        <f t="shared" si="40"/>
        <v>9.0239389202190143E-3</v>
      </c>
      <c r="G21" s="4">
        <f t="shared" si="41"/>
        <v>280.77777777777777</v>
      </c>
      <c r="H21" s="10">
        <f t="shared" ref="H21:H51" si="49">H20+AA20+AB20</f>
        <v>3380796.4892969066</v>
      </c>
      <c r="I21" s="2">
        <f t="shared" si="12"/>
        <v>3.3807964892969067</v>
      </c>
      <c r="J21" s="2">
        <f t="shared" si="42"/>
        <v>1.0013766308621608</v>
      </c>
      <c r="K21" s="4">
        <f t="shared" si="13"/>
        <v>1002.0698852697716</v>
      </c>
      <c r="L21" s="4">
        <f t="shared" ref="L21:L84" si="50">Pi/(Z*Rgas*T)</f>
        <v>40.495508371536587</v>
      </c>
      <c r="M21" s="161">
        <f t="shared" si="5"/>
        <v>0.61370685875818953</v>
      </c>
      <c r="N21" s="161">
        <f t="shared" si="43"/>
        <v>0.50570247109172284</v>
      </c>
      <c r="O21" s="346">
        <f t="shared" si="44"/>
        <v>0.25113103484525284</v>
      </c>
      <c r="P21" s="346">
        <f t="shared" si="45"/>
        <v>0.36965726914204761</v>
      </c>
      <c r="Q21" s="347">
        <f t="shared" ref="Q21:Q51" si="51">IF(N20&lt;0.25,(1-Y21/(1.2*Z21+O21))/1.024,(1-Y21/(1.15*Z21+P21))/1.07)</f>
        <v>0.49429752890827722</v>
      </c>
      <c r="R21" s="162">
        <f t="shared" ref="R21:R50" si="52">fL*rhow+(1-fL)*rhoi</f>
        <v>515.7993467338506</v>
      </c>
      <c r="S21" s="13">
        <f t="shared" si="14"/>
        <v>1.2114008391765328E-3</v>
      </c>
      <c r="T21" s="13">
        <f t="shared" si="15"/>
        <v>1.7566707998638334E-5</v>
      </c>
      <c r="U21" s="13">
        <f t="shared" si="16"/>
        <v>6.076759689662317E-4</v>
      </c>
      <c r="V21" s="20">
        <f t="shared" si="7"/>
        <v>8.4383352206635637E-3</v>
      </c>
      <c r="W21" s="20">
        <f t="shared" si="17"/>
        <v>1.3406047502614881E-2</v>
      </c>
      <c r="X21" s="402">
        <f t="shared" si="18"/>
        <v>0.93510553376604222</v>
      </c>
      <c r="Y21" s="402">
        <f t="shared" si="19"/>
        <v>1.485609291146389</v>
      </c>
      <c r="Z21" s="336">
        <f t="shared" si="20"/>
        <v>2.4207148249124315</v>
      </c>
      <c r="AA21" s="65">
        <f t="shared" ref="AA21:AA50" si="53">0.1275*(L/N)*rho^0.8*va^1.8*mu^0.2/((dci-dto)^1.2)</f>
        <v>24318.129154144084</v>
      </c>
      <c r="AB21" s="14">
        <f t="shared" si="46"/>
        <v>231166.170639866</v>
      </c>
      <c r="AC21" s="340">
        <f t="shared" si="9"/>
        <v>1000</v>
      </c>
      <c r="AD21" s="2">
        <f t="shared" si="22"/>
        <v>0.85026644237217364</v>
      </c>
      <c r="AE21" s="66">
        <f t="shared" si="23"/>
        <v>5.2115472852239234E-2</v>
      </c>
      <c r="AF21" s="4">
        <f t="shared" si="10"/>
        <v>46.449061908653896</v>
      </c>
      <c r="AG21" s="3">
        <f t="shared" si="47"/>
        <v>1346.7115159447517</v>
      </c>
      <c r="AH21" s="4">
        <f t="shared" si="11"/>
        <v>129.96951219512195</v>
      </c>
      <c r="AI21" s="349">
        <f t="shared" si="24"/>
        <v>0</v>
      </c>
      <c r="AJ21" s="1">
        <f t="shared" si="25"/>
        <v>7.7343333333333347E-2</v>
      </c>
    </row>
    <row r="22" spans="1:36">
      <c r="A22">
        <f t="shared" si="37"/>
        <v>449.99999999999994</v>
      </c>
      <c r="B22" s="4">
        <f t="shared" si="38"/>
        <v>527.37937477750779</v>
      </c>
      <c r="C22" s="12">
        <f t="shared" si="48"/>
        <v>3</v>
      </c>
      <c r="D22" s="4">
        <f t="shared" si="0"/>
        <v>137.19512195121951</v>
      </c>
      <c r="E22">
        <f t="shared" si="39"/>
        <v>0.11861823723647448</v>
      </c>
      <c r="F22">
        <f t="shared" si="40"/>
        <v>9.0239389202190143E-3</v>
      </c>
      <c r="G22" s="4">
        <f t="shared" si="41"/>
        <v>282.44444444444446</v>
      </c>
      <c r="H22" s="10">
        <f t="shared" si="49"/>
        <v>3636280.7890909165</v>
      </c>
      <c r="I22" s="2">
        <f t="shared" si="12"/>
        <v>3.6362807890909163</v>
      </c>
      <c r="J22" s="2">
        <f t="shared" si="42"/>
        <v>1.0016555089620831</v>
      </c>
      <c r="K22" s="4">
        <f t="shared" si="13"/>
        <v>1001.8023588525814</v>
      </c>
      <c r="L22" s="4">
        <f t="shared" si="50"/>
        <v>43.286652530968453</v>
      </c>
      <c r="M22" s="161">
        <f t="shared" si="5"/>
        <v>0.5977263815115833</v>
      </c>
      <c r="N22" s="161">
        <f t="shared" si="43"/>
        <v>0.49225785674359601</v>
      </c>
      <c r="O22" s="346">
        <f t="shared" si="44"/>
        <v>0.25051723690981298</v>
      </c>
      <c r="P22" s="346">
        <f t="shared" si="45"/>
        <v>0.36911815545466331</v>
      </c>
      <c r="Q22" s="347">
        <f t="shared" si="51"/>
        <v>0.50774214325640399</v>
      </c>
      <c r="R22" s="162">
        <f t="shared" si="52"/>
        <v>529.96547160363014</v>
      </c>
      <c r="S22" s="13">
        <f t="shared" si="14"/>
        <v>1.180081386830092E-3</v>
      </c>
      <c r="T22" s="13">
        <f t="shared" si="15"/>
        <v>1.7685081021330301E-5</v>
      </c>
      <c r="U22" s="13">
        <f t="shared" si="16"/>
        <v>6.0788267264599741E-4</v>
      </c>
      <c r="V22" s="20">
        <f t="shared" si="7"/>
        <v>8.4405886367876978E-3</v>
      </c>
      <c r="W22" s="20">
        <f t="shared" si="17"/>
        <v>1.2541619116492399E-2</v>
      </c>
      <c r="X22" s="402">
        <f t="shared" si="18"/>
        <v>0.93535524912250201</v>
      </c>
      <c r="Y22" s="402">
        <f t="shared" si="19"/>
        <v>1.3898164900464562</v>
      </c>
      <c r="Z22" s="336">
        <f t="shared" si="20"/>
        <v>2.3251717391689581</v>
      </c>
      <c r="AA22" s="65">
        <f t="shared" si="53"/>
        <v>23114.987435155381</v>
      </c>
      <c r="AB22" s="14">
        <f t="shared" si="46"/>
        <v>237515.01318821232</v>
      </c>
      <c r="AC22" s="340">
        <f t="shared" si="9"/>
        <v>1000</v>
      </c>
      <c r="AD22" s="2">
        <f t="shared" si="22"/>
        <v>0.84672257824116848</v>
      </c>
      <c r="AE22" s="66">
        <f t="shared" si="23"/>
        <v>5.0739665180886455E-2</v>
      </c>
      <c r="AF22" s="4">
        <f t="shared" si="10"/>
        <v>45.825523894959524</v>
      </c>
      <c r="AG22" s="3">
        <f t="shared" si="47"/>
        <v>1330.702679752023</v>
      </c>
      <c r="AH22" s="4">
        <f t="shared" si="11"/>
        <v>194.95426829268297</v>
      </c>
      <c r="AI22" s="349">
        <f t="shared" si="24"/>
        <v>0</v>
      </c>
      <c r="AJ22" s="1">
        <f t="shared" si="25"/>
        <v>7.6793333333333338E-2</v>
      </c>
    </row>
    <row r="23" spans="1:36">
      <c r="A23">
        <f t="shared" si="37"/>
        <v>599.99999999999989</v>
      </c>
      <c r="B23" s="4">
        <f t="shared" si="38"/>
        <v>565.1792298352841</v>
      </c>
      <c r="C23" s="12">
        <f t="shared" si="48"/>
        <v>4</v>
      </c>
      <c r="D23" s="4">
        <f t="shared" si="0"/>
        <v>182.92682926829266</v>
      </c>
      <c r="E23">
        <f t="shared" si="39"/>
        <v>0.11861823723647448</v>
      </c>
      <c r="F23">
        <f t="shared" si="40"/>
        <v>9.0239389202190143E-3</v>
      </c>
      <c r="G23" s="4">
        <f t="shared" si="41"/>
        <v>284.11111111111114</v>
      </c>
      <c r="H23" s="10">
        <f t="shared" si="49"/>
        <v>3896910.7897142842</v>
      </c>
      <c r="I23" s="2">
        <f t="shared" si="12"/>
        <v>3.8969107897142843</v>
      </c>
      <c r="J23" s="2">
        <f t="shared" si="42"/>
        <v>1.0019648132216321</v>
      </c>
      <c r="K23" s="4">
        <f t="shared" si="13"/>
        <v>1001.5220575278067</v>
      </c>
      <c r="L23" s="4">
        <f t="shared" si="50"/>
        <v>46.102851323459454</v>
      </c>
      <c r="M23" s="161">
        <f t="shared" si="5"/>
        <v>0.58241382147102727</v>
      </c>
      <c r="N23" s="161">
        <f t="shared" si="43"/>
        <v>0.47950279661599871</v>
      </c>
      <c r="O23" s="346">
        <f t="shared" si="44"/>
        <v>0.2499002272642587</v>
      </c>
      <c r="P23" s="346">
        <f t="shared" si="45"/>
        <v>0.36857301856178271</v>
      </c>
      <c r="Q23" s="347">
        <f t="shared" si="51"/>
        <v>0.52049720338400129</v>
      </c>
      <c r="R23" s="162">
        <f t="shared" si="52"/>
        <v>543.39587621218459</v>
      </c>
      <c r="S23" s="13">
        <f t="shared" si="14"/>
        <v>1.1497488430158213E-3</v>
      </c>
      <c r="T23" s="13">
        <f t="shared" si="15"/>
        <v>1.7806456725737408E-5</v>
      </c>
      <c r="U23" s="13">
        <f t="shared" si="16"/>
        <v>6.0697930318153901E-4</v>
      </c>
      <c r="V23" s="20">
        <f t="shared" si="7"/>
        <v>8.442950949388791E-3</v>
      </c>
      <c r="W23" s="20">
        <f t="shared" si="17"/>
        <v>1.1775512648067192E-2</v>
      </c>
      <c r="X23" s="402">
        <f t="shared" si="18"/>
        <v>0.93561703198938295</v>
      </c>
      <c r="Y23" s="402">
        <f t="shared" si="19"/>
        <v>1.3049193652766209</v>
      </c>
      <c r="Z23" s="336">
        <f t="shared" si="20"/>
        <v>2.2405363972660037</v>
      </c>
      <c r="AA23" s="65">
        <f t="shared" si="53"/>
        <v>22053.322955491949</v>
      </c>
      <c r="AB23" s="14">
        <f t="shared" si="46"/>
        <v>243534.12744875345</v>
      </c>
      <c r="AC23" s="340">
        <f t="shared" si="9"/>
        <v>1000</v>
      </c>
      <c r="AD23" s="2">
        <f t="shared" si="22"/>
        <v>0.8434089863369596</v>
      </c>
      <c r="AE23" s="66">
        <f t="shared" si="23"/>
        <v>4.9412059146885019E-2</v>
      </c>
      <c r="AF23" s="4">
        <f t="shared" si="10"/>
        <v>45.34391879127444</v>
      </c>
      <c r="AG23" s="3">
        <f t="shared" si="47"/>
        <v>1316.2406667419532</v>
      </c>
      <c r="AH23" s="4">
        <f t="shared" si="11"/>
        <v>259.9390243902439</v>
      </c>
      <c r="AI23" s="349">
        <f t="shared" si="24"/>
        <v>0</v>
      </c>
      <c r="AJ23" s="1">
        <f t="shared" si="25"/>
        <v>7.624333333333333E-2</v>
      </c>
    </row>
    <row r="24" spans="1:36">
      <c r="A24">
        <f t="shared" si="37"/>
        <v>749.99999999999989</v>
      </c>
      <c r="B24" s="4">
        <f t="shared" si="38"/>
        <v>603.69807688448577</v>
      </c>
      <c r="C24" s="12">
        <f t="shared" si="48"/>
        <v>5</v>
      </c>
      <c r="D24" s="4">
        <f t="shared" si="0"/>
        <v>228.65853658536582</v>
      </c>
      <c r="E24">
        <f t="shared" si="39"/>
        <v>0.11861823723647448</v>
      </c>
      <c r="F24">
        <f t="shared" si="40"/>
        <v>9.0239389202190143E-3</v>
      </c>
      <c r="G24" s="4">
        <f t="shared" si="41"/>
        <v>285.77777777777777</v>
      </c>
      <c r="H24" s="10">
        <f t="shared" si="49"/>
        <v>4162498.2401185296</v>
      </c>
      <c r="I24" s="2">
        <f t="shared" si="12"/>
        <v>4.1624982401185298</v>
      </c>
      <c r="J24" s="2">
        <f t="shared" si="42"/>
        <v>1.0023056710857814</v>
      </c>
      <c r="K24" s="4">
        <f t="shared" si="13"/>
        <v>1001.2289238965097</v>
      </c>
      <c r="L24" s="4">
        <f t="shared" si="50"/>
        <v>48.94106679098217</v>
      </c>
      <c r="M24" s="161">
        <f t="shared" si="5"/>
        <v>0.56774471035244956</v>
      </c>
      <c r="N24" s="161">
        <f t="shared" si="43"/>
        <v>0.46739928206836212</v>
      </c>
      <c r="O24" s="346">
        <f t="shared" si="44"/>
        <v>0.24928016617018584</v>
      </c>
      <c r="P24" s="346">
        <f t="shared" si="45"/>
        <v>0.36802239286609867</v>
      </c>
      <c r="Q24" s="347">
        <f t="shared" si="51"/>
        <v>0.53260071793163788</v>
      </c>
      <c r="R24" s="162">
        <f t="shared" si="52"/>
        <v>556.13026316296714</v>
      </c>
      <c r="S24" s="13">
        <f t="shared" si="14"/>
        <v>1.1203665907292878E-3</v>
      </c>
      <c r="T24" s="13">
        <f t="shared" si="15"/>
        <v>1.7930875676711176E-5</v>
      </c>
      <c r="U24" s="13">
        <f t="shared" si="16"/>
        <v>6.0508892898719212E-4</v>
      </c>
      <c r="V24" s="20">
        <f t="shared" si="7"/>
        <v>8.4454228245130387E-3</v>
      </c>
      <c r="W24" s="20">
        <f t="shared" si="17"/>
        <v>1.1092621074034076E-2</v>
      </c>
      <c r="X24" s="402">
        <f t="shared" si="18"/>
        <v>0.93589095617549523</v>
      </c>
      <c r="Y24" s="402">
        <f t="shared" si="19"/>
        <v>1.2292438116109117</v>
      </c>
      <c r="Z24" s="336">
        <f t="shared" si="20"/>
        <v>2.165134767786407</v>
      </c>
      <c r="AA24" s="65">
        <f t="shared" si="53"/>
        <v>21110.111632129159</v>
      </c>
      <c r="AB24" s="14">
        <f t="shared" si="46"/>
        <v>249241.30696632978</v>
      </c>
      <c r="AC24" s="340">
        <f t="shared" si="9"/>
        <v>1000</v>
      </c>
      <c r="AD24" s="2">
        <f t="shared" si="22"/>
        <v>0.84030652386778304</v>
      </c>
      <c r="AE24" s="66">
        <f t="shared" si="23"/>
        <v>4.8130246527917753E-2</v>
      </c>
      <c r="AF24" s="4">
        <f t="shared" si="10"/>
        <v>44.984909157498905</v>
      </c>
      <c r="AG24" s="3">
        <f t="shared" si="47"/>
        <v>1303.1455514794777</v>
      </c>
      <c r="AH24" s="4">
        <f t="shared" si="11"/>
        <v>324.92378048780483</v>
      </c>
      <c r="AI24" s="349">
        <f t="shared" si="24"/>
        <v>0</v>
      </c>
      <c r="AJ24" s="1">
        <f t="shared" si="25"/>
        <v>7.5693333333333349E-2</v>
      </c>
    </row>
    <row r="25" spans="1:36">
      <c r="A25">
        <f t="shared" si="37"/>
        <v>899.99999999999989</v>
      </c>
      <c r="B25" s="4">
        <f t="shared" si="38"/>
        <v>642.90785478128919</v>
      </c>
      <c r="C25" s="12">
        <f t="shared" si="48"/>
        <v>6</v>
      </c>
      <c r="D25" s="4">
        <f t="shared" si="0"/>
        <v>274.39024390243901</v>
      </c>
      <c r="E25">
        <f t="shared" si="39"/>
        <v>0.11861823723647448</v>
      </c>
      <c r="F25">
        <f t="shared" si="40"/>
        <v>9.0239389202190143E-3</v>
      </c>
      <c r="G25" s="4">
        <f t="shared" si="41"/>
        <v>287.44444444444446</v>
      </c>
      <c r="H25" s="10">
        <f t="shared" si="49"/>
        <v>4432849.6587169887</v>
      </c>
      <c r="I25" s="2">
        <f t="shared" si="12"/>
        <v>4.4328496587169886</v>
      </c>
      <c r="J25" s="2">
        <f t="shared" si="42"/>
        <v>1.0026791448813832</v>
      </c>
      <c r="K25" s="4">
        <f t="shared" si="13"/>
        <v>1000.922903580704</v>
      </c>
      <c r="L25" s="4">
        <f t="shared" si="50"/>
        <v>51.798252966298662</v>
      </c>
      <c r="M25" s="161">
        <f t="shared" si="5"/>
        <v>0.55369470973828172</v>
      </c>
      <c r="N25" s="161">
        <f t="shared" si="43"/>
        <v>0.45591127861411473</v>
      </c>
      <c r="O25" s="346">
        <f t="shared" si="44"/>
        <v>0.2486572140576056</v>
      </c>
      <c r="P25" s="346">
        <f t="shared" si="45"/>
        <v>0.36746681744871179</v>
      </c>
      <c r="Q25" s="347">
        <f t="shared" si="51"/>
        <v>0.54408872138588527</v>
      </c>
      <c r="R25" s="162">
        <f t="shared" si="52"/>
        <v>568.20627055491548</v>
      </c>
      <c r="S25" s="13">
        <f t="shared" si="14"/>
        <v>1.0918995739534415E-3</v>
      </c>
      <c r="T25" s="13">
        <f t="shared" si="15"/>
        <v>1.8058374878214546E-5</v>
      </c>
      <c r="U25" s="13">
        <f t="shared" si="16"/>
        <v>6.0232325985454065E-4</v>
      </c>
      <c r="V25" s="20">
        <f t="shared" si="7"/>
        <v>8.4480049124547024E-3</v>
      </c>
      <c r="W25" s="20">
        <f t="shared" si="17"/>
        <v>1.048075326448893E-2</v>
      </c>
      <c r="X25" s="402">
        <f t="shared" si="18"/>
        <v>0.93617709374407709</v>
      </c>
      <c r="Y25" s="402">
        <f t="shared" si="19"/>
        <v>1.1614388524955306</v>
      </c>
      <c r="Z25" s="336">
        <f t="shared" si="20"/>
        <v>2.0976159462396078</v>
      </c>
      <c r="AA25" s="65">
        <f t="shared" si="53"/>
        <v>20267.028839599185</v>
      </c>
      <c r="AB25" s="14">
        <f t="shared" si="46"/>
        <v>254653.42003528227</v>
      </c>
      <c r="AC25" s="340">
        <f t="shared" si="9"/>
        <v>1000</v>
      </c>
      <c r="AD25" s="2">
        <f t="shared" si="22"/>
        <v>0.83739817937562488</v>
      </c>
      <c r="AE25" s="66">
        <f t="shared" si="23"/>
        <v>4.6892028534278644E-2</v>
      </c>
      <c r="AF25" s="4">
        <f t="shared" si="10"/>
        <v>44.732889828091466</v>
      </c>
      <c r="AG25" s="3">
        <f t="shared" si="47"/>
        <v>1291.2640339399061</v>
      </c>
      <c r="AH25" s="4">
        <f t="shared" si="11"/>
        <v>389.90853658536594</v>
      </c>
      <c r="AI25" s="349">
        <f t="shared" si="24"/>
        <v>0</v>
      </c>
      <c r="AJ25" s="1">
        <f t="shared" si="25"/>
        <v>7.514333333333334E-2</v>
      </c>
    </row>
    <row r="26" spans="1:36">
      <c r="A26">
        <f t="shared" si="37"/>
        <v>1050</v>
      </c>
      <c r="B26" s="4">
        <f t="shared" si="38"/>
        <v>682.78029116633365</v>
      </c>
      <c r="C26" s="12">
        <f t="shared" si="48"/>
        <v>7</v>
      </c>
      <c r="D26" s="4">
        <f t="shared" si="0"/>
        <v>320.1219512195122</v>
      </c>
      <c r="E26">
        <f t="shared" si="39"/>
        <v>0.11861823723647448</v>
      </c>
      <c r="F26">
        <f t="shared" si="40"/>
        <v>9.0239389202190143E-3</v>
      </c>
      <c r="G26" s="4">
        <f t="shared" si="41"/>
        <v>289.11111111111114</v>
      </c>
      <c r="H26" s="10">
        <f t="shared" si="49"/>
        <v>4707770.1075918702</v>
      </c>
      <c r="I26" s="2">
        <f t="shared" si="12"/>
        <v>4.7077701075918705</v>
      </c>
      <c r="J26" s="2">
        <f t="shared" si="42"/>
        <v>1.0030862318484042</v>
      </c>
      <c r="K26" s="4">
        <f t="shared" si="13"/>
        <v>1000.6039468836176</v>
      </c>
      <c r="L26" s="4">
        <f t="shared" si="50"/>
        <v>54.671401347583668</v>
      </c>
      <c r="M26" s="161">
        <f t="shared" si="5"/>
        <v>0.54023958682788842</v>
      </c>
      <c r="N26" s="161">
        <f t="shared" si="43"/>
        <v>0.44500454114564902</v>
      </c>
      <c r="O26" s="346">
        <f t="shared" si="44"/>
        <v>0.24803152849212928</v>
      </c>
      <c r="P26" s="346">
        <f t="shared" si="45"/>
        <v>0.36690682746021591</v>
      </c>
      <c r="Q26" s="347">
        <f t="shared" si="51"/>
        <v>0.55499545885435098</v>
      </c>
      <c r="R26" s="162">
        <f t="shared" si="52"/>
        <v>579.65966850261907</v>
      </c>
      <c r="S26" s="13">
        <f t="shared" si="14"/>
        <v>1.0643142225839916E-3</v>
      </c>
      <c r="T26" s="13">
        <f t="shared" si="15"/>
        <v>1.818898826990039E-5</v>
      </c>
      <c r="U26" s="13">
        <f t="shared" si="16"/>
        <v>5.9878374270716495E-4</v>
      </c>
      <c r="V26" s="20">
        <f t="shared" si="7"/>
        <v>8.4506978338170832E-3</v>
      </c>
      <c r="W26" s="20">
        <f t="shared" si="17"/>
        <v>9.9299578113951556E-3</v>
      </c>
      <c r="X26" s="402">
        <f t="shared" si="18"/>
        <v>0.9364755134681233</v>
      </c>
      <c r="Y26" s="402">
        <f t="shared" si="19"/>
        <v>1.1004017091855662</v>
      </c>
      <c r="Z26" s="336">
        <f t="shared" si="20"/>
        <v>2.0368772226536898</v>
      </c>
      <c r="AA26" s="65">
        <f t="shared" si="53"/>
        <v>19509.304387383712</v>
      </c>
      <c r="AB26" s="14">
        <f t="shared" si="46"/>
        <v>259786.49777403966</v>
      </c>
      <c r="AC26" s="340">
        <f t="shared" si="9"/>
        <v>1000</v>
      </c>
      <c r="AD26" s="2">
        <f t="shared" si="22"/>
        <v>0.83466872290970873</v>
      </c>
      <c r="AE26" s="66">
        <f t="shared" si="23"/>
        <v>4.5695383291352074E-2</v>
      </c>
      <c r="AF26" s="4">
        <f t="shared" si="10"/>
        <v>44.575120634542792</v>
      </c>
      <c r="AG26" s="3">
        <f t="shared" si="47"/>
        <v>1280.464481843318</v>
      </c>
      <c r="AH26" s="4">
        <f t="shared" si="11"/>
        <v>454.89329268292687</v>
      </c>
      <c r="AI26" s="349">
        <f t="shared" si="24"/>
        <v>0</v>
      </c>
      <c r="AJ26" s="1">
        <f t="shared" si="25"/>
        <v>7.4593333333333331E-2</v>
      </c>
    </row>
    <row r="27" spans="1:36">
      <c r="A27">
        <f t="shared" si="37"/>
        <v>1199.9999999999998</v>
      </c>
      <c r="B27" s="4">
        <f t="shared" si="38"/>
        <v>723.28729655595271</v>
      </c>
      <c r="C27" s="12">
        <f t="shared" si="48"/>
        <v>8</v>
      </c>
      <c r="D27" s="4">
        <f t="shared" si="0"/>
        <v>365.85365853658533</v>
      </c>
      <c r="E27">
        <f t="shared" si="39"/>
        <v>0.11861823723647448</v>
      </c>
      <c r="F27">
        <f t="shared" si="40"/>
        <v>9.0239389202190143E-3</v>
      </c>
      <c r="G27" s="4">
        <f t="shared" si="41"/>
        <v>290.77777777777777</v>
      </c>
      <c r="H27" s="10">
        <f t="shared" si="49"/>
        <v>4987065.9097532937</v>
      </c>
      <c r="I27" s="2">
        <f t="shared" si="12"/>
        <v>4.9870659097532934</v>
      </c>
      <c r="J27" s="2">
        <f t="shared" si="42"/>
        <v>1.0035278648494386</v>
      </c>
      <c r="K27" s="4">
        <f t="shared" si="13"/>
        <v>1000.2720098768116</v>
      </c>
      <c r="L27" s="4">
        <f t="shared" si="50"/>
        <v>57.557572594727176</v>
      </c>
      <c r="M27" s="161">
        <f t="shared" si="5"/>
        <v>0.52735527020371398</v>
      </c>
      <c r="N27" s="161">
        <f t="shared" si="43"/>
        <v>0.43464650941423455</v>
      </c>
      <c r="O27" s="346">
        <f t="shared" si="44"/>
        <v>0.24740326206302024</v>
      </c>
      <c r="P27" s="346">
        <f t="shared" si="45"/>
        <v>0.36634294808532852</v>
      </c>
      <c r="Q27" s="347">
        <f t="shared" si="51"/>
        <v>0.56535349058576545</v>
      </c>
      <c r="R27" s="162">
        <f t="shared" si="52"/>
        <v>590.52447033774922</v>
      </c>
      <c r="S27" s="13">
        <f t="shared" si="14"/>
        <v>1.0375783813710378E-3</v>
      </c>
      <c r="T27" s="13">
        <f t="shared" si="15"/>
        <v>1.8322747113493743E-5</v>
      </c>
      <c r="U27" s="13">
        <f t="shared" si="16"/>
        <v>5.9456247774020458E-4</v>
      </c>
      <c r="V27" s="20">
        <f t="shared" si="7"/>
        <v>8.4535021703542271E-3</v>
      </c>
      <c r="W27" s="20">
        <f t="shared" si="17"/>
        <v>9.4320292604051122E-3</v>
      </c>
      <c r="X27" s="402">
        <f t="shared" si="18"/>
        <v>0.93678627981549523</v>
      </c>
      <c r="Y27" s="402">
        <f t="shared" si="19"/>
        <v>1.0452230831562626</v>
      </c>
      <c r="Z27" s="336">
        <f t="shared" si="20"/>
        <v>1.9820093629717579</v>
      </c>
      <c r="AA27" s="65">
        <f t="shared" si="53"/>
        <v>18824.89948376254</v>
      </c>
      <c r="AB27" s="14">
        <f t="shared" si="46"/>
        <v>264655.78396234493</v>
      </c>
      <c r="AC27" s="340">
        <f t="shared" si="9"/>
        <v>1000</v>
      </c>
      <c r="AD27" s="2">
        <f t="shared" si="22"/>
        <v>0.83210444057668875</v>
      </c>
      <c r="AE27" s="66">
        <f t="shared" si="23"/>
        <v>4.4538440597328255E-2</v>
      </c>
      <c r="AF27" s="4">
        <f t="shared" si="10"/>
        <v>44.501094703586311</v>
      </c>
      <c r="AG27" s="3">
        <f t="shared" si="47"/>
        <v>1270.6331142237668</v>
      </c>
      <c r="AH27" s="4">
        <f t="shared" si="11"/>
        <v>519.8780487804878</v>
      </c>
      <c r="AI27" s="349">
        <f t="shared" si="24"/>
        <v>0</v>
      </c>
      <c r="AJ27" s="1">
        <f t="shared" si="25"/>
        <v>7.404333333333335E-2</v>
      </c>
    </row>
    <row r="28" spans="1:36">
      <c r="A28">
        <f t="shared" si="37"/>
        <v>1349.9999999999998</v>
      </c>
      <c r="B28" s="4">
        <f t="shared" si="38"/>
        <v>764.40124629432944</v>
      </c>
      <c r="C28" s="12">
        <f t="shared" si="48"/>
        <v>9</v>
      </c>
      <c r="D28" s="4">
        <f t="shared" si="0"/>
        <v>411.58536585365852</v>
      </c>
      <c r="E28">
        <f t="shared" si="39"/>
        <v>0.11861823723647448</v>
      </c>
      <c r="F28">
        <f t="shared" si="40"/>
        <v>9.0239389202190143E-3</v>
      </c>
      <c r="G28" s="4">
        <f t="shared" si="41"/>
        <v>292.44444444444446</v>
      </c>
      <c r="H28" s="10">
        <f t="shared" si="49"/>
        <v>5270546.5931994012</v>
      </c>
      <c r="I28" s="2">
        <f t="shared" si="12"/>
        <v>5.2705465931994011</v>
      </c>
      <c r="J28" s="2">
        <f t="shared" si="42"/>
        <v>1.0040049135924753</v>
      </c>
      <c r="K28" s="4">
        <f t="shared" si="13"/>
        <v>999.9270550762792</v>
      </c>
      <c r="L28" s="4">
        <f t="shared" si="50"/>
        <v>60.453918250114477</v>
      </c>
      <c r="M28" s="161">
        <f t="shared" si="5"/>
        <v>0.51501794335249795</v>
      </c>
      <c r="N28" s="161">
        <f t="shared" si="43"/>
        <v>0.42480624502159381</v>
      </c>
      <c r="O28" s="346">
        <f t="shared" si="44"/>
        <v>0.24677256093590413</v>
      </c>
      <c r="P28" s="346">
        <f t="shared" si="45"/>
        <v>0.36577569037051338</v>
      </c>
      <c r="Q28" s="347">
        <f t="shared" si="51"/>
        <v>0.57519375497840619</v>
      </c>
      <c r="R28" s="162">
        <f t="shared" si="52"/>
        <v>600.83299952249808</v>
      </c>
      <c r="S28" s="13">
        <f t="shared" si="14"/>
        <v>1.0116612426405911E-3</v>
      </c>
      <c r="T28" s="13">
        <f t="shared" si="15"/>
        <v>1.8459680299564363E-5</v>
      </c>
      <c r="U28" s="13">
        <f t="shared" si="16"/>
        <v>5.8974301639291913E-4</v>
      </c>
      <c r="V28" s="20">
        <f t="shared" si="7"/>
        <v>8.4564184592376707E-3</v>
      </c>
      <c r="W28" s="20">
        <f t="shared" si="17"/>
        <v>8.9801409831749002E-3</v>
      </c>
      <c r="X28" s="402">
        <f t="shared" si="18"/>
        <v>0.93710945231358356</v>
      </c>
      <c r="Y28" s="402">
        <f t="shared" si="19"/>
        <v>0.9951464723518928</v>
      </c>
      <c r="Z28" s="336">
        <f t="shared" si="20"/>
        <v>1.932255924665476</v>
      </c>
      <c r="AA28" s="65">
        <f t="shared" si="53"/>
        <v>18203.903858458958</v>
      </c>
      <c r="AB28" s="14">
        <f t="shared" si="46"/>
        <v>269275.76502990007</v>
      </c>
      <c r="AC28" s="340">
        <f t="shared" si="9"/>
        <v>1000</v>
      </c>
      <c r="AD28" s="2">
        <f t="shared" si="22"/>
        <v>0.82969292762311009</v>
      </c>
      <c r="AE28" s="66">
        <f t="shared" si="23"/>
        <v>4.341946196128698E-2</v>
      </c>
      <c r="AF28" s="4">
        <f t="shared" si="10"/>
        <v>44.502069749005308</v>
      </c>
      <c r="AG28" s="3">
        <f t="shared" si="47"/>
        <v>1261.6710111774685</v>
      </c>
      <c r="AH28" s="4">
        <f t="shared" si="11"/>
        <v>584.86280487804891</v>
      </c>
      <c r="AI28" s="349">
        <f t="shared" si="24"/>
        <v>0</v>
      </c>
      <c r="AJ28" s="1">
        <f t="shared" si="25"/>
        <v>7.3493333333333341E-2</v>
      </c>
    </row>
    <row r="29" spans="1:36">
      <c r="A29">
        <f t="shared" si="37"/>
        <v>1499.9999999999998</v>
      </c>
      <c r="B29" s="4">
        <f t="shared" si="38"/>
        <v>806.09517941809418</v>
      </c>
      <c r="C29" s="12">
        <f t="shared" si="48"/>
        <v>10</v>
      </c>
      <c r="D29" s="4">
        <f t="shared" si="0"/>
        <v>457.31707317073165</v>
      </c>
      <c r="E29">
        <f t="shared" si="39"/>
        <v>0.11861823723647448</v>
      </c>
      <c r="F29">
        <f t="shared" si="40"/>
        <v>9.0239389202190143E-3</v>
      </c>
      <c r="G29" s="4">
        <f t="shared" si="41"/>
        <v>294.11111111111114</v>
      </c>
      <c r="H29" s="10">
        <f t="shared" si="49"/>
        <v>5558026.2620877596</v>
      </c>
      <c r="I29" s="2">
        <f t="shared" si="12"/>
        <v>5.5580262620877594</v>
      </c>
      <c r="J29" s="2">
        <f t="shared" si="42"/>
        <v>1.0045181862345773</v>
      </c>
      <c r="K29" s="4">
        <f t="shared" si="13"/>
        <v>999.56905182153662</v>
      </c>
      <c r="L29" s="4">
        <f t="shared" si="50"/>
        <v>63.357695161218651</v>
      </c>
      <c r="M29" s="161">
        <f t="shared" si="5"/>
        <v>0.50320415049119716</v>
      </c>
      <c r="N29" s="161">
        <f t="shared" si="43"/>
        <v>0.4154543873372184</v>
      </c>
      <c r="O29" s="346">
        <f t="shared" si="44"/>
        <v>0.24613956389006095</v>
      </c>
      <c r="P29" s="346">
        <f t="shared" si="45"/>
        <v>0.36520554841484471</v>
      </c>
      <c r="Q29" s="347">
        <f t="shared" si="51"/>
        <v>0.5845456126627816</v>
      </c>
      <c r="R29" s="162">
        <f t="shared" si="52"/>
        <v>610.61593622207818</v>
      </c>
      <c r="S29" s="13">
        <f t="shared" si="14"/>
        <v>9.8653328257483023E-4</v>
      </c>
      <c r="T29" s="13">
        <f t="shared" si="15"/>
        <v>1.8599814595509464E-5</v>
      </c>
      <c r="U29" s="13">
        <f t="shared" si="16"/>
        <v>5.844010766522925E-4</v>
      </c>
      <c r="V29" s="20">
        <f t="shared" si="7"/>
        <v>8.4594471897954607E-3</v>
      </c>
      <c r="W29" s="20">
        <f t="shared" si="17"/>
        <v>8.5685678352084172E-3</v>
      </c>
      <c r="X29" s="402">
        <f t="shared" si="18"/>
        <v>0.93744508518793779</v>
      </c>
      <c r="Y29" s="402">
        <f t="shared" si="19"/>
        <v>0.94953743713952965</v>
      </c>
      <c r="Z29" s="336">
        <f t="shared" si="20"/>
        <v>1.8869825223274674</v>
      </c>
      <c r="AA29" s="65">
        <f t="shared" si="53"/>
        <v>17638.08670357538</v>
      </c>
      <c r="AB29" s="14">
        <f t="shared" si="46"/>
        <v>273660.1909287973</v>
      </c>
      <c r="AC29" s="340">
        <f t="shared" si="9"/>
        <v>1000</v>
      </c>
      <c r="AD29" s="2">
        <f t="shared" si="22"/>
        <v>0.82742292310115717</v>
      </c>
      <c r="AE29" s="66">
        <f t="shared" si="23"/>
        <v>4.2336824553776138E-2</v>
      </c>
      <c r="AF29" s="4">
        <f t="shared" si="10"/>
        <v>44.570714554433025</v>
      </c>
      <c r="AG29" s="3">
        <f t="shared" si="47"/>
        <v>1253.4917350454766</v>
      </c>
      <c r="AH29" s="4">
        <f t="shared" si="11"/>
        <v>649.84756097560967</v>
      </c>
      <c r="AI29" s="349">
        <f t="shared" si="24"/>
        <v>0</v>
      </c>
      <c r="AJ29" s="1">
        <f t="shared" si="25"/>
        <v>7.2943333333333332E-2</v>
      </c>
    </row>
    <row r="30" spans="1:36">
      <c r="A30">
        <f t="shared" si="37"/>
        <v>1649.9999999999998</v>
      </c>
      <c r="B30" s="4">
        <f t="shared" si="38"/>
        <v>848.34293541988859</v>
      </c>
      <c r="C30" s="12">
        <f t="shared" ref="C30:C93" si="54">1+C29</f>
        <v>11</v>
      </c>
      <c r="D30" s="4">
        <f t="shared" si="0"/>
        <v>503.04878048780483</v>
      </c>
      <c r="E30">
        <f t="shared" si="39"/>
        <v>0.11861823723647448</v>
      </c>
      <c r="F30">
        <f t="shared" si="40"/>
        <v>9.0239389202190143E-3</v>
      </c>
      <c r="G30" s="4">
        <f t="shared" si="41"/>
        <v>295.77777777777777</v>
      </c>
      <c r="H30" s="10">
        <f t="shared" si="49"/>
        <v>5849324.539720132</v>
      </c>
      <c r="I30" s="2">
        <f t="shared" si="12"/>
        <v>5.8493245397201319</v>
      </c>
      <c r="J30" s="2">
        <f t="shared" si="42"/>
        <v>1.0050684312602045</v>
      </c>
      <c r="K30" s="4">
        <f t="shared" si="13"/>
        <v>999.19797643949732</v>
      </c>
      <c r="L30" s="4">
        <f t="shared" si="50"/>
        <v>66.266274530600185</v>
      </c>
      <c r="M30" s="161">
        <f t="shared" si="5"/>
        <v>0.49189089986658852</v>
      </c>
      <c r="N30" s="161">
        <f t="shared" si="43"/>
        <v>0.40656311560886782</v>
      </c>
      <c r="O30" s="346">
        <f t="shared" si="44"/>
        <v>0.24550440171104021</v>
      </c>
      <c r="P30" s="346">
        <f t="shared" si="45"/>
        <v>0.36463299756499762</v>
      </c>
      <c r="Q30" s="347">
        <f t="shared" si="51"/>
        <v>0.59343688439113218</v>
      </c>
      <c r="R30" s="162">
        <f t="shared" si="52"/>
        <v>619.90235706113253</v>
      </c>
      <c r="S30" s="13">
        <f t="shared" si="14"/>
        <v>9.6216620084414847E-4</v>
      </c>
      <c r="T30" s="13">
        <f t="shared" si="15"/>
        <v>1.8743174849262202E-5</v>
      </c>
      <c r="U30" s="13">
        <f t="shared" si="16"/>
        <v>5.7860519605852157E-4</v>
      </c>
      <c r="V30" s="20">
        <f t="shared" si="7"/>
        <v>8.4625888020402936E-3</v>
      </c>
      <c r="W30" s="20">
        <f t="shared" si="17"/>
        <v>8.1924736635174342E-3</v>
      </c>
      <c r="X30" s="402">
        <f t="shared" si="18"/>
        <v>0.93779322719916014</v>
      </c>
      <c r="Y30" s="402">
        <f t="shared" si="19"/>
        <v>0.90786005268291414</v>
      </c>
      <c r="Z30" s="336">
        <f t="shared" si="20"/>
        <v>1.8456532798820744</v>
      </c>
      <c r="AA30" s="65">
        <f t="shared" si="53"/>
        <v>17120.557165493996</v>
      </c>
      <c r="AB30" s="14">
        <f t="shared" si="46"/>
        <v>277822.09295117832</v>
      </c>
      <c r="AC30" s="340">
        <f t="shared" si="9"/>
        <v>1000</v>
      </c>
      <c r="AD30" s="2">
        <f t="shared" si="22"/>
        <v>0.82528417479205141</v>
      </c>
      <c r="AE30" s="66">
        <f t="shared" si="23"/>
        <v>4.1289008110018767E-2</v>
      </c>
      <c r="AF30" s="4">
        <f t="shared" si="10"/>
        <v>44.700838415980911</v>
      </c>
      <c r="AG30" s="3">
        <f t="shared" si="47"/>
        <v>1246.0194130402706</v>
      </c>
      <c r="AH30" s="4">
        <f t="shared" si="11"/>
        <v>714.83231707317088</v>
      </c>
      <c r="AI30" s="349">
        <f t="shared" si="24"/>
        <v>0</v>
      </c>
      <c r="AJ30" s="1">
        <f t="shared" si="25"/>
        <v>7.2393333333333351E-2</v>
      </c>
    </row>
    <row r="31" spans="1:36">
      <c r="A31">
        <f t="shared" si="37"/>
        <v>1799.9999999999998</v>
      </c>
      <c r="B31" s="4">
        <f t="shared" si="38"/>
        <v>891.11924435631681</v>
      </c>
      <c r="C31" s="12">
        <f t="shared" si="54"/>
        <v>12</v>
      </c>
      <c r="D31" s="4">
        <f t="shared" si="0"/>
        <v>548.78048780487802</v>
      </c>
      <c r="E31">
        <f t="shared" si="39"/>
        <v>0.11861823723647448</v>
      </c>
      <c r="F31">
        <f t="shared" si="40"/>
        <v>9.0239389202190143E-3</v>
      </c>
      <c r="G31" s="4">
        <f t="shared" si="41"/>
        <v>297.44444444444446</v>
      </c>
      <c r="H31" s="10">
        <f t="shared" si="49"/>
        <v>6144267.1898368048</v>
      </c>
      <c r="I31" s="2">
        <f t="shared" si="12"/>
        <v>6.1442671898368051</v>
      </c>
      <c r="J31" s="2">
        <f t="shared" si="42"/>
        <v>1.0056563395490272</v>
      </c>
      <c r="K31" s="4">
        <f t="shared" si="13"/>
        <v>998.81381225274811</v>
      </c>
      <c r="L31" s="4">
        <f t="shared" si="50"/>
        <v>69.177147001862011</v>
      </c>
      <c r="M31" s="161">
        <f t="shared" si="5"/>
        <v>0.48105575641763981</v>
      </c>
      <c r="N31" s="161">
        <f t="shared" si="43"/>
        <v>0.39810611052356093</v>
      </c>
      <c r="O31" s="346">
        <f t="shared" si="44"/>
        <v>0.24486719684424871</v>
      </c>
      <c r="P31" s="346">
        <f t="shared" si="45"/>
        <v>0.36405849335187612</v>
      </c>
      <c r="Q31" s="347">
        <f t="shared" si="51"/>
        <v>0.60189388947643907</v>
      </c>
      <c r="R31" s="162">
        <f t="shared" si="52"/>
        <v>628.71977524962426</v>
      </c>
      <c r="S31" s="13">
        <f t="shared" si="14"/>
        <v>9.3853286339689191E-4</v>
      </c>
      <c r="T31" s="13">
        <f t="shared" si="15"/>
        <v>1.888978415906639E-5</v>
      </c>
      <c r="U31" s="13">
        <f t="shared" si="16"/>
        <v>5.7241733405161024E-4</v>
      </c>
      <c r="V31" s="20">
        <f t="shared" si="7"/>
        <v>8.4658436864892741E-3</v>
      </c>
      <c r="W31" s="20">
        <f t="shared" si="17"/>
        <v>7.8477464365037421E-3</v>
      </c>
      <c r="X31" s="402">
        <f t="shared" si="18"/>
        <v>0.93815392162293187</v>
      </c>
      <c r="Y31" s="402">
        <f t="shared" si="19"/>
        <v>0.86965863863729198</v>
      </c>
      <c r="Z31" s="336">
        <f t="shared" si="20"/>
        <v>1.8078125602602237</v>
      </c>
      <c r="AA31" s="65">
        <f t="shared" si="53"/>
        <v>16645.504211534924</v>
      </c>
      <c r="AB31" s="14">
        <f t="shared" si="46"/>
        <v>281773.80171248404</v>
      </c>
      <c r="AC31" s="340">
        <f t="shared" si="9"/>
        <v>1000</v>
      </c>
      <c r="AD31" s="2">
        <f t="shared" si="22"/>
        <v>0.8232673266820949</v>
      </c>
      <c r="AE31" s="66">
        <f t="shared" si="23"/>
        <v>4.0274584098188675E-2</v>
      </c>
      <c r="AF31" s="4">
        <f t="shared" si="10"/>
        <v>44.887181351216711</v>
      </c>
      <c r="AG31" s="3">
        <f t="shared" si="47"/>
        <v>1239.1871742021688</v>
      </c>
      <c r="AH31" s="4">
        <f t="shared" si="11"/>
        <v>779.81707317073187</v>
      </c>
      <c r="AI31" s="349">
        <f t="shared" si="24"/>
        <v>0</v>
      </c>
      <c r="AJ31" s="1">
        <f t="shared" si="25"/>
        <v>7.1843333333333342E-2</v>
      </c>
    </row>
    <row r="32" spans="1:36">
      <c r="A32">
        <f t="shared" si="37"/>
        <v>1949.9999999999998</v>
      </c>
      <c r="B32" s="4">
        <f t="shared" si="38"/>
        <v>934.39978183623259</v>
      </c>
      <c r="C32" s="12">
        <f t="shared" si="54"/>
        <v>13</v>
      </c>
      <c r="D32" s="4">
        <f t="shared" si="0"/>
        <v>594.51219512195121</v>
      </c>
      <c r="E32">
        <f t="shared" si="39"/>
        <v>0.11861823723647448</v>
      </c>
      <c r="F32">
        <f t="shared" si="40"/>
        <v>9.0239389202190143E-3</v>
      </c>
      <c r="G32" s="4">
        <f t="shared" si="41"/>
        <v>299.11111111111114</v>
      </c>
      <c r="H32" s="10">
        <f t="shared" si="49"/>
        <v>6442686.4957608236</v>
      </c>
      <c r="I32" s="2">
        <f t="shared" si="12"/>
        <v>6.4426864957608236</v>
      </c>
      <c r="J32" s="2">
        <f t="shared" si="42"/>
        <v>1.0062825465653726</v>
      </c>
      <c r="K32" s="4">
        <f t="shared" si="13"/>
        <v>998.41654947619179</v>
      </c>
      <c r="L32" s="4">
        <f t="shared" si="50"/>
        <v>72.087924825404357</v>
      </c>
      <c r="M32" s="161">
        <f t="shared" si="5"/>
        <v>0.4706769199123127</v>
      </c>
      <c r="N32" s="161">
        <f t="shared" si="43"/>
        <v>0.3900585120711425</v>
      </c>
      <c r="O32" s="346">
        <f t="shared" si="44"/>
        <v>0.24422806323975421</v>
      </c>
      <c r="P32" s="346">
        <f t="shared" si="45"/>
        <v>0.36348247097445346</v>
      </c>
      <c r="Q32" s="347">
        <f t="shared" si="51"/>
        <v>0.6099414879288575</v>
      </c>
      <c r="R32" s="162">
        <f t="shared" si="52"/>
        <v>637.09418445599772</v>
      </c>
      <c r="S32" s="13">
        <f t="shared" si="14"/>
        <v>9.1560724822528476E-4</v>
      </c>
      <c r="T32" s="13">
        <f t="shared" si="15"/>
        <v>1.9039664016826965E-5</v>
      </c>
      <c r="U32" s="13">
        <f t="shared" si="16"/>
        <v>5.65893430357715E-4</v>
      </c>
      <c r="V32" s="20">
        <f t="shared" si="7"/>
        <v>8.4692121849086477E-3</v>
      </c>
      <c r="W32" s="20">
        <f t="shared" si="17"/>
        <v>7.5308688686241835E-3</v>
      </c>
      <c r="X32" s="402">
        <f t="shared" si="18"/>
        <v>0.93852720633254205</v>
      </c>
      <c r="Y32" s="402">
        <f t="shared" si="19"/>
        <v>0.83454342224663536</v>
      </c>
      <c r="Z32" s="336">
        <f t="shared" si="20"/>
        <v>1.7730706285791773</v>
      </c>
      <c r="AA32" s="65">
        <f t="shared" si="53"/>
        <v>16207.994902406443</v>
      </c>
      <c r="AB32" s="14">
        <f t="shared" si="46"/>
        <v>285526.966814121</v>
      </c>
      <c r="AC32" s="340">
        <f t="shared" si="9"/>
        <v>1000</v>
      </c>
      <c r="AD32" s="2">
        <f t="shared" si="22"/>
        <v>0.82136382365518779</v>
      </c>
      <c r="AE32" s="66">
        <f t="shared" si="23"/>
        <v>3.9292206651150539E-2</v>
      </c>
      <c r="AF32" s="4">
        <f t="shared" si="10"/>
        <v>45.125249501029458</v>
      </c>
      <c r="AG32" s="3">
        <f t="shared" si="47"/>
        <v>1232.9358626309368</v>
      </c>
      <c r="AH32" s="4">
        <f t="shared" si="11"/>
        <v>844.80182926829275</v>
      </c>
      <c r="AI32" s="349">
        <f t="shared" si="24"/>
        <v>0</v>
      </c>
      <c r="AJ32" s="1">
        <f t="shared" si="25"/>
        <v>7.1293333333333334E-2</v>
      </c>
    </row>
    <row r="33" spans="1:36">
      <c r="A33">
        <f t="shared" si="37"/>
        <v>2100</v>
      </c>
      <c r="B33" s="4">
        <f t="shared" si="38"/>
        <v>978.16119760367678</v>
      </c>
      <c r="C33" s="12">
        <f t="shared" si="54"/>
        <v>14</v>
      </c>
      <c r="D33" s="4">
        <f t="shared" si="0"/>
        <v>640.2439024390244</v>
      </c>
      <c r="E33">
        <f t="shared" si="39"/>
        <v>0.11861823723647448</v>
      </c>
      <c r="F33">
        <f t="shared" si="40"/>
        <v>9.0239389202190143E-3</v>
      </c>
      <c r="G33" s="4">
        <f t="shared" si="41"/>
        <v>300.77777777777777</v>
      </c>
      <c r="H33" s="10">
        <f t="shared" si="49"/>
        <v>6744421.4574773517</v>
      </c>
      <c r="I33" s="2">
        <f t="shared" si="12"/>
        <v>6.744421457477352</v>
      </c>
      <c r="J33" s="2">
        <f t="shared" si="42"/>
        <v>1.006947634615621</v>
      </c>
      <c r="K33" s="4">
        <f t="shared" si="13"/>
        <v>998.00618503474027</v>
      </c>
      <c r="L33" s="4">
        <f t="shared" si="50"/>
        <v>74.996341885059962</v>
      </c>
      <c r="M33" s="161">
        <f t="shared" si="5"/>
        <v>0.46073328727694185</v>
      </c>
      <c r="N33" s="161">
        <f t="shared" si="43"/>
        <v>0.38239687266521716</v>
      </c>
      <c r="O33" s="346">
        <f t="shared" si="44"/>
        <v>0.24358710633623665</v>
      </c>
      <c r="P33" s="346">
        <f t="shared" si="45"/>
        <v>0.36290534518539541</v>
      </c>
      <c r="Q33" s="347">
        <f t="shared" si="51"/>
        <v>0.61760312733478284</v>
      </c>
      <c r="R33" s="162">
        <f t="shared" si="52"/>
        <v>645.0501075750899</v>
      </c>
      <c r="S33" s="13">
        <f t="shared" si="14"/>
        <v>8.9336439393707123E-4</v>
      </c>
      <c r="T33" s="13">
        <f t="shared" si="15"/>
        <v>1.9192834430585285E-5</v>
      </c>
      <c r="U33" s="13">
        <f t="shared" si="16"/>
        <v>5.5908392340891524E-4</v>
      </c>
      <c r="V33" s="20">
        <f t="shared" si="7"/>
        <v>8.4726945917112401E-3</v>
      </c>
      <c r="W33" s="20">
        <f t="shared" si="17"/>
        <v>7.2388158572239143E-3</v>
      </c>
      <c r="X33" s="402">
        <f t="shared" si="18"/>
        <v>0.9389131139537461</v>
      </c>
      <c r="Y33" s="402">
        <f t="shared" si="19"/>
        <v>0.80217917266756344</v>
      </c>
      <c r="Z33" s="336">
        <f t="shared" si="20"/>
        <v>1.7410922866213094</v>
      </c>
      <c r="AA33" s="65">
        <f t="shared" si="53"/>
        <v>15803.816244931513</v>
      </c>
      <c r="AB33" s="14">
        <f t="shared" si="46"/>
        <v>289092.57869981159</v>
      </c>
      <c r="AC33" s="340">
        <f t="shared" si="9"/>
        <v>1000</v>
      </c>
      <c r="AD33" s="2">
        <f t="shared" si="22"/>
        <v>0.81956582963800861</v>
      </c>
      <c r="AE33" s="66">
        <f t="shared" si="23"/>
        <v>3.8340604889629357E-2</v>
      </c>
      <c r="AF33" s="4">
        <f t="shared" si="10"/>
        <v>45.411184607894711</v>
      </c>
      <c r="AG33" s="3">
        <f t="shared" si="47"/>
        <v>1227.2129690606225</v>
      </c>
      <c r="AH33" s="4">
        <f t="shared" si="11"/>
        <v>909.78658536585374</v>
      </c>
      <c r="AI33" s="349">
        <f t="shared" si="24"/>
        <v>0</v>
      </c>
      <c r="AJ33" s="1">
        <f t="shared" si="25"/>
        <v>7.0743333333333352E-2</v>
      </c>
    </row>
    <row r="34" spans="1:36">
      <c r="A34">
        <f t="shared" si="37"/>
        <v>2250</v>
      </c>
      <c r="B34" s="4">
        <f t="shared" si="38"/>
        <v>1022.3811243541835</v>
      </c>
      <c r="C34" s="12">
        <f t="shared" si="54"/>
        <v>15</v>
      </c>
      <c r="D34" s="4">
        <f t="shared" si="0"/>
        <v>685.97560975609758</v>
      </c>
      <c r="E34">
        <f t="shared" si="39"/>
        <v>0.11861823723647448</v>
      </c>
      <c r="F34">
        <f t="shared" si="40"/>
        <v>9.0239389202190143E-3</v>
      </c>
      <c r="G34" s="4">
        <f t="shared" si="41"/>
        <v>302.44444444444446</v>
      </c>
      <c r="H34" s="10">
        <f t="shared" si="49"/>
        <v>7049317.8524220949</v>
      </c>
      <c r="I34" s="2">
        <f t="shared" si="12"/>
        <v>7.049317852422095</v>
      </c>
      <c r="J34" s="2">
        <f t="shared" si="42"/>
        <v>1.0076521351315066</v>
      </c>
      <c r="K34" s="4">
        <f t="shared" si="13"/>
        <v>997.58272232648881</v>
      </c>
      <c r="L34" s="4">
        <f t="shared" si="50"/>
        <v>77.900252174020025</v>
      </c>
      <c r="M34" s="161">
        <f t="shared" si="5"/>
        <v>0.45120449939312218</v>
      </c>
      <c r="N34" s="161">
        <f t="shared" si="43"/>
        <v>0.37509910565106686</v>
      </c>
      <c r="O34" s="346">
        <f t="shared" si="44"/>
        <v>0.24294442314496098</v>
      </c>
      <c r="P34" s="346">
        <f t="shared" si="45"/>
        <v>0.36232751046891748</v>
      </c>
      <c r="Q34" s="347">
        <f t="shared" si="51"/>
        <v>0.62490089434893314</v>
      </c>
      <c r="R34" s="162">
        <f t="shared" si="52"/>
        <v>652.61065028933376</v>
      </c>
      <c r="S34" s="13">
        <f t="shared" si="14"/>
        <v>8.7178035097331601E-4</v>
      </c>
      <c r="T34" s="13">
        <f t="shared" si="15"/>
        <v>1.9349314030284399E-5</v>
      </c>
      <c r="U34" s="13">
        <f t="shared" si="16"/>
        <v>5.5203423138677331E-4</v>
      </c>
      <c r="V34" s="20">
        <f t="shared" si="7"/>
        <v>8.4762911558033151E-3</v>
      </c>
      <c r="W34" s="20">
        <f t="shared" si="17"/>
        <v>6.9689724194809712E-3</v>
      </c>
      <c r="X34" s="402">
        <f t="shared" si="18"/>
        <v>0.93931167206942845</v>
      </c>
      <c r="Y34" s="402">
        <f t="shared" si="19"/>
        <v>0.77227610704082994</v>
      </c>
      <c r="Z34" s="336">
        <f t="shared" si="20"/>
        <v>1.7115877791102585</v>
      </c>
      <c r="AA34" s="65">
        <f t="shared" si="53"/>
        <v>15429.349977198499</v>
      </c>
      <c r="AB34" s="14">
        <f t="shared" si="46"/>
        <v>292480.99266015872</v>
      </c>
      <c r="AC34" s="340">
        <f t="shared" si="9"/>
        <v>1000</v>
      </c>
      <c r="AD34" s="2">
        <f t="shared" si="22"/>
        <v>0.81786615649193339</v>
      </c>
      <c r="AE34" s="66">
        <f t="shared" si="23"/>
        <v>3.7418576356778109E-2</v>
      </c>
      <c r="AF34" s="4">
        <f t="shared" si="10"/>
        <v>45.741659511324954</v>
      </c>
      <c r="AG34" s="3">
        <f t="shared" si="47"/>
        <v>1221.9717370596934</v>
      </c>
      <c r="AH34" s="4">
        <f t="shared" si="11"/>
        <v>974.77134146341473</v>
      </c>
      <c r="AI34" s="349">
        <f t="shared" si="24"/>
        <v>0</v>
      </c>
      <c r="AJ34" s="1">
        <f t="shared" si="25"/>
        <v>7.0193333333333344E-2</v>
      </c>
    </row>
    <row r="35" spans="1:36">
      <c r="A35">
        <f t="shared" si="37"/>
        <v>2399.9999999999995</v>
      </c>
      <c r="B35" s="4">
        <f t="shared" si="38"/>
        <v>1067.0381718722917</v>
      </c>
      <c r="C35" s="12">
        <f t="shared" si="54"/>
        <v>16</v>
      </c>
      <c r="D35" s="4">
        <f t="shared" si="0"/>
        <v>731.70731707317066</v>
      </c>
      <c r="E35">
        <f t="shared" si="39"/>
        <v>0.11861823723647448</v>
      </c>
      <c r="F35">
        <f t="shared" si="40"/>
        <v>9.0239389202190143E-3</v>
      </c>
      <c r="G35" s="4">
        <f t="shared" si="41"/>
        <v>304.11111111111114</v>
      </c>
      <c r="H35" s="10">
        <f t="shared" si="49"/>
        <v>7357228.1950594513</v>
      </c>
      <c r="I35" s="2">
        <f t="shared" si="12"/>
        <v>7.3572281950594514</v>
      </c>
      <c r="J35" s="2">
        <f t="shared" si="42"/>
        <v>1.0083965309467864</v>
      </c>
      <c r="K35" s="4">
        <f t="shared" si="13"/>
        <v>997.14617094967025</v>
      </c>
      <c r="L35" s="4">
        <f t="shared" si="50"/>
        <v>80.797627165175172</v>
      </c>
      <c r="M35" s="161">
        <f t="shared" si="5"/>
        <v>0.44207097351375196</v>
      </c>
      <c r="N35" s="161">
        <f t="shared" si="43"/>
        <v>0.36814442993316554</v>
      </c>
      <c r="O35" s="346">
        <f t="shared" si="44"/>
        <v>0.24230010240425603</v>
      </c>
      <c r="P35" s="346">
        <f t="shared" si="45"/>
        <v>0.36174934142799337</v>
      </c>
      <c r="Q35" s="347">
        <f t="shared" si="51"/>
        <v>0.63185557006683446</v>
      </c>
      <c r="R35" s="162">
        <f t="shared" si="52"/>
        <v>659.7975586780409</v>
      </c>
      <c r="S35" s="13">
        <f t="shared" si="14"/>
        <v>8.5083213532253588E-4</v>
      </c>
      <c r="T35" s="13">
        <f t="shared" si="15"/>
        <v>1.950912015999558E-5</v>
      </c>
      <c r="U35" s="13">
        <f t="shared" si="16"/>
        <v>5.4478519781520215E-4</v>
      </c>
      <c r="V35" s="20">
        <f t="shared" si="7"/>
        <v>8.4800020827287582E-3</v>
      </c>
      <c r="W35" s="20">
        <f t="shared" si="17"/>
        <v>6.7190674765922886E-3</v>
      </c>
      <c r="X35" s="402">
        <f t="shared" si="18"/>
        <v>0.93972290345721288</v>
      </c>
      <c r="Y35" s="402">
        <f t="shared" si="19"/>
        <v>0.74458255269631346</v>
      </c>
      <c r="Z35" s="336">
        <f t="shared" si="20"/>
        <v>1.6843054561535264</v>
      </c>
      <c r="AA35" s="65">
        <f t="shared" si="53"/>
        <v>15081.472528607983</v>
      </c>
      <c r="AB35" s="14">
        <f t="shared" si="46"/>
        <v>295701.9546514391</v>
      </c>
      <c r="AC35" s="340">
        <f t="shared" si="9"/>
        <v>1000</v>
      </c>
      <c r="AD35" s="2">
        <f t="shared" si="22"/>
        <v>0.81625820166695806</v>
      </c>
      <c r="AE35" s="66">
        <f t="shared" si="23"/>
        <v>3.6524981350506691E-2</v>
      </c>
      <c r="AF35" s="4">
        <f t="shared" si="10"/>
        <v>46.113793734494571</v>
      </c>
      <c r="AG35" s="3">
        <f t="shared" si="47"/>
        <v>1217.1704103656423</v>
      </c>
      <c r="AH35" s="4">
        <f t="shared" si="11"/>
        <v>1039.7560975609756</v>
      </c>
      <c r="AI35" s="349">
        <f t="shared" si="24"/>
        <v>0</v>
      </c>
      <c r="AJ35" s="1">
        <f t="shared" si="25"/>
        <v>6.9643333333333335E-2</v>
      </c>
    </row>
    <row r="36" spans="1:36">
      <c r="A36">
        <f t="shared" si="37"/>
        <v>2549.9999999999995</v>
      </c>
      <c r="B36" s="4">
        <f t="shared" si="38"/>
        <v>1112.1119104045683</v>
      </c>
      <c r="C36" s="12">
        <f t="shared" si="54"/>
        <v>17</v>
      </c>
      <c r="D36" s="4">
        <f t="shared" si="0"/>
        <v>777.43902439024384</v>
      </c>
      <c r="E36">
        <f t="shared" si="39"/>
        <v>0.11861823723647448</v>
      </c>
      <c r="F36">
        <f t="shared" si="40"/>
        <v>9.0239389202190143E-3</v>
      </c>
      <c r="G36" s="4">
        <f t="shared" si="41"/>
        <v>305.77777777777777</v>
      </c>
      <c r="H36" s="10">
        <f t="shared" si="49"/>
        <v>7668011.6222394984</v>
      </c>
      <c r="I36" s="2">
        <f t="shared" si="12"/>
        <v>7.6680116222394981</v>
      </c>
      <c r="J36" s="2">
        <f t="shared" si="42"/>
        <v>1.0091812585424855</v>
      </c>
      <c r="K36" s="4">
        <f t="shared" si="13"/>
        <v>996.6965464070953</v>
      </c>
      <c r="L36" s="4">
        <f t="shared" si="50"/>
        <v>83.686552413226309</v>
      </c>
      <c r="M36" s="161">
        <f t="shared" si="5"/>
        <v>0.43331392289018528</v>
      </c>
      <c r="N36" s="161">
        <f t="shared" si="43"/>
        <v>0.3615133117118392</v>
      </c>
      <c r="O36" s="346">
        <f t="shared" si="44"/>
        <v>0.24165422478219156</v>
      </c>
      <c r="P36" s="346">
        <f t="shared" si="45"/>
        <v>0.3611711933180754</v>
      </c>
      <c r="Q36" s="347">
        <f t="shared" si="51"/>
        <v>0.6384866882881608</v>
      </c>
      <c r="R36" s="162">
        <f t="shared" si="52"/>
        <v>666.63127985236531</v>
      </c>
      <c r="S36" s="13">
        <f t="shared" si="14"/>
        <v>8.3049768459063009E-4</v>
      </c>
      <c r="T36" s="13">
        <f t="shared" si="15"/>
        <v>1.9672268959051805E-5</v>
      </c>
      <c r="U36" s="13">
        <f t="shared" si="16"/>
        <v>5.3737350336552977E-4</v>
      </c>
      <c r="V36" s="20">
        <f t="shared" si="7"/>
        <v>8.4838275369968873E-3</v>
      </c>
      <c r="W36" s="20">
        <f t="shared" si="17"/>
        <v>6.4871200117159735E-3</v>
      </c>
      <c r="X36" s="402">
        <f t="shared" si="18"/>
        <v>0.94014682634742186</v>
      </c>
      <c r="Y36" s="402">
        <f t="shared" si="19"/>
        <v>0.71887898057254673</v>
      </c>
      <c r="Z36" s="336">
        <f t="shared" si="20"/>
        <v>1.6590258069199688</v>
      </c>
      <c r="AA36" s="65">
        <f t="shared" si="53"/>
        <v>14757.474428724079</v>
      </c>
      <c r="AB36" s="14">
        <f t="shared" si="46"/>
        <v>298764.62847041985</v>
      </c>
      <c r="AC36" s="340">
        <f t="shared" si="9"/>
        <v>1000</v>
      </c>
      <c r="AD36" s="2">
        <f t="shared" si="22"/>
        <v>0.81473589313118322</v>
      </c>
      <c r="AE36" s="66">
        <f t="shared" si="23"/>
        <v>3.5658737988598303E-2</v>
      </c>
      <c r="AF36" s="4">
        <f t="shared" si="10"/>
        <v>46.525084747823485</v>
      </c>
      <c r="AG36" s="3">
        <f t="shared" si="47"/>
        <v>1212.7715953482343</v>
      </c>
      <c r="AH36" s="4">
        <f t="shared" si="11"/>
        <v>1104.7408536585367</v>
      </c>
      <c r="AI36" s="349">
        <f t="shared" si="24"/>
        <v>0</v>
      </c>
      <c r="AJ36" s="1">
        <f t="shared" si="25"/>
        <v>6.9093333333333354E-2</v>
      </c>
    </row>
    <row r="37" spans="1:36">
      <c r="A37">
        <f t="shared" si="37"/>
        <v>2699.9999999999995</v>
      </c>
      <c r="B37" s="4">
        <f t="shared" si="38"/>
        <v>1157.5828462855175</v>
      </c>
      <c r="C37" s="12">
        <f t="shared" si="54"/>
        <v>18</v>
      </c>
      <c r="D37" s="4">
        <f t="shared" si="0"/>
        <v>823.17073170731703</v>
      </c>
      <c r="E37">
        <f t="shared" si="39"/>
        <v>0.11861823723647448</v>
      </c>
      <c r="F37">
        <f t="shared" si="40"/>
        <v>9.0239389202190143E-3</v>
      </c>
      <c r="G37" s="4">
        <f t="shared" si="41"/>
        <v>307.44444444444446</v>
      </c>
      <c r="H37" s="10">
        <f t="shared" si="49"/>
        <v>7981533.7251386428</v>
      </c>
      <c r="I37" s="2">
        <f t="shared" si="12"/>
        <v>7.9815337251386431</v>
      </c>
      <c r="J37" s="2">
        <f t="shared" si="42"/>
        <v>1.0100067102422063</v>
      </c>
      <c r="K37" s="4">
        <f t="shared" si="13"/>
        <v>996.2338697983048</v>
      </c>
      <c r="L37" s="4">
        <f t="shared" si="50"/>
        <v>86.565223644165428</v>
      </c>
      <c r="M37" s="161">
        <f t="shared" si="5"/>
        <v>0.42491536536771585</v>
      </c>
      <c r="N37" s="161">
        <f t="shared" si="43"/>
        <v>0.35518740437257945</v>
      </c>
      <c r="O37" s="346">
        <f t="shared" si="44"/>
        <v>0.24100686311060227</v>
      </c>
      <c r="P37" s="346">
        <f t="shared" si="45"/>
        <v>0.36059340267967838</v>
      </c>
      <c r="Q37" s="347">
        <f t="shared" si="51"/>
        <v>0.64481259562742055</v>
      </c>
      <c r="R37" s="162">
        <f t="shared" si="52"/>
        <v>673.13102453169756</v>
      </c>
      <c r="S37" s="13">
        <f t="shared" si="14"/>
        <v>8.1075581629470384E-4</v>
      </c>
      <c r="T37" s="13">
        <f t="shared" si="15"/>
        <v>1.9838775433997207E-5</v>
      </c>
      <c r="U37" s="13">
        <f t="shared" si="16"/>
        <v>5.2983204547734806E-4</v>
      </c>
      <c r="V37" s="20">
        <f t="shared" si="7"/>
        <v>8.4877676445091685E-3</v>
      </c>
      <c r="W37" s="20">
        <f t="shared" si="17"/>
        <v>6.2713949784608336E-3</v>
      </c>
      <c r="X37" s="402">
        <f t="shared" si="18"/>
        <v>0.94058345469199689</v>
      </c>
      <c r="Y37" s="402">
        <f t="shared" si="19"/>
        <v>0.69497311915633231</v>
      </c>
      <c r="Z37" s="336">
        <f t="shared" si="20"/>
        <v>1.6355565738483291</v>
      </c>
      <c r="AA37" s="65">
        <f t="shared" si="53"/>
        <v>14454.994887378143</v>
      </c>
      <c r="AB37" s="14">
        <f t="shared" si="46"/>
        <v>301677.62379926693</v>
      </c>
      <c r="AC37" s="340">
        <f t="shared" si="9"/>
        <v>1000</v>
      </c>
      <c r="AD37" s="2">
        <f t="shared" si="22"/>
        <v>0.81329364043857555</v>
      </c>
      <c r="AE37" s="66">
        <f t="shared" si="23"/>
        <v>3.4818817877790585E-2</v>
      </c>
      <c r="AF37" s="4">
        <f t="shared" si="10"/>
        <v>46.973351582150634</v>
      </c>
      <c r="AG37" s="3">
        <f t="shared" si="47"/>
        <v>1208.7417181606543</v>
      </c>
      <c r="AH37" s="4">
        <f t="shared" si="11"/>
        <v>1169.7256097560978</v>
      </c>
      <c r="AI37" s="349">
        <f t="shared" si="24"/>
        <v>0</v>
      </c>
      <c r="AJ37" s="1">
        <f t="shared" si="25"/>
        <v>6.8543333333333345E-2</v>
      </c>
    </row>
    <row r="38" spans="1:36">
      <c r="A38">
        <f t="shared" si="37"/>
        <v>2849.9999999999995</v>
      </c>
      <c r="B38" s="4">
        <f t="shared" si="38"/>
        <v>1203.4323921428988</v>
      </c>
      <c r="C38" s="12">
        <f t="shared" si="54"/>
        <v>19</v>
      </c>
      <c r="D38" s="4">
        <f t="shared" si="0"/>
        <v>868.90243902439022</v>
      </c>
      <c r="E38">
        <f t="shared" si="39"/>
        <v>0.11861823723647448</v>
      </c>
      <c r="F38">
        <f t="shared" si="40"/>
        <v>9.0239389202190143E-3</v>
      </c>
      <c r="G38" s="4">
        <f t="shared" si="41"/>
        <v>309.11111111111114</v>
      </c>
      <c r="H38" s="10">
        <f t="shared" si="49"/>
        <v>8297666.3438252881</v>
      </c>
      <c r="I38" s="2">
        <f t="shared" si="12"/>
        <v>8.2976663438252878</v>
      </c>
      <c r="J38" s="2">
        <f t="shared" si="42"/>
        <v>1.0108732363440349</v>
      </c>
      <c r="K38" s="4">
        <f t="shared" si="13"/>
        <v>995.7581675070287</v>
      </c>
      <c r="L38" s="4">
        <f t="shared" si="50"/>
        <v>89.431942525299462</v>
      </c>
      <c r="M38" s="161">
        <f t="shared" si="5"/>
        <v>0.41685812270378531</v>
      </c>
      <c r="N38" s="161">
        <f t="shared" si="43"/>
        <v>0.34914948751266495</v>
      </c>
      <c r="O38" s="346">
        <f t="shared" si="44"/>
        <v>0.24035808263776454</v>
      </c>
      <c r="P38" s="346">
        <f t="shared" si="45"/>
        <v>0.36001628803378311</v>
      </c>
      <c r="Q38" s="347">
        <f t="shared" si="51"/>
        <v>0.65085051248733505</v>
      </c>
      <c r="R38" s="162">
        <f t="shared" si="52"/>
        <v>679.31483053536965</v>
      </c>
      <c r="S38" s="13">
        <f t="shared" si="14"/>
        <v>7.9158618825693136E-4</v>
      </c>
      <c r="T38" s="13">
        <f t="shared" si="15"/>
        <v>2.0008653522858712E-5</v>
      </c>
      <c r="U38" s="13">
        <f t="shared" si="16"/>
        <v>5.2219028742824447E-4</v>
      </c>
      <c r="V38" s="20">
        <f t="shared" si="7"/>
        <v>8.4918224950221409E-3</v>
      </c>
      <c r="W38" s="20">
        <f t="shared" si="17"/>
        <v>6.0703669577319205E-3</v>
      </c>
      <c r="X38" s="402">
        <f t="shared" si="18"/>
        <v>0.94103279843743015</v>
      </c>
      <c r="Y38" s="402">
        <f t="shared" si="19"/>
        <v>0.67269592706691217</v>
      </c>
      <c r="Z38" s="336">
        <f t="shared" si="20"/>
        <v>1.6137287255043424</v>
      </c>
      <c r="AA38" s="65">
        <f t="shared" si="53"/>
        <v>14171.968315181841</v>
      </c>
      <c r="AB38" s="14">
        <f t="shared" si="46"/>
        <v>304449.02466066874</v>
      </c>
      <c r="AC38" s="340">
        <f t="shared" si="9"/>
        <v>1000</v>
      </c>
      <c r="AD38" s="2">
        <f t="shared" si="22"/>
        <v>0.81192629104612768</v>
      </c>
      <c r="AE38" s="66">
        <f t="shared" si="23"/>
        <v>3.4004242285192832E-2</v>
      </c>
      <c r="AF38" s="4">
        <f t="shared" si="10"/>
        <v>47.45668825583688</v>
      </c>
      <c r="AG38" s="3">
        <f t="shared" si="47"/>
        <v>1205.0505603358715</v>
      </c>
      <c r="AH38" s="4">
        <f t="shared" si="11"/>
        <v>1234.7103658536587</v>
      </c>
      <c r="AI38" s="349">
        <f t="shared" si="24"/>
        <v>0</v>
      </c>
      <c r="AJ38" s="1">
        <f t="shared" si="25"/>
        <v>6.7993333333333336E-2</v>
      </c>
    </row>
    <row r="39" spans="1:36">
      <c r="A39">
        <f t="shared" si="37"/>
        <v>2999.9999999999995</v>
      </c>
      <c r="B39" s="4">
        <f t="shared" si="38"/>
        <v>1249.6428334736968</v>
      </c>
      <c r="C39" s="12">
        <f t="shared" si="54"/>
        <v>20</v>
      </c>
      <c r="D39" s="4">
        <f t="shared" si="0"/>
        <v>914.63414634146329</v>
      </c>
      <c r="E39">
        <f t="shared" si="39"/>
        <v>0.11861823723647448</v>
      </c>
      <c r="F39">
        <f t="shared" si="40"/>
        <v>9.0239389202190143E-3</v>
      </c>
      <c r="G39" s="4">
        <f t="shared" si="41"/>
        <v>310.77777777777777</v>
      </c>
      <c r="H39" s="10">
        <f t="shared" si="49"/>
        <v>8616287.3368011396</v>
      </c>
      <c r="I39" s="2">
        <f t="shared" si="12"/>
        <v>8.6162873368011397</v>
      </c>
      <c r="J39" s="2">
        <f t="shared" si="42"/>
        <v>1.0117811471796263</v>
      </c>
      <c r="K39" s="4">
        <f t="shared" si="13"/>
        <v>995.26947088953068</v>
      </c>
      <c r="L39" s="4">
        <f t="shared" si="50"/>
        <v>92.285112261103421</v>
      </c>
      <c r="M39" s="161">
        <f t="shared" si="5"/>
        <v>0.40912581226285333</v>
      </c>
      <c r="N39" s="161">
        <f t="shared" si="43"/>
        <v>0.3433834059741383</v>
      </c>
      <c r="O39" s="346">
        <f t="shared" si="44"/>
        <v>0.23970794129020934</v>
      </c>
      <c r="P39" s="346">
        <f t="shared" si="45"/>
        <v>0.35944015061291024</v>
      </c>
      <c r="Q39" s="347">
        <f t="shared" si="51"/>
        <v>0.6566165940258617</v>
      </c>
      <c r="R39" s="162">
        <f t="shared" si="52"/>
        <v>685.1996262823285</v>
      </c>
      <c r="S39" s="13">
        <f t="shared" si="14"/>
        <v>7.7296926098213291E-4</v>
      </c>
      <c r="T39" s="13">
        <f t="shared" si="15"/>
        <v>2.0181916152940663E-5</v>
      </c>
      <c r="U39" s="13">
        <f t="shared" si="16"/>
        <v>5.1447457854045676E-4</v>
      </c>
      <c r="V39" s="20">
        <f t="shared" si="7"/>
        <v>8.4959921446005632E-3</v>
      </c>
      <c r="W39" s="20">
        <f t="shared" si="17"/>
        <v>5.8826900197657839E-3</v>
      </c>
      <c r="X39" s="402">
        <f t="shared" si="18"/>
        <v>0.94149486379661385</v>
      </c>
      <c r="Y39" s="402">
        <f t="shared" si="19"/>
        <v>0.65189825327663109</v>
      </c>
      <c r="Z39" s="336">
        <f t="shared" si="20"/>
        <v>1.5933931170732449</v>
      </c>
      <c r="AA39" s="65">
        <f t="shared" si="53"/>
        <v>13906.580319267838</v>
      </c>
      <c r="AB39" s="14">
        <f t="shared" si="46"/>
        <v>307086.41787653137</v>
      </c>
      <c r="AC39" s="340">
        <f t="shared" si="9"/>
        <v>1000</v>
      </c>
      <c r="AD39" s="2">
        <f t="shared" si="22"/>
        <v>0.81062909117116866</v>
      </c>
      <c r="AE39" s="66">
        <f t="shared" si="23"/>
        <v>3.3214078731101639E-2</v>
      </c>
      <c r="AF39" s="4">
        <f t="shared" si="10"/>
        <v>47.973425063907996</v>
      </c>
      <c r="AG39" s="3">
        <f t="shared" si="47"/>
        <v>1201.6708597947429</v>
      </c>
      <c r="AH39" s="4">
        <f t="shared" si="11"/>
        <v>1299.6951219512193</v>
      </c>
      <c r="AI39" s="349">
        <f t="shared" si="24"/>
        <v>0</v>
      </c>
      <c r="AJ39" s="1">
        <f t="shared" si="25"/>
        <v>6.7443333333333355E-2</v>
      </c>
    </row>
    <row r="40" spans="1:36">
      <c r="A40">
        <f t="shared" si="37"/>
        <v>3149.9999999999995</v>
      </c>
      <c r="B40" s="4">
        <f t="shared" si="38"/>
        <v>1296.1972929654733</v>
      </c>
      <c r="C40" s="12">
        <f t="shared" si="54"/>
        <v>21</v>
      </c>
      <c r="D40" s="4">
        <f t="shared" si="0"/>
        <v>960.36585365853648</v>
      </c>
      <c r="E40">
        <f t="shared" si="39"/>
        <v>0.11861823723647448</v>
      </c>
      <c r="F40">
        <f t="shared" si="40"/>
        <v>9.0239389202190143E-3</v>
      </c>
      <c r="G40" s="4">
        <f t="shared" si="41"/>
        <v>312.44444444444446</v>
      </c>
      <c r="H40" s="10">
        <f t="shared" si="49"/>
        <v>8937280.3349969387</v>
      </c>
      <c r="I40" s="2">
        <f t="shared" si="12"/>
        <v>8.9372803349969381</v>
      </c>
      <c r="J40" s="2">
        <f t="shared" si="42"/>
        <v>1.0127307150942513</v>
      </c>
      <c r="K40" s="4">
        <f t="shared" si="13"/>
        <v>994.76781596787714</v>
      </c>
      <c r="L40" s="4">
        <f t="shared" si="50"/>
        <v>95.123233123349337</v>
      </c>
      <c r="M40" s="161">
        <f t="shared" si="5"/>
        <v>0.40170283258974582</v>
      </c>
      <c r="N40" s="161">
        <f t="shared" si="43"/>
        <v>0.33787400961397984</v>
      </c>
      <c r="O40" s="346">
        <f t="shared" si="44"/>
        <v>0.23905648993659609</v>
      </c>
      <c r="P40" s="346">
        <f t="shared" si="45"/>
        <v>0.35886527510755989</v>
      </c>
      <c r="Q40" s="347">
        <f t="shared" si="51"/>
        <v>0.66212599038602016</v>
      </c>
      <c r="R40" s="162">
        <f t="shared" si="52"/>
        <v>690.80129353470033</v>
      </c>
      <c r="S40" s="13">
        <f t="shared" si="14"/>
        <v>7.5488626190970082E-4</v>
      </c>
      <c r="T40" s="13">
        <f t="shared" si="15"/>
        <v>2.0358575293108664E-5</v>
      </c>
      <c r="U40" s="13">
        <f t="shared" si="16"/>
        <v>5.06708447260072E-4</v>
      </c>
      <c r="V40" s="20">
        <f t="shared" si="7"/>
        <v>8.5002766180276822E-3</v>
      </c>
      <c r="W40" s="20">
        <f t="shared" si="17"/>
        <v>5.7071725912362769E-3</v>
      </c>
      <c r="X40" s="402">
        <f t="shared" si="18"/>
        <v>0.94196965351593687</v>
      </c>
      <c r="Y40" s="402">
        <f t="shared" si="19"/>
        <v>0.63244805197526333</v>
      </c>
      <c r="Z40" s="336">
        <f t="shared" si="20"/>
        <v>1.5744177054912001</v>
      </c>
      <c r="AA40" s="65">
        <f t="shared" si="53"/>
        <v>13657.231275535103</v>
      </c>
      <c r="AB40" s="14">
        <f t="shared" si="46"/>
        <v>309596.92118780775</v>
      </c>
      <c r="AC40" s="340">
        <f t="shared" si="9"/>
        <v>1000</v>
      </c>
      <c r="AD40" s="2">
        <f t="shared" si="22"/>
        <v>0.80939765061183677</v>
      </c>
      <c r="AE40" s="66">
        <f t="shared" si="23"/>
        <v>3.2447437938182222E-2</v>
      </c>
      <c r="AF40" s="4">
        <f t="shared" si="10"/>
        <v>48.522096212672579</v>
      </c>
      <c r="AG40" s="3">
        <f t="shared" si="47"/>
        <v>1198.5779667156335</v>
      </c>
      <c r="AH40" s="4">
        <f t="shared" si="11"/>
        <v>1364.6798780487807</v>
      </c>
      <c r="AI40" s="349">
        <f t="shared" si="24"/>
        <v>0</v>
      </c>
      <c r="AJ40" s="1">
        <f t="shared" si="25"/>
        <v>6.6893333333333346E-2</v>
      </c>
    </row>
    <row r="41" spans="1:36">
      <c r="A41">
        <f t="shared" si="37"/>
        <v>3299.9999999999995</v>
      </c>
      <c r="B41" s="4">
        <f t="shared" si="38"/>
        <v>1343.0796936128036</v>
      </c>
      <c r="C41" s="12">
        <f t="shared" si="54"/>
        <v>22</v>
      </c>
      <c r="D41" s="4">
        <f t="shared" si="0"/>
        <v>1006.0975609756097</v>
      </c>
      <c r="E41">
        <f t="shared" si="39"/>
        <v>0.11861823723647448</v>
      </c>
      <c r="F41">
        <f t="shared" si="40"/>
        <v>9.0239389202190143E-3</v>
      </c>
      <c r="G41" s="4">
        <f t="shared" si="41"/>
        <v>314.11111111111109</v>
      </c>
      <c r="H41" s="10">
        <f t="shared" si="49"/>
        <v>9260534.4874602798</v>
      </c>
      <c r="I41" s="2">
        <f t="shared" si="12"/>
        <v>9.26053448746028</v>
      </c>
      <c r="J41" s="2">
        <f t="shared" si="42"/>
        <v>1.0137221763441198</v>
      </c>
      <c r="K41" s="4">
        <f t="shared" si="13"/>
        <v>994.2532431310002</v>
      </c>
      <c r="L41" s="4">
        <f t="shared" si="50"/>
        <v>97.944897995571992</v>
      </c>
      <c r="M41" s="161">
        <f t="shared" si="5"/>
        <v>0.39457434418901094</v>
      </c>
      <c r="N41" s="161">
        <f t="shared" si="43"/>
        <v>0.33260709440161396</v>
      </c>
      <c r="O41" s="346">
        <f t="shared" si="44"/>
        <v>0.23840377264844353</v>
      </c>
      <c r="P41" s="346">
        <f t="shared" si="45"/>
        <v>0.3582919304129914</v>
      </c>
      <c r="Q41" s="347">
        <f t="shared" si="51"/>
        <v>0.66739290559838604</v>
      </c>
      <c r="R41" s="162">
        <f t="shared" si="52"/>
        <v>696.13472876758647</v>
      </c>
      <c r="S41" s="13">
        <f t="shared" si="14"/>
        <v>7.3731915143718436E-4</v>
      </c>
      <c r="T41" s="13">
        <f t="shared" si="15"/>
        <v>2.0538642001347404E-5</v>
      </c>
      <c r="U41" s="13">
        <f t="shared" si="16"/>
        <v>4.9891286887002206E-4</v>
      </c>
      <c r="V41" s="20">
        <f t="shared" si="7"/>
        <v>8.5046759111492252E-3</v>
      </c>
      <c r="W41" s="20">
        <f t="shared" si="17"/>
        <v>5.5427563863091819E-3</v>
      </c>
      <c r="X41" s="402">
        <f t="shared" si="18"/>
        <v>0.94245716713503791</v>
      </c>
      <c r="Y41" s="402">
        <f t="shared" si="19"/>
        <v>0.61422804778632711</v>
      </c>
      <c r="Z41" s="336">
        <f t="shared" si="20"/>
        <v>1.556685214921365</v>
      </c>
      <c r="AA41" s="65">
        <f t="shared" si="53"/>
        <v>13422.506002175367</v>
      </c>
      <c r="AB41" s="14">
        <f t="shared" si="46"/>
        <v>311987.21075864392</v>
      </c>
      <c r="AC41" s="340">
        <f t="shared" si="9"/>
        <v>1000</v>
      </c>
      <c r="AD41" s="2">
        <f t="shared" si="22"/>
        <v>0.80822791105294534</v>
      </c>
      <c r="AE41" s="66">
        <f t="shared" si="23"/>
        <v>3.1703471084334196E-2</v>
      </c>
      <c r="AF41" s="4">
        <f t="shared" si="10"/>
        <v>49.101412611270128</v>
      </c>
      <c r="AG41" s="3">
        <f t="shared" si="47"/>
        <v>1195.7495456582533</v>
      </c>
      <c r="AH41" s="4">
        <f t="shared" si="11"/>
        <v>1429.6646341463418</v>
      </c>
      <c r="AI41" s="349">
        <f t="shared" si="24"/>
        <v>0</v>
      </c>
      <c r="AJ41" s="1">
        <f t="shared" si="25"/>
        <v>6.6343333333333351E-2</v>
      </c>
    </row>
    <row r="42" spans="1:36">
      <c r="A42">
        <f t="shared" si="37"/>
        <v>3449.9999999999995</v>
      </c>
      <c r="B42" s="4">
        <f t="shared" si="38"/>
        <v>1390.2747214243795</v>
      </c>
      <c r="C42" s="12">
        <f t="shared" si="54"/>
        <v>23</v>
      </c>
      <c r="D42" s="4">
        <f t="shared" si="0"/>
        <v>1051.8292682926829</v>
      </c>
      <c r="E42">
        <f t="shared" si="39"/>
        <v>0.11861823723647448</v>
      </c>
      <c r="F42">
        <f t="shared" si="40"/>
        <v>9.0239389202190143E-3</v>
      </c>
      <c r="G42" s="4">
        <f t="shared" si="41"/>
        <v>315.77777777777777</v>
      </c>
      <c r="H42" s="10">
        <f t="shared" si="49"/>
        <v>9585944.2042210978</v>
      </c>
      <c r="I42" s="2">
        <f t="shared" si="12"/>
        <v>9.5859442042210983</v>
      </c>
      <c r="J42" s="2">
        <f t="shared" si="42"/>
        <v>1.0147557329092511</v>
      </c>
      <c r="K42" s="4">
        <f t="shared" si="13"/>
        <v>993.72579684552306</v>
      </c>
      <c r="L42" s="4">
        <f t="shared" si="50"/>
        <v>100.7487879900581</v>
      </c>
      <c r="M42" s="161">
        <f t="shared" si="5"/>
        <v>0.38772624665973127</v>
      </c>
      <c r="N42" s="161">
        <f t="shared" si="43"/>
        <v>0.32756934530180937</v>
      </c>
      <c r="O42" s="346">
        <f t="shared" si="44"/>
        <v>0.23774982695395533</v>
      </c>
      <c r="P42" s="346">
        <f t="shared" si="45"/>
        <v>0.35772037036538162</v>
      </c>
      <c r="Q42" s="347">
        <f t="shared" si="51"/>
        <v>0.67243065469819063</v>
      </c>
      <c r="R42" s="162">
        <f t="shared" si="52"/>
        <v>701.21390268517041</v>
      </c>
      <c r="S42" s="13">
        <f t="shared" si="14"/>
        <v>7.202505906189064E-4</v>
      </c>
      <c r="T42" s="13">
        <f t="shared" si="15"/>
        <v>2.072212646823507E-5</v>
      </c>
      <c r="U42" s="13">
        <f t="shared" si="16"/>
        <v>4.9110650959709081E-4</v>
      </c>
      <c r="V42" s="20">
        <f t="shared" si="7"/>
        <v>8.5091899931351838E-3</v>
      </c>
      <c r="W42" s="20">
        <f t="shared" si="17"/>
        <v>5.3884986579186443E-3</v>
      </c>
      <c r="X42" s="402">
        <f t="shared" si="18"/>
        <v>0.94295740123744798</v>
      </c>
      <c r="Y42" s="402">
        <f t="shared" si="19"/>
        <v>0.59713376891827008</v>
      </c>
      <c r="Z42" s="336">
        <f t="shared" si="20"/>
        <v>1.5400911701557178</v>
      </c>
      <c r="AA42" s="65">
        <f t="shared" si="53"/>
        <v>13201.148378982407</v>
      </c>
      <c r="AB42" s="14">
        <f t="shared" si="46"/>
        <v>314263.54784975632</v>
      </c>
      <c r="AC42" s="340">
        <f t="shared" si="9"/>
        <v>1000</v>
      </c>
      <c r="AD42" s="2">
        <f t="shared" si="22"/>
        <v>0.80711611745542255</v>
      </c>
      <c r="AE42" s="66">
        <f t="shared" si="23"/>
        <v>3.098136731622687E-2</v>
      </c>
      <c r="AF42" s="4">
        <f t="shared" si="10"/>
        <v>49.710238881196062</v>
      </c>
      <c r="AG42" s="3">
        <f t="shared" si="47"/>
        <v>1193.1653168699042</v>
      </c>
      <c r="AH42" s="4">
        <f t="shared" si="11"/>
        <v>1494.6493902439024</v>
      </c>
      <c r="AI42" s="349">
        <f t="shared" si="24"/>
        <v>0</v>
      </c>
      <c r="AJ42" s="1">
        <f t="shared" si="25"/>
        <v>6.5793333333333343E-2</v>
      </c>
    </row>
    <row r="43" spans="1:36">
      <c r="A43">
        <f t="shared" si="37"/>
        <v>3599.9999999999995</v>
      </c>
      <c r="B43" s="4">
        <f t="shared" si="38"/>
        <v>1437.7677883175977</v>
      </c>
      <c r="C43" s="12">
        <f t="shared" si="54"/>
        <v>24</v>
      </c>
      <c r="D43" s="4">
        <f t="shared" si="0"/>
        <v>1097.560975609756</v>
      </c>
      <c r="E43">
        <f t="shared" si="39"/>
        <v>0.11861823723647448</v>
      </c>
      <c r="F43">
        <f t="shared" si="40"/>
        <v>9.0239389202190143E-3</v>
      </c>
      <c r="G43" s="4">
        <f t="shared" si="41"/>
        <v>317.44444444444446</v>
      </c>
      <c r="H43" s="10">
        <f t="shared" si="49"/>
        <v>9913408.9004498366</v>
      </c>
      <c r="I43" s="2">
        <f t="shared" si="12"/>
        <v>9.913408900449836</v>
      </c>
      <c r="J43" s="2">
        <f t="shared" si="42"/>
        <v>1.0158315542216945</v>
      </c>
      <c r="K43" s="4">
        <f t="shared" si="13"/>
        <v>993.18552537763549</v>
      </c>
      <c r="L43" s="4">
        <f t="shared" si="50"/>
        <v>103.5336681787107</v>
      </c>
      <c r="M43" s="161">
        <f t="shared" si="5"/>
        <v>0.38114515316434561</v>
      </c>
      <c r="N43" s="161">
        <f t="shared" si="43"/>
        <v>0.32274828128316202</v>
      </c>
      <c r="O43" s="346">
        <f t="shared" si="44"/>
        <v>0.23709468408227816</v>
      </c>
      <c r="P43" s="346">
        <f t="shared" si="45"/>
        <v>0.35715083445953794</v>
      </c>
      <c r="Q43" s="347">
        <f t="shared" si="51"/>
        <v>0.67725171871683798</v>
      </c>
      <c r="R43" s="162">
        <f t="shared" si="52"/>
        <v>706.05191752630935</v>
      </c>
      <c r="S43" s="13">
        <f t="shared" si="14"/>
        <v>7.0366391044874319E-4</v>
      </c>
      <c r="T43" s="13">
        <f t="shared" si="15"/>
        <v>2.0909038056864727E-5</v>
      </c>
      <c r="U43" s="13">
        <f t="shared" si="16"/>
        <v>4.8330594884655982E-4</v>
      </c>
      <c r="V43" s="20">
        <f t="shared" si="7"/>
        <v>8.5138188086491609E-3</v>
      </c>
      <c r="W43" s="20">
        <f t="shared" si="17"/>
        <v>5.2435571773065967E-3</v>
      </c>
      <c r="X43" s="402">
        <f t="shared" si="18"/>
        <v>0.9434703496909892</v>
      </c>
      <c r="Y43" s="402">
        <f t="shared" si="19"/>
        <v>0.5810718826518092</v>
      </c>
      <c r="Z43" s="336">
        <f t="shared" si="20"/>
        <v>1.5245422323427984</v>
      </c>
      <c r="AA43" s="65">
        <f t="shared" si="53"/>
        <v>12992.040000522959</v>
      </c>
      <c r="AB43" s="14">
        <f t="shared" si="46"/>
        <v>316431.80450112035</v>
      </c>
      <c r="AC43" s="340">
        <f t="shared" si="9"/>
        <v>1000</v>
      </c>
      <c r="AD43" s="2">
        <f t="shared" si="22"/>
        <v>0.80605879218682075</v>
      </c>
      <c r="AE43" s="66">
        <f t="shared" si="23"/>
        <v>3.0280351488124219E-2</v>
      </c>
      <c r="AF43" s="4">
        <f t="shared" si="10"/>
        <v>50.347573836476606</v>
      </c>
      <c r="AG43" s="3">
        <f t="shared" si="47"/>
        <v>1190.8068309269568</v>
      </c>
      <c r="AH43" s="4">
        <f t="shared" si="11"/>
        <v>1559.6341463414637</v>
      </c>
      <c r="AI43" s="349">
        <f t="shared" si="24"/>
        <v>0</v>
      </c>
      <c r="AJ43" s="1">
        <f t="shared" si="25"/>
        <v>6.5243333333333348E-2</v>
      </c>
    </row>
    <row r="44" spans="1:36">
      <c r="A44">
        <f t="shared" si="37"/>
        <v>3749.9999999999995</v>
      </c>
      <c r="B44" s="4">
        <f t="shared" si="38"/>
        <v>1485.5449956419839</v>
      </c>
      <c r="C44" s="12">
        <f t="shared" si="54"/>
        <v>25</v>
      </c>
      <c r="D44" s="4">
        <f t="shared" si="0"/>
        <v>1143.2926829268292</v>
      </c>
      <c r="E44">
        <f t="shared" si="39"/>
        <v>0.11861823723647448</v>
      </c>
      <c r="F44">
        <f t="shared" si="40"/>
        <v>9.0239389202190143E-3</v>
      </c>
      <c r="G44" s="4">
        <f t="shared" si="41"/>
        <v>319.11111111111109</v>
      </c>
      <c r="H44" s="10">
        <f t="shared" si="49"/>
        <v>10242832.744951479</v>
      </c>
      <c r="I44" s="2">
        <f t="shared" si="12"/>
        <v>10.24283274495148</v>
      </c>
      <c r="J44" s="2">
        <f t="shared" si="42"/>
        <v>1.0169497788100283</v>
      </c>
      <c r="K44" s="4">
        <f t="shared" si="13"/>
        <v>992.63248052679353</v>
      </c>
      <c r="L44" s="4">
        <f t="shared" si="50"/>
        <v>106.29838346621371</v>
      </c>
      <c r="M44" s="161">
        <f t="shared" si="5"/>
        <v>0.37481836305242922</v>
      </c>
      <c r="N44" s="161">
        <f t="shared" si="43"/>
        <v>0.31813220269080045</v>
      </c>
      <c r="O44" s="346">
        <f t="shared" si="44"/>
        <v>0.23643836919637701</v>
      </c>
      <c r="P44" s="346">
        <f t="shared" si="45"/>
        <v>0.35658354854274626</v>
      </c>
      <c r="Q44" s="347">
        <f t="shared" si="51"/>
        <v>0.68186779730919955</v>
      </c>
      <c r="R44" s="162">
        <f t="shared" si="52"/>
        <v>710.66106190894948</v>
      </c>
      <c r="S44" s="13">
        <f t="shared" si="14"/>
        <v>6.8754308264156187E-4</v>
      </c>
      <c r="T44" s="13">
        <f t="shared" si="15"/>
        <v>2.1099385339654187E-5</v>
      </c>
      <c r="U44" s="13">
        <f t="shared" si="16"/>
        <v>4.7552588124950493E-4</v>
      </c>
      <c r="V44" s="20">
        <f t="shared" si="7"/>
        <v>8.5185622799192375E-3</v>
      </c>
      <c r="W44" s="20">
        <f t="shared" si="17"/>
        <v>5.1071774675097549E-3</v>
      </c>
      <c r="X44" s="402">
        <f t="shared" si="18"/>
        <v>0.94399600387726124</v>
      </c>
      <c r="Y44" s="402">
        <f t="shared" si="19"/>
        <v>0.56595878060152049</v>
      </c>
      <c r="Z44" s="336">
        <f t="shared" si="20"/>
        <v>1.5099547844787817</v>
      </c>
      <c r="AA44" s="65">
        <f t="shared" si="53"/>
        <v>12794.182138394382</v>
      </c>
      <c r="AB44" s="14">
        <f t="shared" si="46"/>
        <v>318497.48811163282</v>
      </c>
      <c r="AC44" s="340">
        <f t="shared" si="9"/>
        <v>1000</v>
      </c>
      <c r="AD44" s="2">
        <f t="shared" si="22"/>
        <v>0.80505271159763814</v>
      </c>
      <c r="AE44" s="66">
        <f t="shared" si="23"/>
        <v>2.9599682096693301E-2</v>
      </c>
      <c r="AF44" s="4">
        <f t="shared" si="10"/>
        <v>51.012533835539564</v>
      </c>
      <c r="AG44" s="3">
        <f t="shared" si="47"/>
        <v>1188.6572718491855</v>
      </c>
      <c r="AH44" s="4">
        <f t="shared" si="11"/>
        <v>1624.6189024390244</v>
      </c>
      <c r="AI44" s="349">
        <f t="shared" si="24"/>
        <v>0</v>
      </c>
      <c r="AJ44" s="1">
        <f t="shared" si="25"/>
        <v>6.4693333333333353E-2</v>
      </c>
    </row>
    <row r="45" spans="1:36">
      <c r="A45">
        <f t="shared" si="37"/>
        <v>3899.9999999999995</v>
      </c>
      <c r="B45" s="4">
        <f t="shared" si="38"/>
        <v>1533.5930986514149</v>
      </c>
      <c r="C45" s="12">
        <f t="shared" si="54"/>
        <v>26</v>
      </c>
      <c r="D45" s="4">
        <f t="shared" si="0"/>
        <v>1189.0243902439024</v>
      </c>
      <c r="E45">
        <f t="shared" si="39"/>
        <v>0.11861823723647448</v>
      </c>
      <c r="F45">
        <f t="shared" si="40"/>
        <v>9.0239389202190143E-3</v>
      </c>
      <c r="G45" s="4">
        <f t="shared" si="41"/>
        <v>320.77777777777777</v>
      </c>
      <c r="H45" s="10">
        <f t="shared" si="49"/>
        <v>10574124.415201506</v>
      </c>
      <c r="I45" s="2">
        <f t="shared" si="12"/>
        <v>10.574124415201506</v>
      </c>
      <c r="J45" s="2">
        <f t="shared" si="42"/>
        <v>1.0181105158619448</v>
      </c>
      <c r="K45" s="4">
        <f t="shared" si="13"/>
        <v>992.06671737162492</v>
      </c>
      <c r="L45" s="4">
        <f t="shared" si="50"/>
        <v>109.04185462403903</v>
      </c>
      <c r="M45" s="161">
        <f t="shared" si="5"/>
        <v>0.36873383331895232</v>
      </c>
      <c r="N45" s="161">
        <f t="shared" si="43"/>
        <v>0.31371014113682283</v>
      </c>
      <c r="O45" s="346">
        <f t="shared" si="44"/>
        <v>0.23578090161334975</v>
      </c>
      <c r="P45" s="346">
        <f t="shared" si="45"/>
        <v>0.35601872548118285</v>
      </c>
      <c r="Q45" s="347">
        <f t="shared" si="51"/>
        <v>0.68628985886317717</v>
      </c>
      <c r="R45" s="162">
        <f t="shared" si="52"/>
        <v>715.05286305175616</v>
      </c>
      <c r="S45" s="13">
        <f t="shared" si="14"/>
        <v>6.7187269183291041E-4</v>
      </c>
      <c r="T45" s="13">
        <f t="shared" si="15"/>
        <v>2.1293176132414136E-5</v>
      </c>
      <c r="U45" s="13">
        <f t="shared" si="16"/>
        <v>4.6777930014178185E-4</v>
      </c>
      <c r="V45" s="20">
        <f t="shared" si="7"/>
        <v>8.5234203087076205E-3</v>
      </c>
      <c r="W45" s="20">
        <f t="shared" si="17"/>
        <v>4.9786819083658118E-3</v>
      </c>
      <c r="X45" s="402">
        <f t="shared" si="18"/>
        <v>0.94453435290991017</v>
      </c>
      <c r="Y45" s="402">
        <f t="shared" si="19"/>
        <v>0.55171937137236049</v>
      </c>
      <c r="Z45" s="336">
        <f t="shared" si="20"/>
        <v>1.4962537242822707</v>
      </c>
      <c r="AA45" s="65">
        <f t="shared" si="53"/>
        <v>12606.680432723932</v>
      </c>
      <c r="AB45" s="14">
        <f t="shared" si="46"/>
        <v>320465.76484331756</v>
      </c>
      <c r="AC45" s="340">
        <f t="shared" si="9"/>
        <v>1000</v>
      </c>
      <c r="AD45" s="2">
        <f t="shared" si="22"/>
        <v>0.80409488478656321</v>
      </c>
      <c r="AE45" s="66">
        <f t="shared" si="23"/>
        <v>2.8938649387360519E-2</v>
      </c>
      <c r="AF45" s="4">
        <f t="shared" si="10"/>
        <v>51.704338521610019</v>
      </c>
      <c r="AG45" s="3">
        <f t="shared" si="47"/>
        <v>1186.7012846224618</v>
      </c>
      <c r="AH45" s="4">
        <f t="shared" si="11"/>
        <v>1689.6036585365855</v>
      </c>
      <c r="AI45" s="349">
        <f t="shared" si="24"/>
        <v>0</v>
      </c>
      <c r="AJ45" s="1">
        <f t="shared" si="25"/>
        <v>6.4143333333333344E-2</v>
      </c>
    </row>
    <row r="46" spans="1:36">
      <c r="A46">
        <f t="shared" si="37"/>
        <v>4049.9999999999995</v>
      </c>
      <c r="B46" s="4">
        <f t="shared" si="38"/>
        <v>1581.899472150478</v>
      </c>
      <c r="C46" s="12">
        <f t="shared" si="54"/>
        <v>27</v>
      </c>
      <c r="D46" s="4">
        <f t="shared" si="0"/>
        <v>1234.7560975609756</v>
      </c>
      <c r="E46">
        <f t="shared" si="39"/>
        <v>0.11861823723647448</v>
      </c>
      <c r="F46">
        <f t="shared" si="40"/>
        <v>9.0239389202190143E-3</v>
      </c>
      <c r="G46" s="4">
        <f t="shared" si="41"/>
        <v>322.44444444444446</v>
      </c>
      <c r="H46" s="10">
        <f t="shared" si="49"/>
        <v>10907196.860477546</v>
      </c>
      <c r="I46" s="2">
        <f t="shared" si="12"/>
        <v>10.907196860477546</v>
      </c>
      <c r="J46" s="2">
        <f t="shared" si="42"/>
        <v>1.0193138467073317</v>
      </c>
      <c r="K46" s="4">
        <f t="shared" si="13"/>
        <v>991.48829402813396</v>
      </c>
      <c r="L46" s="4">
        <f t="shared" si="50"/>
        <v>111.76307449632239</v>
      </c>
      <c r="M46" s="161">
        <f t="shared" si="5"/>
        <v>0.36288014945219205</v>
      </c>
      <c r="N46" s="161">
        <f t="shared" si="43"/>
        <v>0.30947181199226459</v>
      </c>
      <c r="O46" s="346">
        <f t="shared" si="44"/>
        <v>0.2351222950114927</v>
      </c>
      <c r="P46" s="346">
        <f t="shared" si="45"/>
        <v>0.35545656579672008</v>
      </c>
      <c r="Q46" s="347">
        <f t="shared" si="51"/>
        <v>0.69052818800773541</v>
      </c>
      <c r="R46" s="162">
        <f t="shared" si="52"/>
        <v>719.23813628433152</v>
      </c>
      <c r="S46" s="13">
        <f t="shared" si="14"/>
        <v>6.5663790912114215E-4</v>
      </c>
      <c r="T46" s="13">
        <f t="shared" si="15"/>
        <v>2.1490417525986694E-5</v>
      </c>
      <c r="U46" s="13">
        <f t="shared" si="16"/>
        <v>4.600776640148477E-4</v>
      </c>
      <c r="V46" s="20">
        <f t="shared" si="7"/>
        <v>8.5283927781786527E-3</v>
      </c>
      <c r="W46" s="20">
        <f t="shared" si="17"/>
        <v>4.8574604028920297E-3</v>
      </c>
      <c r="X46" s="402">
        <f t="shared" si="18"/>
        <v>0.94508538384163454</v>
      </c>
      <c r="Y46" s="402">
        <f t="shared" si="19"/>
        <v>0.53828604624178211</v>
      </c>
      <c r="Z46" s="336">
        <f t="shared" si="20"/>
        <v>1.4833714300834167</v>
      </c>
      <c r="AA46" s="65">
        <f t="shared" si="53"/>
        <v>12428.731846137196</v>
      </c>
      <c r="AB46" s="14">
        <f t="shared" si="46"/>
        <v>322341.48181035591</v>
      </c>
      <c r="AC46" s="340">
        <f t="shared" si="9"/>
        <v>1000</v>
      </c>
      <c r="AD46" s="2">
        <f t="shared" si="22"/>
        <v>0.80318253432943876</v>
      </c>
      <c r="AE46" s="66">
        <f t="shared" si="23"/>
        <v>2.8296573611702056E-2</v>
      </c>
      <c r="AF46" s="4">
        <f t="shared" si="10"/>
        <v>52.422298559496546</v>
      </c>
      <c r="AG46" s="3">
        <f t="shared" si="47"/>
        <v>1184.9248237161589</v>
      </c>
      <c r="AH46" s="4">
        <f t="shared" si="11"/>
        <v>1754.5884146341464</v>
      </c>
      <c r="AI46" s="349">
        <f t="shared" si="24"/>
        <v>0</v>
      </c>
      <c r="AJ46" s="1">
        <f t="shared" si="25"/>
        <v>6.3593333333333335E-2</v>
      </c>
    </row>
    <row r="47" spans="1:36">
      <c r="A47">
        <f t="shared" si="37"/>
        <v>4200</v>
      </c>
      <c r="B47" s="4">
        <f t="shared" si="38"/>
        <v>1630.4520774668656</v>
      </c>
      <c r="C47" s="12">
        <f t="shared" si="54"/>
        <v>28</v>
      </c>
      <c r="D47" s="4">
        <f t="shared" si="0"/>
        <v>1280.4878048780488</v>
      </c>
      <c r="E47">
        <f t="shared" si="39"/>
        <v>0.11861823723647448</v>
      </c>
      <c r="F47">
        <f t="shared" si="40"/>
        <v>9.0239389202190143E-3</v>
      </c>
      <c r="G47" s="4">
        <f t="shared" si="41"/>
        <v>324.11111111111109</v>
      </c>
      <c r="H47" s="10">
        <f t="shared" si="49"/>
        <v>11241967.074134039</v>
      </c>
      <c r="I47" s="2">
        <f t="shared" si="12"/>
        <v>11.241967074134038</v>
      </c>
      <c r="J47" s="2">
        <f t="shared" si="42"/>
        <v>1.0205598262247026</v>
      </c>
      <c r="K47" s="4">
        <f t="shared" si="13"/>
        <v>990.89727142009053</v>
      </c>
      <c r="L47" s="4">
        <f t="shared" si="50"/>
        <v>114.46110438296681</v>
      </c>
      <c r="M47" s="161">
        <f t="shared" si="5"/>
        <v>0.35724649611884407</v>
      </c>
      <c r="N47" s="161">
        <f t="shared" si="43"/>
        <v>0.30540756950850223</v>
      </c>
      <c r="O47" s="346">
        <f t="shared" si="44"/>
        <v>0.23446255762378562</v>
      </c>
      <c r="P47" s="346">
        <f t="shared" si="45"/>
        <v>0.3548972582730201</v>
      </c>
      <c r="Q47" s="347">
        <f t="shared" si="51"/>
        <v>0.69459243049149777</v>
      </c>
      <c r="R47" s="162">
        <f t="shared" si="52"/>
        <v>723.22703181593488</v>
      </c>
      <c r="S47" s="13">
        <f t="shared" si="14"/>
        <v>6.4182446688069257E-4</v>
      </c>
      <c r="T47" s="13">
        <f t="shared" si="15"/>
        <v>2.1691115915719598E-5</v>
      </c>
      <c r="U47" s="13">
        <f t="shared" si="16"/>
        <v>4.5243104739131721E-4</v>
      </c>
      <c r="V47" s="20">
        <f t="shared" si="7"/>
        <v>8.5334795546665471E-3</v>
      </c>
      <c r="W47" s="20">
        <f t="shared" si="17"/>
        <v>4.7429623521275917E-3</v>
      </c>
      <c r="X47" s="402">
        <f t="shared" si="18"/>
        <v>0.94564908186007934</v>
      </c>
      <c r="Y47" s="402">
        <f t="shared" si="19"/>
        <v>0.525597789841033</v>
      </c>
      <c r="Z47" s="336">
        <f t="shared" si="20"/>
        <v>1.4712468717011125</v>
      </c>
      <c r="AA47" s="65">
        <f t="shared" si="53"/>
        <v>12259.613502257198</v>
      </c>
      <c r="AB47" s="14">
        <f t="shared" si="46"/>
        <v>324129.18803945865</v>
      </c>
      <c r="AC47" s="340">
        <f t="shared" si="9"/>
        <v>1000</v>
      </c>
      <c r="AD47" s="2">
        <f t="shared" si="22"/>
        <v>0.80231307877333624</v>
      </c>
      <c r="AE47" s="66">
        <f t="shared" si="23"/>
        <v>2.7672803418548449E-2</v>
      </c>
      <c r="AF47" s="4">
        <f t="shared" si="10"/>
        <v>53.165805048684341</v>
      </c>
      <c r="AG47" s="3">
        <f t="shared" si="47"/>
        <v>1183.3150197158041</v>
      </c>
      <c r="AH47" s="4">
        <f t="shared" si="11"/>
        <v>1819.5731707317075</v>
      </c>
      <c r="AI47" s="349">
        <f t="shared" si="24"/>
        <v>0</v>
      </c>
      <c r="AJ47" s="1">
        <f t="shared" si="25"/>
        <v>6.3043333333333354E-2</v>
      </c>
    </row>
    <row r="48" spans="1:36">
      <c r="A48">
        <f t="shared" si="37"/>
        <v>4349.9999999999991</v>
      </c>
      <c r="B48" s="4">
        <f t="shared" si="38"/>
        <v>1679.2394308449245</v>
      </c>
      <c r="C48" s="12">
        <f t="shared" si="54"/>
        <v>29</v>
      </c>
      <c r="D48" s="4">
        <f t="shared" si="0"/>
        <v>1326.2195121951218</v>
      </c>
      <c r="E48">
        <f t="shared" si="39"/>
        <v>0.11861823723647448</v>
      </c>
      <c r="F48">
        <f t="shared" si="40"/>
        <v>9.0239389202190143E-3</v>
      </c>
      <c r="G48" s="4">
        <f t="shared" si="41"/>
        <v>325.77777777777777</v>
      </c>
      <c r="H48" s="10">
        <f t="shared" si="49"/>
        <v>11578355.875675755</v>
      </c>
      <c r="I48" s="2">
        <f t="shared" si="12"/>
        <v>11.578355875675754</v>
      </c>
      <c r="J48" s="2">
        <f t="shared" si="42"/>
        <v>1.0218484841741167</v>
      </c>
      <c r="K48" s="4">
        <f t="shared" si="13"/>
        <v>990.29371306132794</v>
      </c>
      <c r="L48" s="4">
        <f t="shared" si="50"/>
        <v>117.13507060110078</v>
      </c>
      <c r="M48" s="161">
        <f t="shared" si="5"/>
        <v>0.35182262804192566</v>
      </c>
      <c r="N48" s="161">
        <f t="shared" si="43"/>
        <v>0.30150836455215402</v>
      </c>
      <c r="O48" s="346">
        <f t="shared" si="44"/>
        <v>0.23380169241773746</v>
      </c>
      <c r="P48" s="346">
        <f t="shared" si="45"/>
        <v>0.35434098053060603</v>
      </c>
      <c r="Q48" s="347">
        <f t="shared" si="51"/>
        <v>0.69849163544784598</v>
      </c>
      <c r="R48" s="162">
        <f t="shared" si="52"/>
        <v>727.02907877856592</v>
      </c>
      <c r="S48" s="13">
        <f t="shared" si="14"/>
        <v>6.2741863477924829E-4</v>
      </c>
      <c r="T48" s="13">
        <f t="shared" si="15"/>
        <v>2.1895277029002887E-5</v>
      </c>
      <c r="U48" s="13">
        <f t="shared" si="16"/>
        <v>4.4484827748584292E-4</v>
      </c>
      <c r="V48" s="20">
        <f t="shared" si="7"/>
        <v>8.5386804893454391E-3</v>
      </c>
      <c r="W48" s="20">
        <f t="shared" si="17"/>
        <v>4.634689731140661E-3</v>
      </c>
      <c r="X48" s="402">
        <f t="shared" si="18"/>
        <v>0.94622543047290508</v>
      </c>
      <c r="Y48" s="402">
        <f t="shared" si="19"/>
        <v>0.51359941286350985</v>
      </c>
      <c r="Z48" s="336">
        <f t="shared" si="20"/>
        <v>1.4598248433364149</v>
      </c>
      <c r="AA48" s="65">
        <f t="shared" si="53"/>
        <v>12098.673101044347</v>
      </c>
      <c r="AB48" s="14">
        <f t="shared" si="46"/>
        <v>325833.15420868655</v>
      </c>
      <c r="AC48" s="340">
        <f t="shared" si="9"/>
        <v>1000</v>
      </c>
      <c r="AD48" s="2">
        <f t="shared" si="22"/>
        <v>0.80148411671973541</v>
      </c>
      <c r="AE48" s="66">
        <f t="shared" si="23"/>
        <v>2.7066714364084237E-2</v>
      </c>
      <c r="AF48" s="4">
        <f t="shared" si="10"/>
        <v>53.934320350072014</v>
      </c>
      <c r="AG48" s="3">
        <f t="shared" si="47"/>
        <v>1181.8600616324209</v>
      </c>
      <c r="AH48" s="4">
        <f t="shared" si="11"/>
        <v>1884.5579268292681</v>
      </c>
      <c r="AI48" s="349">
        <f t="shared" si="24"/>
        <v>0</v>
      </c>
      <c r="AJ48" s="1">
        <f t="shared" si="25"/>
        <v>6.2493333333333345E-2</v>
      </c>
    </row>
    <row r="49" spans="1:36">
      <c r="A49">
        <f t="shared" si="37"/>
        <v>4500</v>
      </c>
      <c r="B49" s="4">
        <f t="shared" si="38"/>
        <v>1728.2505733118905</v>
      </c>
      <c r="C49" s="12">
        <f t="shared" si="54"/>
        <v>30</v>
      </c>
      <c r="D49" s="4">
        <f t="shared" si="0"/>
        <v>1371.9512195121952</v>
      </c>
      <c r="E49">
        <f t="shared" si="39"/>
        <v>0.11861823723647448</v>
      </c>
      <c r="F49">
        <f t="shared" si="40"/>
        <v>9.0239389202190143E-3</v>
      </c>
      <c r="G49" s="4">
        <f t="shared" si="41"/>
        <v>327.44444444444446</v>
      </c>
      <c r="H49" s="10">
        <f t="shared" si="49"/>
        <v>11916287.702985486</v>
      </c>
      <c r="I49" s="2">
        <f t="shared" si="12"/>
        <v>11.916287702985485</v>
      </c>
      <c r="J49" s="2">
        <f t="shared" si="42"/>
        <v>1.0231798264598966</v>
      </c>
      <c r="K49" s="4">
        <f t="shared" si="13"/>
        <v>989.67768484957526</v>
      </c>
      <c r="L49" s="4">
        <f t="shared" si="50"/>
        <v>119.78416122290666</v>
      </c>
      <c r="M49" s="161">
        <f t="shared" si="5"/>
        <v>0.34659884134933044</v>
      </c>
      <c r="N49" s="161">
        <f t="shared" si="43"/>
        <v>0.2977657049039244</v>
      </c>
      <c r="O49" s="346">
        <f t="shared" si="44"/>
        <v>0.23313969726172448</v>
      </c>
      <c r="P49" s="346">
        <f t="shared" si="45"/>
        <v>0.353787899571185</v>
      </c>
      <c r="Q49" s="347">
        <f t="shared" si="51"/>
        <v>0.7022342950960756</v>
      </c>
      <c r="R49" s="162">
        <f t="shared" si="52"/>
        <v>730.65322659552169</v>
      </c>
      <c r="S49" s="13">
        <f t="shared" si="14"/>
        <v>6.1340719693555549E-4</v>
      </c>
      <c r="T49" s="13">
        <f t="shared" si="15"/>
        <v>2.2102905951063096E-5</v>
      </c>
      <c r="U49" s="13">
        <f t="shared" si="16"/>
        <v>4.3733705791784288E-4</v>
      </c>
      <c r="V49" s="20">
        <f t="shared" si="7"/>
        <v>8.5439954198052257E-3</v>
      </c>
      <c r="W49" s="20">
        <f t="shared" si="17"/>
        <v>4.5321910954579589E-3</v>
      </c>
      <c r="X49" s="402">
        <f t="shared" si="18"/>
        <v>0.94681441168241642</v>
      </c>
      <c r="Y49" s="402">
        <f t="shared" si="19"/>
        <v>0.50224088787914367</v>
      </c>
      <c r="Z49" s="336">
        <f t="shared" si="20"/>
        <v>1.44905529956156</v>
      </c>
      <c r="AA49" s="65">
        <f t="shared" si="53"/>
        <v>11945.320659183411</v>
      </c>
      <c r="AB49" s="14">
        <f t="shared" si="46"/>
        <v>327457.3911876271</v>
      </c>
      <c r="AC49" s="340">
        <f t="shared" si="9"/>
        <v>1000</v>
      </c>
      <c r="AD49" s="2">
        <f t="shared" si="22"/>
        <v>0.8006934123402567</v>
      </c>
      <c r="AE49" s="66">
        <f t="shared" si="23"/>
        <v>2.6477707528369337E-2</v>
      </c>
      <c r="AF49" s="4">
        <f t="shared" si="10"/>
        <v>54.727370109703827</v>
      </c>
      <c r="AG49" s="3">
        <f t="shared" si="47"/>
        <v>1180.5490928157874</v>
      </c>
      <c r="AH49" s="4">
        <f t="shared" si="11"/>
        <v>1949.5426829268295</v>
      </c>
      <c r="AI49" s="349">
        <f t="shared" si="24"/>
        <v>0</v>
      </c>
      <c r="AJ49" s="1">
        <f t="shared" si="25"/>
        <v>6.1943333333333336E-2</v>
      </c>
    </row>
    <row r="50" spans="1:36">
      <c r="A50">
        <f t="shared" si="37"/>
        <v>4649.9999999999991</v>
      </c>
      <c r="B50" s="4">
        <f t="shared" si="38"/>
        <v>1777.4750420351409</v>
      </c>
      <c r="C50" s="12">
        <f t="shared" si="54"/>
        <v>31</v>
      </c>
      <c r="D50" s="4">
        <f t="shared" si="0"/>
        <v>1417.6829268292681</v>
      </c>
      <c r="E50">
        <f t="shared" si="39"/>
        <v>0.11861823723647448</v>
      </c>
      <c r="F50">
        <f t="shared" si="40"/>
        <v>9.0239389202190143E-3</v>
      </c>
      <c r="G50" s="4">
        <f t="shared" si="41"/>
        <v>329.11111111111109</v>
      </c>
      <c r="H50" s="10">
        <f t="shared" si="49"/>
        <v>12255690.414832296</v>
      </c>
      <c r="I50" s="2">
        <f t="shared" si="12"/>
        <v>12.255690414832296</v>
      </c>
      <c r="J50" s="2">
        <f t="shared" si="42"/>
        <v>1.0245538363265418</v>
      </c>
      <c r="K50" s="4">
        <f t="shared" si="13"/>
        <v>989.04925487136802</v>
      </c>
      <c r="L50" s="4">
        <f t="shared" si="50"/>
        <v>122.40762298559054</v>
      </c>
      <c r="M50" s="161">
        <f t="shared" si="5"/>
        <v>0.34156594560583636</v>
      </c>
      <c r="N50" s="161">
        <f t="shared" si="43"/>
        <v>0.29417161804679459</v>
      </c>
      <c r="O50" s="346">
        <f t="shared" si="44"/>
        <v>0.2324765650780912</v>
      </c>
      <c r="P50" s="346">
        <f t="shared" si="45"/>
        <v>0.35323817229192611</v>
      </c>
      <c r="Q50" s="347">
        <f t="shared" si="51"/>
        <v>0.70582838195320541</v>
      </c>
      <c r="R50" s="162">
        <f t="shared" si="52"/>
        <v>734.10788375281436</v>
      </c>
      <c r="S50" s="13">
        <f t="shared" si="14"/>
        <v>5.9977743015806749E-4</v>
      </c>
      <c r="T50" s="13">
        <f t="shared" si="15"/>
        <v>2.2314007149183891E-5</v>
      </c>
      <c r="U50" s="13">
        <f t="shared" si="16"/>
        <v>4.2990408064870364E-4</v>
      </c>
      <c r="V50" s="20">
        <f t="shared" si="7"/>
        <v>8.5494241715372808E-3</v>
      </c>
      <c r="W50" s="20">
        <f t="shared" si="17"/>
        <v>4.4350563766381189E-3</v>
      </c>
      <c r="X50" s="402">
        <f t="shared" si="18"/>
        <v>0.94741600615020383</v>
      </c>
      <c r="Y50" s="402">
        <f t="shared" si="19"/>
        <v>0.49147677259881967</v>
      </c>
      <c r="Z50" s="336">
        <f t="shared" si="20"/>
        <v>1.4388927787490235</v>
      </c>
      <c r="AA50" s="65">
        <f t="shared" si="53"/>
        <v>11799.021368456422</v>
      </c>
      <c r="AB50" s="14">
        <f t="shared" si="46"/>
        <v>329005.66741360887</v>
      </c>
      <c r="AC50" s="340">
        <f t="shared" si="9"/>
        <v>1000</v>
      </c>
      <c r="AD50" s="2">
        <f t="shared" si="22"/>
        <v>0.79993888218526699</v>
      </c>
      <c r="AE50" s="66">
        <f t="shared" si="23"/>
        <v>2.5905208227470465E-2</v>
      </c>
      <c r="AF50" s="4">
        <f t="shared" si="10"/>
        <v>55.544536299970339</v>
      </c>
      <c r="AG50" s="3">
        <f t="shared" si="47"/>
        <v>1179.3721187037129</v>
      </c>
      <c r="AH50" s="4">
        <f t="shared" si="11"/>
        <v>2014.5274390243903</v>
      </c>
      <c r="AI50" s="349">
        <f t="shared" si="24"/>
        <v>0</v>
      </c>
      <c r="AJ50" s="1">
        <f t="shared" si="25"/>
        <v>6.1393333333333355E-2</v>
      </c>
    </row>
    <row r="51" spans="1:36">
      <c r="A51">
        <f t="shared" si="37"/>
        <v>4799.9999999999991</v>
      </c>
      <c r="B51" s="4">
        <f t="shared" si="38"/>
        <v>1826.9028431637944</v>
      </c>
      <c r="C51" s="12">
        <f t="shared" si="54"/>
        <v>32</v>
      </c>
      <c r="D51" s="4">
        <f t="shared" ref="D51:D82" si="55">i*L/N</f>
        <v>1463.4146341463413</v>
      </c>
      <c r="E51">
        <f t="shared" si="39"/>
        <v>0.11861823723647448</v>
      </c>
      <c r="F51">
        <f t="shared" si="40"/>
        <v>9.0239389202190143E-3</v>
      </c>
      <c r="G51" s="4">
        <f t="shared" si="41"/>
        <v>330.77777777777777</v>
      </c>
      <c r="H51" s="10">
        <f t="shared" si="49"/>
        <v>12596495.103614362</v>
      </c>
      <c r="I51" s="2">
        <f t="shared" si="12"/>
        <v>12.596495103614362</v>
      </c>
      <c r="J51" s="2">
        <f t="shared" si="42"/>
        <v>1.0259704754912475</v>
      </c>
      <c r="K51" s="4">
        <f t="shared" si="13"/>
        <v>988.40849321754081</v>
      </c>
      <c r="L51" s="4">
        <f t="shared" si="50"/>
        <v>125.00475836769122</v>
      </c>
      <c r="M51" s="161">
        <f t="shared" ref="M51:M82" si="56">mg/rhoi/(mg/rhoi+(mw-ml)/rhow)</f>
        <v>0.33671523668737691</v>
      </c>
      <c r="N51" s="161">
        <f t="shared" si="43"/>
        <v>0.29071861635094332</v>
      </c>
      <c r="O51" s="346">
        <f t="shared" si="44"/>
        <v>0.23181228398337575</v>
      </c>
      <c r="P51" s="346">
        <f t="shared" si="45"/>
        <v>0.35269194597069475</v>
      </c>
      <c r="Q51" s="347">
        <f t="shared" si="51"/>
        <v>0.70928138364905668</v>
      </c>
      <c r="R51" s="162">
        <f t="shared" ref="R51:R82" si="57">fL*rhow+(1-fL)*rhoi</f>
        <v>737.40095406975581</v>
      </c>
      <c r="S51" s="13">
        <f t="shared" si="14"/>
        <v>5.865170832082343E-4</v>
      </c>
      <c r="T51" s="13">
        <f t="shared" si="15"/>
        <v>2.2528584495499982E-5</v>
      </c>
      <c r="U51" s="13">
        <f t="shared" si="16"/>
        <v>4.2255512722462241E-4</v>
      </c>
      <c r="V51" s="20">
        <f t="shared" ref="V51:V82" si="58">(mw-ml)/rhow</f>
        <v>8.5549665593344475E-3</v>
      </c>
      <c r="W51" s="20">
        <f t="shared" si="17"/>
        <v>4.3429123495803846E-3</v>
      </c>
      <c r="X51" s="402">
        <f t="shared" si="18"/>
        <v>0.94803019335228556</v>
      </c>
      <c r="Y51" s="402">
        <f t="shared" si="19"/>
        <v>0.48126570757805842</v>
      </c>
      <c r="Z51" s="336">
        <f t="shared" si="20"/>
        <v>1.4292959009303441</v>
      </c>
      <c r="AA51" s="65">
        <f t="shared" ref="AA51:AA82" si="59">0.1275*(L/N)*rho^0.8*va^1.8*mu^0.2/((dci-dto)^1.2)</f>
        <v>11659.28940103967</v>
      </c>
      <c r="AB51" s="14">
        <f t="shared" si="46"/>
        <v>330481.52514711616</v>
      </c>
      <c r="AC51" s="340">
        <f t="shared" ref="AC51:AC82" si="60">IF(MD&gt;TVD,X51/Q51,1000)</f>
        <v>1000</v>
      </c>
      <c r="AD51" s="2">
        <f t="shared" si="22"/>
        <v>0.79921858316045014</v>
      </c>
      <c r="AE51" s="66">
        <f t="shared" si="23"/>
        <v>2.53486648118691E-2</v>
      </c>
      <c r="AF51" s="4">
        <f t="shared" ref="AF51:AF82" si="61">Z51/AE51</f>
        <v>56.385451128814466</v>
      </c>
      <c r="AG51" s="3">
        <f t="shared" ref="AG51:AG82" si="62">SQRT(K51*AC51^2/(9.8*Q51*dci*(K51-L51)))</f>
        <v>1178.3199248946707</v>
      </c>
      <c r="AH51" s="4">
        <f t="shared" ref="AH51:AH83" si="63">9.8*0.001*MIN(D51,TVD)*145</f>
        <v>2079.5121951219512</v>
      </c>
      <c r="AI51" s="349">
        <f t="shared" si="24"/>
        <v>0</v>
      </c>
      <c r="AJ51" s="1">
        <f t="shared" si="25"/>
        <v>6.0843333333333346E-2</v>
      </c>
    </row>
    <row r="52" spans="1:36">
      <c r="A52">
        <f t="shared" si="37"/>
        <v>4950</v>
      </c>
      <c r="B52" s="4">
        <f t="shared" si="38"/>
        <v>1876.5244261294442</v>
      </c>
      <c r="C52" s="12">
        <f t="shared" si="54"/>
        <v>33</v>
      </c>
      <c r="D52" s="4">
        <f t="shared" si="55"/>
        <v>1509.1463414634147</v>
      </c>
      <c r="E52">
        <f t="shared" si="39"/>
        <v>0.11861823723647448</v>
      </c>
      <c r="F52">
        <f t="shared" si="40"/>
        <v>9.0239389202190143E-3</v>
      </c>
      <c r="G52" s="4">
        <f t="shared" si="41"/>
        <v>332.44444444444446</v>
      </c>
      <c r="H52" s="10">
        <f t="shared" ref="H52:H83" si="64">H51+AA51+AB51</f>
        <v>12938635.918162517</v>
      </c>
      <c r="I52" s="2">
        <f t="shared" si="12"/>
        <v>12.938635918162518</v>
      </c>
      <c r="J52" s="2">
        <f t="shared" si="42"/>
        <v>1.0274296852164013</v>
      </c>
      <c r="K52" s="4">
        <f t="shared" si="13"/>
        <v>987.7554718087822</v>
      </c>
      <c r="L52" s="4">
        <f t="shared" si="50"/>
        <v>127.5749228248727</v>
      </c>
      <c r="M52" s="161">
        <f t="shared" si="56"/>
        <v>0.33203847061197234</v>
      </c>
      <c r="N52" s="161">
        <f t="shared" si="43"/>
        <v>0.28739966455047405</v>
      </c>
      <c r="O52" s="346">
        <f t="shared" si="44"/>
        <v>0.23114683741608141</v>
      </c>
      <c r="P52" s="346">
        <f t="shared" si="45"/>
        <v>0.35214935872344866</v>
      </c>
      <c r="Q52" s="347">
        <f t="shared" ref="Q52:Q83" si="65">IF(N51&lt;0.25,(1-Y52/(1.2*Z52+O52))/1.024,(1-Y52/(1.15*Z52+P52))/1.07)</f>
        <v>0.71260033544952595</v>
      </c>
      <c r="R52" s="162">
        <f t="shared" si="57"/>
        <v>740.53987057796405</v>
      </c>
      <c r="S52" s="13">
        <f t="shared" si="14"/>
        <v>5.7361435703528541E-4</v>
      </c>
      <c r="T52" s="13">
        <f t="shared" si="15"/>
        <v>2.2746641288492848E-5</v>
      </c>
      <c r="U52" s="13">
        <f t="shared" si="16"/>
        <v>4.1529516031797134E-4</v>
      </c>
      <c r="V52" s="20">
        <f t="shared" si="58"/>
        <v>8.5606223886099155E-3</v>
      </c>
      <c r="W52" s="20">
        <f t="shared" si="17"/>
        <v>4.2554186735946379E-3</v>
      </c>
      <c r="X52" s="402">
        <f t="shared" si="18"/>
        <v>0.94865695172526121</v>
      </c>
      <c r="Y52" s="402">
        <f t="shared" si="19"/>
        <v>0.47156997750283502</v>
      </c>
      <c r="Z52" s="336">
        <f t="shared" si="20"/>
        <v>1.4202269292280965</v>
      </c>
      <c r="AA52" s="65">
        <f t="shared" si="59"/>
        <v>11525.682519781154</v>
      </c>
      <c r="AB52" s="14">
        <f t="shared" si="46"/>
        <v>331888.29565536807</v>
      </c>
      <c r="AC52" s="340">
        <f t="shared" si="60"/>
        <v>1000</v>
      </c>
      <c r="AD52" s="2">
        <f t="shared" si="22"/>
        <v>0.79853070155942629</v>
      </c>
      <c r="AE52" s="66">
        <f t="shared" si="23"/>
        <v>2.4807547543033548E-2</v>
      </c>
      <c r="AF52" s="4">
        <f t="shared" si="61"/>
        <v>57.249791692001587</v>
      </c>
      <c r="AG52" s="3">
        <f t="shared" si="62"/>
        <v>1177.3840042456241</v>
      </c>
      <c r="AH52" s="4">
        <f t="shared" si="63"/>
        <v>2144.4969512195125</v>
      </c>
      <c r="AI52" s="349">
        <f t="shared" si="24"/>
        <v>0</v>
      </c>
      <c r="AJ52" s="1">
        <f t="shared" si="25"/>
        <v>6.0293333333333338E-2</v>
      </c>
    </row>
    <row r="53" spans="1:36">
      <c r="A53">
        <f t="shared" si="37"/>
        <v>5099.9999999999991</v>
      </c>
      <c r="B53" s="4">
        <f t="shared" si="38"/>
        <v>1926.3306593673192</v>
      </c>
      <c r="C53" s="12">
        <f t="shared" si="54"/>
        <v>34</v>
      </c>
      <c r="D53" s="4">
        <f t="shared" si="55"/>
        <v>1554.8780487804877</v>
      </c>
      <c r="E53">
        <f t="shared" si="39"/>
        <v>0.11861823723647448</v>
      </c>
      <c r="F53">
        <f t="shared" si="40"/>
        <v>9.0239389202190143E-3</v>
      </c>
      <c r="G53" s="4">
        <f t="shared" si="41"/>
        <v>334.11111111111109</v>
      </c>
      <c r="H53" s="10">
        <f t="shared" si="64"/>
        <v>13282049.896337666</v>
      </c>
      <c r="I53" s="2">
        <f t="shared" si="12"/>
        <v>13.282049896337666</v>
      </c>
      <c r="J53" s="2">
        <f t="shared" si="42"/>
        <v>1.0289313873253647</v>
      </c>
      <c r="K53" s="4">
        <f t="shared" si="13"/>
        <v>987.09026423071134</v>
      </c>
      <c r="L53" s="4">
        <f t="shared" si="50"/>
        <v>130.11752217768372</v>
      </c>
      <c r="M53" s="161">
        <f t="shared" si="56"/>
        <v>0.3275278384054795</v>
      </c>
      <c r="N53" s="161">
        <f t="shared" si="43"/>
        <v>0.28420814939928118</v>
      </c>
      <c r="O53" s="346">
        <f t="shared" si="44"/>
        <v>0.23048020425244711</v>
      </c>
      <c r="P53" s="346">
        <f t="shared" si="45"/>
        <v>0.35161053993513208</v>
      </c>
      <c r="Q53" s="347">
        <f t="shared" si="65"/>
        <v>0.71579185060071882</v>
      </c>
      <c r="R53" s="162">
        <f t="shared" si="57"/>
        <v>743.5316271261928</v>
      </c>
      <c r="S53" s="13">
        <f t="shared" si="14"/>
        <v>5.6105788593242205E-4</v>
      </c>
      <c r="T53" s="13">
        <f t="shared" si="15"/>
        <v>2.2968180273301276E-5</v>
      </c>
      <c r="U53" s="13">
        <f t="shared" si="16"/>
        <v>4.0812840647623939E-4</v>
      </c>
      <c r="V53" s="20">
        <f t="shared" si="58"/>
        <v>8.5663914566397222E-3</v>
      </c>
      <c r="W53" s="20">
        <f t="shared" si="17"/>
        <v>4.1722644251557034E-3</v>
      </c>
      <c r="X53" s="402">
        <f t="shared" si="18"/>
        <v>0.94929625880400048</v>
      </c>
      <c r="Y53" s="402">
        <f t="shared" si="19"/>
        <v>0.46235512696205627</v>
      </c>
      <c r="Z53" s="336">
        <f t="shared" si="20"/>
        <v>1.4116513857660569</v>
      </c>
      <c r="AA53" s="65">
        <f t="shared" si="59"/>
        <v>11397.797375186399</v>
      </c>
      <c r="AB53" s="14">
        <f t="shared" si="46"/>
        <v>333229.11337667791</v>
      </c>
      <c r="AC53" s="340">
        <f t="shared" si="60"/>
        <v>1000</v>
      </c>
      <c r="AD53" s="2">
        <f t="shared" si="22"/>
        <v>0.79787354305199565</v>
      </c>
      <c r="AE53" s="66">
        <f t="shared" si="23"/>
        <v>2.4281347541076505E-2</v>
      </c>
      <c r="AF53" s="4">
        <f t="shared" si="61"/>
        <v>58.137275263573443</v>
      </c>
      <c r="AG53" s="3">
        <f t="shared" si="62"/>
        <v>1176.5564918778387</v>
      </c>
      <c r="AH53" s="4">
        <f t="shared" si="63"/>
        <v>2209.4817073170734</v>
      </c>
      <c r="AI53" s="349">
        <f t="shared" si="24"/>
        <v>0</v>
      </c>
      <c r="AJ53" s="1">
        <f t="shared" si="25"/>
        <v>5.9743333333333357E-2</v>
      </c>
    </row>
    <row r="54" spans="1:36">
      <c r="A54">
        <f t="shared" si="37"/>
        <v>5250</v>
      </c>
      <c r="B54" s="4">
        <f t="shared" si="38"/>
        <v>1976.3128074096489</v>
      </c>
      <c r="C54" s="12">
        <f t="shared" si="54"/>
        <v>35</v>
      </c>
      <c r="D54" s="4">
        <f t="shared" si="55"/>
        <v>1600.6097560975611</v>
      </c>
      <c r="E54">
        <f t="shared" si="39"/>
        <v>0.11861823723647448</v>
      </c>
      <c r="F54">
        <f t="shared" si="40"/>
        <v>9.0239389202190143E-3</v>
      </c>
      <c r="G54" s="4">
        <f t="shared" si="41"/>
        <v>335.77777777777777</v>
      </c>
      <c r="H54" s="10">
        <f t="shared" si="64"/>
        <v>13626676.80708953</v>
      </c>
      <c r="I54" s="2">
        <f t="shared" si="12"/>
        <v>13.626676807089529</v>
      </c>
      <c r="J54" s="2">
        <f t="shared" si="42"/>
        <v>1.0304754851647311</v>
      </c>
      <c r="K54" s="4">
        <f t="shared" si="13"/>
        <v>986.41294557794743</v>
      </c>
      <c r="L54" s="4">
        <f t="shared" si="50"/>
        <v>132.63201014341271</v>
      </c>
      <c r="M54" s="161">
        <f t="shared" si="56"/>
        <v>0.32317594205101907</v>
      </c>
      <c r="N54" s="161">
        <f t="shared" si="43"/>
        <v>0.28113785138924563</v>
      </c>
      <c r="O54" s="346">
        <f t="shared" si="44"/>
        <v>0.22981235891068336</v>
      </c>
      <c r="P54" s="346">
        <f t="shared" si="45"/>
        <v>0.35107561066547505</v>
      </c>
      <c r="Q54" s="347">
        <f t="shared" si="65"/>
        <v>0.71886214861075437</v>
      </c>
      <c r="R54" s="162">
        <f t="shared" si="57"/>
        <v>746.38280783278208</v>
      </c>
      <c r="S54" s="13">
        <f t="shared" si="14"/>
        <v>5.4883671956715209E-4</v>
      </c>
      <c r="T54" s="13">
        <f t="shared" si="15"/>
        <v>2.3193203660946373E-5</v>
      </c>
      <c r="U54" s="13">
        <f t="shared" si="16"/>
        <v>4.0105843090859264E-4</v>
      </c>
      <c r="V54" s="20">
        <f t="shared" si="58"/>
        <v>8.5722735537335105E-3</v>
      </c>
      <c r="W54" s="20">
        <f t="shared" si="17"/>
        <v>4.0931650533257103E-3</v>
      </c>
      <c r="X54" s="402">
        <f t="shared" si="18"/>
        <v>0.94994809135138281</v>
      </c>
      <c r="Y54" s="402">
        <f t="shared" si="19"/>
        <v>0.45358962305857092</v>
      </c>
      <c r="Z54" s="336">
        <f t="shared" si="20"/>
        <v>1.4035377144099537</v>
      </c>
      <c r="AA54" s="65">
        <f t="shared" si="59"/>
        <v>11275.265390173054</v>
      </c>
      <c r="AB54" s="14">
        <f t="shared" si="46"/>
        <v>334506.92912017979</v>
      </c>
      <c r="AC54" s="340">
        <f t="shared" si="60"/>
        <v>1000</v>
      </c>
      <c r="AD54" s="2">
        <f t="shared" si="22"/>
        <v>0.79724552353778111</v>
      </c>
      <c r="AE54" s="66">
        <f t="shared" si="23"/>
        <v>2.3769575797288708E-2</v>
      </c>
      <c r="AF54" s="4">
        <f t="shared" si="61"/>
        <v>59.047655136110976</v>
      </c>
      <c r="AG54" s="3">
        <f t="shared" si="62"/>
        <v>1175.8301071266408</v>
      </c>
      <c r="AH54" s="4">
        <f t="shared" si="63"/>
        <v>2274.4664634146347</v>
      </c>
      <c r="AI54" s="349">
        <f t="shared" si="24"/>
        <v>0</v>
      </c>
      <c r="AJ54" s="1">
        <f t="shared" si="25"/>
        <v>5.9193333333333348E-2</v>
      </c>
    </row>
    <row r="55" spans="1:36">
      <c r="A55">
        <f t="shared" si="37"/>
        <v>5399.9999999999991</v>
      </c>
      <c r="B55" s="4">
        <f t="shared" si="38"/>
        <v>2026.4625092965746</v>
      </c>
      <c r="C55" s="12">
        <f t="shared" si="54"/>
        <v>36</v>
      </c>
      <c r="D55" s="4">
        <f t="shared" si="55"/>
        <v>1646.3414634146341</v>
      </c>
      <c r="E55">
        <f t="shared" si="39"/>
        <v>0.11861823723647448</v>
      </c>
      <c r="F55">
        <f t="shared" si="40"/>
        <v>9.0239389202190143E-3</v>
      </c>
      <c r="G55" s="4">
        <f t="shared" si="41"/>
        <v>337.44444444444446</v>
      </c>
      <c r="H55" s="10">
        <f t="shared" si="64"/>
        <v>13972459.001599882</v>
      </c>
      <c r="I55" s="2">
        <f t="shared" si="12"/>
        <v>13.972459001599882</v>
      </c>
      <c r="J55" s="2">
        <f t="shared" si="42"/>
        <v>1.0320618645161461</v>
      </c>
      <c r="K55" s="4">
        <f t="shared" si="13"/>
        <v>985.72359230664995</v>
      </c>
      <c r="L55" s="4">
        <f t="shared" si="50"/>
        <v>135.11788600403457</v>
      </c>
      <c r="M55" s="161">
        <f t="shared" si="56"/>
        <v>0.3189757715474742</v>
      </c>
      <c r="N55" s="161">
        <f t="shared" si="43"/>
        <v>0.27818291841260423</v>
      </c>
      <c r="O55" s="346">
        <f t="shared" si="44"/>
        <v>0.22914327144413701</v>
      </c>
      <c r="P55" s="346">
        <f t="shared" si="45"/>
        <v>0.35054468403113781</v>
      </c>
      <c r="Q55" s="347">
        <f t="shared" si="65"/>
        <v>0.72181708158739577</v>
      </c>
      <c r="R55" s="162">
        <f t="shared" si="57"/>
        <v>749.0996145089739</v>
      </c>
      <c r="S55" s="13">
        <f t="shared" si="14"/>
        <v>5.3694030584112561E-4</v>
      </c>
      <c r="T55" s="13">
        <f t="shared" si="15"/>
        <v>2.3421713146559599E-5</v>
      </c>
      <c r="U55" s="13">
        <f t="shared" si="16"/>
        <v>3.9408820506621782E-4</v>
      </c>
      <c r="V55" s="20">
        <f t="shared" si="58"/>
        <v>8.5782684643381096E-3</v>
      </c>
      <c r="W55" s="20">
        <f t="shared" si="17"/>
        <v>4.0178596996044459E-3</v>
      </c>
      <c r="X55" s="402">
        <f t="shared" si="18"/>
        <v>0.95061242548059177</v>
      </c>
      <c r="Y55" s="402">
        <f t="shared" si="19"/>
        <v>0.44524455840476046</v>
      </c>
      <c r="Z55" s="336">
        <f t="shared" si="20"/>
        <v>1.3958569838853523</v>
      </c>
      <c r="AA55" s="65">
        <f t="shared" si="59"/>
        <v>11157.749149513998</v>
      </c>
      <c r="AB55" s="14">
        <f t="shared" si="46"/>
        <v>335724.52235615597</v>
      </c>
      <c r="AC55" s="340">
        <f t="shared" si="60"/>
        <v>1000</v>
      </c>
      <c r="AD55" s="2">
        <f t="shared" si="22"/>
        <v>0.79664516078412362</v>
      </c>
      <c r="AE55" s="66">
        <f t="shared" si="23"/>
        <v>2.3271762246075661E-2</v>
      </c>
      <c r="AF55" s="4">
        <f t="shared" si="61"/>
        <v>59.980716936068603</v>
      </c>
      <c r="AG55" s="3">
        <f t="shared" si="62"/>
        <v>1175.1981016011707</v>
      </c>
      <c r="AH55" s="4">
        <f t="shared" si="63"/>
        <v>2339.4512195121956</v>
      </c>
      <c r="AI55" s="349">
        <f t="shared" si="24"/>
        <v>0</v>
      </c>
      <c r="AJ55" s="1">
        <f t="shared" si="25"/>
        <v>5.8643333333333339E-2</v>
      </c>
    </row>
    <row r="56" spans="1:36">
      <c r="A56">
        <f t="shared" si="37"/>
        <v>5549.9999999999991</v>
      </c>
      <c r="B56" s="4">
        <f t="shared" si="38"/>
        <v>2076.7717582459104</v>
      </c>
      <c r="C56" s="12">
        <f t="shared" si="54"/>
        <v>37</v>
      </c>
      <c r="D56" s="4">
        <f t="shared" si="55"/>
        <v>1692.0731707317073</v>
      </c>
      <c r="E56">
        <f t="shared" si="39"/>
        <v>0.11861823723647448</v>
      </c>
      <c r="F56">
        <f t="shared" si="40"/>
        <v>9.0239389202190143E-3</v>
      </c>
      <c r="G56" s="4">
        <f t="shared" si="41"/>
        <v>339.11111111111109</v>
      </c>
      <c r="H56" s="10">
        <f t="shared" si="64"/>
        <v>14319341.273105552</v>
      </c>
      <c r="I56" s="2">
        <f t="shared" si="12"/>
        <v>14.319341273105552</v>
      </c>
      <c r="J56" s="2">
        <f t="shared" si="42"/>
        <v>1.0336903944606302</v>
      </c>
      <c r="K56" s="4">
        <f t="shared" si="13"/>
        <v>985.02228209501254</v>
      </c>
      <c r="L56" s="4">
        <f t="shared" si="50"/>
        <v>137.57469240228531</v>
      </c>
      <c r="M56" s="161">
        <f t="shared" si="56"/>
        <v>0.31492068308385657</v>
      </c>
      <c r="N56" s="161">
        <f t="shared" si="43"/>
        <v>0.27533784125113603</v>
      </c>
      <c r="O56" s="346">
        <f t="shared" si="44"/>
        <v>0.22847290762383621</v>
      </c>
      <c r="P56" s="346">
        <f t="shared" si="45"/>
        <v>0.35001786556563569</v>
      </c>
      <c r="Q56" s="347">
        <f t="shared" si="65"/>
        <v>0.72466215874886397</v>
      </c>
      <c r="R56" s="162">
        <f t="shared" si="57"/>
        <v>751.68789217553854</v>
      </c>
      <c r="S56" s="13">
        <f t="shared" si="14"/>
        <v>5.2535847453734678E-4</v>
      </c>
      <c r="T56" s="13">
        <f t="shared" si="15"/>
        <v>2.3653709926692515E-5</v>
      </c>
      <c r="U56" s="13">
        <f t="shared" si="16"/>
        <v>3.8722016770403986E-4</v>
      </c>
      <c r="V56" s="20">
        <f t="shared" si="58"/>
        <v>8.5843759680784438E-3</v>
      </c>
      <c r="W56" s="20">
        <f t="shared" si="17"/>
        <v>3.9461088328941818E-3</v>
      </c>
      <c r="X56" s="402">
        <f t="shared" si="18"/>
        <v>0.9512892367704654</v>
      </c>
      <c r="Y56" s="402">
        <f t="shared" si="19"/>
        <v>0.43729338903796661</v>
      </c>
      <c r="Z56" s="336">
        <f t="shared" si="20"/>
        <v>1.3885826258084322</v>
      </c>
      <c r="AA56" s="65">
        <f t="shared" si="59"/>
        <v>11044.939223954407</v>
      </c>
      <c r="AB56" s="14">
        <f t="shared" si="46"/>
        <v>336884.51265184203</v>
      </c>
      <c r="AC56" s="340">
        <f t="shared" si="60"/>
        <v>1000</v>
      </c>
      <c r="AD56" s="2">
        <f t="shared" si="22"/>
        <v>0.79607106677518868</v>
      </c>
      <c r="AE56" s="66">
        <f t="shared" si="23"/>
        <v>2.2787454891454107E-2</v>
      </c>
      <c r="AF56" s="4">
        <f t="shared" si="61"/>
        <v>60.936275350749547</v>
      </c>
      <c r="AG56" s="3">
        <f t="shared" si="62"/>
        <v>1174.6542126309459</v>
      </c>
      <c r="AH56" s="4">
        <f t="shared" si="63"/>
        <v>2404.4359756097565</v>
      </c>
      <c r="AI56" s="349">
        <f t="shared" si="24"/>
        <v>0</v>
      </c>
      <c r="AJ56" s="1">
        <f t="shared" si="25"/>
        <v>5.8093333333333358E-2</v>
      </c>
    </row>
    <row r="57" spans="1:36">
      <c r="A57">
        <f t="shared" si="37"/>
        <v>5699.9999999999991</v>
      </c>
      <c r="B57" s="4">
        <f t="shared" si="38"/>
        <v>2127.2328825208629</v>
      </c>
      <c r="C57" s="12">
        <f t="shared" si="54"/>
        <v>38</v>
      </c>
      <c r="D57" s="4">
        <f t="shared" si="55"/>
        <v>1737.8048780487804</v>
      </c>
      <c r="E57">
        <f t="shared" si="39"/>
        <v>0.11861823723647448</v>
      </c>
      <c r="F57">
        <f t="shared" si="40"/>
        <v>9.0239389202190143E-3</v>
      </c>
      <c r="G57" s="4">
        <f t="shared" si="41"/>
        <v>340.77777777777777</v>
      </c>
      <c r="H57" s="10">
        <f t="shared" si="64"/>
        <v>14667270.724981349</v>
      </c>
      <c r="I57" s="2">
        <f t="shared" si="12"/>
        <v>14.667270724981348</v>
      </c>
      <c r="J57" s="2">
        <f t="shared" si="42"/>
        <v>1.0353609281982106</v>
      </c>
      <c r="K57" s="4">
        <f t="shared" si="13"/>
        <v>984.3090937112313</v>
      </c>
      <c r="L57" s="4">
        <f t="shared" si="50"/>
        <v>140.00201325806108</v>
      </c>
      <c r="M57" s="161">
        <f t="shared" si="56"/>
        <v>0.3110043783217975</v>
      </c>
      <c r="N57" s="161">
        <f t="shared" si="43"/>
        <v>0.27259743077720267</v>
      </c>
      <c r="O57" s="346">
        <f t="shared" si="44"/>
        <v>0.22780122901084165</v>
      </c>
      <c r="P57" s="346">
        <f t="shared" si="45"/>
        <v>0.34949525355845751</v>
      </c>
      <c r="Q57" s="347">
        <f t="shared" si="65"/>
        <v>0.72740256922279733</v>
      </c>
      <c r="R57" s="162">
        <f t="shared" si="57"/>
        <v>754.15315279269612</v>
      </c>
      <c r="S57" s="13">
        <f t="shared" si="14"/>
        <v>5.1408142171488968E-4</v>
      </c>
      <c r="T57" s="13">
        <f t="shared" si="15"/>
        <v>2.3889194715778797E-5</v>
      </c>
      <c r="U57" s="13">
        <f t="shared" si="16"/>
        <v>3.8045628004797677E-4</v>
      </c>
      <c r="V57" s="20">
        <f t="shared" si="58"/>
        <v>8.5905958407399476E-3</v>
      </c>
      <c r="W57" s="20">
        <f t="shared" si="17"/>
        <v>3.8776921576883089E-3</v>
      </c>
      <c r="X57" s="402">
        <f t="shared" si="18"/>
        <v>0.95197850037436316</v>
      </c>
      <c r="Y57" s="402">
        <f t="shared" si="19"/>
        <v>0.42971170261358504</v>
      </c>
      <c r="Z57" s="336">
        <f t="shared" si="20"/>
        <v>1.3816902029879483</v>
      </c>
      <c r="AA57" s="65">
        <f t="shared" si="59"/>
        <v>10936.551369795265</v>
      </c>
      <c r="AB57" s="14">
        <f t="shared" si="46"/>
        <v>337989.37030648271</v>
      </c>
      <c r="AC57" s="340">
        <f t="shared" si="60"/>
        <v>1000</v>
      </c>
      <c r="AD57" s="2">
        <f t="shared" si="22"/>
        <v>0.79552194070648086</v>
      </c>
      <c r="AE57" s="66">
        <f t="shared" si="23"/>
        <v>2.2316218983798226E-2</v>
      </c>
      <c r="AF57" s="4">
        <f t="shared" si="61"/>
        <v>61.914171212922213</v>
      </c>
      <c r="AG57" s="3">
        <f t="shared" si="62"/>
        <v>1174.1926214707219</v>
      </c>
      <c r="AH57" s="4">
        <f t="shared" si="63"/>
        <v>2469.4207317073174</v>
      </c>
      <c r="AI57" s="349">
        <f t="shared" si="24"/>
        <v>0</v>
      </c>
      <c r="AJ57" s="1">
        <f t="shared" si="25"/>
        <v>5.7543333333333349E-2</v>
      </c>
    </row>
    <row r="58" spans="1:36">
      <c r="A58">
        <f t="shared" si="37"/>
        <v>5849.9999999999991</v>
      </c>
      <c r="B58" s="4">
        <f t="shared" si="38"/>
        <v>2177.8385274340285</v>
      </c>
      <c r="C58" s="12">
        <f t="shared" si="54"/>
        <v>39</v>
      </c>
      <c r="D58" s="4">
        <f t="shared" si="55"/>
        <v>1783.5365853658536</v>
      </c>
      <c r="E58">
        <f t="shared" si="39"/>
        <v>0.11861823723647448</v>
      </c>
      <c r="F58">
        <f t="shared" si="40"/>
        <v>9.0239389202190143E-3</v>
      </c>
      <c r="G58" s="4">
        <f t="shared" si="41"/>
        <v>342.44444444444446</v>
      </c>
      <c r="H58" s="10">
        <f t="shared" si="64"/>
        <v>15016196.646657627</v>
      </c>
      <c r="I58" s="2">
        <f t="shared" si="12"/>
        <v>15.016196646657628</v>
      </c>
      <c r="J58" s="2">
        <f t="shared" si="42"/>
        <v>1.0370733038255251</v>
      </c>
      <c r="K58" s="4">
        <f t="shared" si="13"/>
        <v>983.58410688846675</v>
      </c>
      <c r="L58" s="4">
        <f t="shared" si="50"/>
        <v>142.39947179758846</v>
      </c>
      <c r="M58" s="161">
        <f t="shared" si="56"/>
        <v>0.30722088476720982</v>
      </c>
      <c r="N58" s="161">
        <f t="shared" si="43"/>
        <v>0.26995679675524498</v>
      </c>
      <c r="O58" s="346">
        <f t="shared" si="44"/>
        <v>0.22712819301880732</v>
      </c>
      <c r="P58" s="346">
        <f t="shared" si="45"/>
        <v>0.34897693937474522</v>
      </c>
      <c r="Q58" s="347">
        <f t="shared" si="65"/>
        <v>0.73004320324475502</v>
      </c>
      <c r="R58" s="162">
        <f t="shared" si="57"/>
        <v>756.50059731960357</v>
      </c>
      <c r="S58" s="13">
        <f t="shared" si="14"/>
        <v>5.0309969481359372E-4</v>
      </c>
      <c r="T58" s="13">
        <f t="shared" si="15"/>
        <v>2.412816776181154E-5</v>
      </c>
      <c r="U58" s="13">
        <f t="shared" si="16"/>
        <v>3.7379807563372644E-4</v>
      </c>
      <c r="V58" s="20">
        <f t="shared" si="58"/>
        <v>8.5969278551966816E-3</v>
      </c>
      <c r="W58" s="20">
        <f t="shared" si="17"/>
        <v>3.8124067597879382E-3</v>
      </c>
      <c r="X58" s="402">
        <f t="shared" si="18"/>
        <v>0.95268019112301694</v>
      </c>
      <c r="Y58" s="402">
        <f t="shared" si="19"/>
        <v>0.42247701292014173</v>
      </c>
      <c r="Z58" s="336">
        <f t="shared" si="20"/>
        <v>1.3751572040431586</v>
      </c>
      <c r="AA58" s="65">
        <f t="shared" si="59"/>
        <v>10832.324053710321</v>
      </c>
      <c r="AB58" s="14">
        <f t="shared" si="46"/>
        <v>339041.42623774917</v>
      </c>
      <c r="AC58" s="340">
        <f t="shared" si="60"/>
        <v>1000</v>
      </c>
      <c r="AD58" s="2">
        <f t="shared" si="22"/>
        <v>0.79499656256544826</v>
      </c>
      <c r="AE58" s="66">
        <f t="shared" si="23"/>
        <v>2.1857636242994576E-2</v>
      </c>
      <c r="AF58" s="4">
        <f t="shared" si="61"/>
        <v>62.914268896935262</v>
      </c>
      <c r="AG58" s="3">
        <f t="shared" si="62"/>
        <v>1173.8079157161646</v>
      </c>
      <c r="AH58" s="4">
        <f t="shared" si="63"/>
        <v>2534.4054878048782</v>
      </c>
      <c r="AI58" s="349">
        <f t="shared" si="24"/>
        <v>0</v>
      </c>
      <c r="AJ58" s="1">
        <f t="shared" si="25"/>
        <v>5.699333333333334E-2</v>
      </c>
    </row>
    <row r="59" spans="1:36">
      <c r="A59">
        <f t="shared" si="37"/>
        <v>5999.9999999999991</v>
      </c>
      <c r="B59" s="4">
        <f t="shared" si="38"/>
        <v>2228.5816384262635</v>
      </c>
      <c r="C59" s="12">
        <f t="shared" si="54"/>
        <v>40</v>
      </c>
      <c r="D59" s="4">
        <f t="shared" si="55"/>
        <v>1829.2682926829266</v>
      </c>
      <c r="E59">
        <f t="shared" si="39"/>
        <v>0.11861823723647448</v>
      </c>
      <c r="F59">
        <f t="shared" si="40"/>
        <v>9.0239389202190143E-3</v>
      </c>
      <c r="G59" s="4">
        <f t="shared" si="41"/>
        <v>344.11111111111109</v>
      </c>
      <c r="H59" s="10">
        <f t="shared" si="64"/>
        <v>15366070.396949086</v>
      </c>
      <c r="I59" s="2">
        <f t="shared" si="12"/>
        <v>15.366070396949086</v>
      </c>
      <c r="J59" s="2">
        <f t="shared" si="42"/>
        <v>1.0388273450739067</v>
      </c>
      <c r="K59" s="4">
        <f t="shared" si="13"/>
        <v>982.8474022063657</v>
      </c>
      <c r="L59" s="4">
        <f t="shared" si="50"/>
        <v>144.76672868812312</v>
      </c>
      <c r="M59" s="161">
        <f t="shared" si="56"/>
        <v>0.30356453720371085</v>
      </c>
      <c r="N59" s="161">
        <f t="shared" si="43"/>
        <v>0.26741132813672097</v>
      </c>
      <c r="O59" s="346">
        <f t="shared" si="44"/>
        <v>0.22645375296711648</v>
      </c>
      <c r="P59" s="346">
        <f t="shared" si="45"/>
        <v>0.34846300775685252</v>
      </c>
      <c r="Q59" s="347">
        <f t="shared" si="65"/>
        <v>0.73258867186327903</v>
      </c>
      <c r="R59" s="162">
        <f t="shared" si="57"/>
        <v>758.73513621513484</v>
      </c>
      <c r="S59" s="13">
        <f t="shared" si="14"/>
        <v>4.9240417843310032E-4</v>
      </c>
      <c r="T59" s="13">
        <f t="shared" si="15"/>
        <v>2.4370628861292794E-5</v>
      </c>
      <c r="U59" s="13">
        <f t="shared" si="16"/>
        <v>3.6724670532955941E-4</v>
      </c>
      <c r="V59" s="20">
        <f t="shared" si="58"/>
        <v>8.6033717822889145E-3</v>
      </c>
      <c r="W59" s="20">
        <f t="shared" si="17"/>
        <v>3.750065459038705E-3</v>
      </c>
      <c r="X59" s="402">
        <f t="shared" si="18"/>
        <v>0.95339428362178091</v>
      </c>
      <c r="Y59" s="402">
        <f t="shared" si="19"/>
        <v>0.41556857733559321</v>
      </c>
      <c r="Z59" s="336">
        <f t="shared" si="20"/>
        <v>1.3689628609573741</v>
      </c>
      <c r="AA59" s="65">
        <f t="shared" si="59"/>
        <v>10732.016260041901</v>
      </c>
      <c r="AB59" s="14">
        <f t="shared" si="46"/>
        <v>340042.8811695879</v>
      </c>
      <c r="AC59" s="340">
        <f t="shared" si="60"/>
        <v>1000</v>
      </c>
      <c r="AD59" s="2">
        <f t="shared" si="22"/>
        <v>0.7944937872446689</v>
      </c>
      <c r="AE59" s="66">
        <f t="shared" si="23"/>
        <v>2.141130412455575E-2</v>
      </c>
      <c r="AF59" s="4">
        <f t="shared" si="61"/>
        <v>63.936453986815614</v>
      </c>
      <c r="AG59" s="3">
        <f t="shared" si="62"/>
        <v>1173.4950554524739</v>
      </c>
      <c r="AH59" s="4">
        <f t="shared" si="63"/>
        <v>2599.3902439024387</v>
      </c>
      <c r="AI59" s="349">
        <f t="shared" si="24"/>
        <v>0</v>
      </c>
      <c r="AJ59" s="1">
        <f t="shared" si="25"/>
        <v>5.6443333333333359E-2</v>
      </c>
    </row>
    <row r="60" spans="1:36">
      <c r="A60">
        <f t="shared" si="37"/>
        <v>6150</v>
      </c>
      <c r="B60" s="4">
        <f t="shared" si="38"/>
        <v>2279.4554451600748</v>
      </c>
      <c r="C60" s="12">
        <f t="shared" si="54"/>
        <v>41</v>
      </c>
      <c r="D60" s="4">
        <f t="shared" si="55"/>
        <v>1875</v>
      </c>
      <c r="E60">
        <f t="shared" si="39"/>
        <v>0.11861823723647448</v>
      </c>
      <c r="F60">
        <f t="shared" si="40"/>
        <v>9.0239389202190143E-3</v>
      </c>
      <c r="G60" s="4">
        <f t="shared" si="41"/>
        <v>345.77777777777777</v>
      </c>
      <c r="H60" s="10">
        <f t="shared" si="64"/>
        <v>15716845.294378716</v>
      </c>
      <c r="I60" s="2">
        <f t="shared" si="12"/>
        <v>15.716845294378716</v>
      </c>
      <c r="J60" s="2">
        <f t="shared" si="42"/>
        <v>1.0406228620103251</v>
      </c>
      <c r="K60" s="4">
        <f t="shared" si="13"/>
        <v>982.09906097871294</v>
      </c>
      <c r="L60" s="4">
        <f t="shared" si="50"/>
        <v>147.10348027128137</v>
      </c>
      <c r="M60" s="161">
        <f t="shared" si="56"/>
        <v>0.30002996015416983</v>
      </c>
      <c r="N60" s="161">
        <f t="shared" si="43"/>
        <v>0.26495667474639739</v>
      </c>
      <c r="O60" s="346">
        <f t="shared" si="44"/>
        <v>0.22577785812492759</v>
      </c>
      <c r="P60" s="346">
        <f t="shared" si="45"/>
        <v>0.34795353710903359</v>
      </c>
      <c r="Q60" s="347">
        <f t="shared" si="65"/>
        <v>0.73504332525360261</v>
      </c>
      <c r="R60" s="162">
        <f t="shared" si="57"/>
        <v>760.86140848653474</v>
      </c>
      <c r="S60" s="13">
        <f t="shared" si="14"/>
        <v>4.8198608075268839E-4</v>
      </c>
      <c r="T60" s="13">
        <f t="shared" si="15"/>
        <v>2.4616577373506728E-5</v>
      </c>
      <c r="U60" s="13">
        <f t="shared" si="16"/>
        <v>3.6080297800692926E-4</v>
      </c>
      <c r="V60" s="20">
        <f t="shared" si="58"/>
        <v>8.6099273916539175E-3</v>
      </c>
      <c r="W60" s="20">
        <f t="shared" si="17"/>
        <v>3.6904953429395108E-3</v>
      </c>
      <c r="X60" s="402">
        <f t="shared" si="18"/>
        <v>0.95412075234269778</v>
      </c>
      <c r="Y60" s="402">
        <f t="shared" si="19"/>
        <v>0.40896723432719567</v>
      </c>
      <c r="Z60" s="336">
        <f t="shared" si="20"/>
        <v>1.3630879866698933</v>
      </c>
      <c r="AA60" s="65">
        <f t="shared" si="59"/>
        <v>10635.405544076893</v>
      </c>
      <c r="AB60" s="14">
        <f t="shared" si="46"/>
        <v>340995.81416927016</v>
      </c>
      <c r="AC60" s="340">
        <f t="shared" si="60"/>
        <v>1000</v>
      </c>
      <c r="AD60" s="2">
        <f t="shared" si="22"/>
        <v>0.79401253913931891</v>
      </c>
      <c r="AE60" s="66">
        <f t="shared" si="23"/>
        <v>2.0976835125595415E-2</v>
      </c>
      <c r="AF60" s="4">
        <f t="shared" si="61"/>
        <v>64.980631182379227</v>
      </c>
      <c r="AG60" s="3">
        <f t="shared" si="62"/>
        <v>1173.2493427179957</v>
      </c>
      <c r="AH60" s="4">
        <f t="shared" si="63"/>
        <v>2664.3750000000005</v>
      </c>
      <c r="AI60" s="349">
        <f t="shared" si="24"/>
        <v>0</v>
      </c>
      <c r="AJ60" s="1">
        <f t="shared" si="25"/>
        <v>5.589333333333335E-2</v>
      </c>
    </row>
    <row r="61" spans="1:36">
      <c r="A61">
        <f t="shared" si="37"/>
        <v>6299.9999999999991</v>
      </c>
      <c r="B61" s="4">
        <f t="shared" si="38"/>
        <v>2330.4534465688271</v>
      </c>
      <c r="C61" s="12">
        <f t="shared" si="54"/>
        <v>42</v>
      </c>
      <c r="D61" s="4">
        <f t="shared" si="55"/>
        <v>1920.731707317073</v>
      </c>
      <c r="E61">
        <f t="shared" si="39"/>
        <v>0.11861823723647448</v>
      </c>
      <c r="F61">
        <f t="shared" si="40"/>
        <v>9.0239389202190143E-3</v>
      </c>
      <c r="G61" s="4">
        <f t="shared" si="41"/>
        <v>347.44444444444446</v>
      </c>
      <c r="H61" s="10">
        <f t="shared" si="64"/>
        <v>16068476.514092064</v>
      </c>
      <c r="I61" s="2">
        <f t="shared" si="12"/>
        <v>16.068476514092062</v>
      </c>
      <c r="J61" s="2">
        <f t="shared" si="42"/>
        <v>1.0424596517034153</v>
      </c>
      <c r="K61" s="4">
        <f t="shared" si="13"/>
        <v>981.33916514681925</v>
      </c>
      <c r="L61" s="4">
        <f t="shared" si="50"/>
        <v>149.40945688848336</v>
      </c>
      <c r="M61" s="161">
        <f t="shared" si="56"/>
        <v>0.29661205133233359</v>
      </c>
      <c r="N61" s="161">
        <f t="shared" si="43"/>
        <v>0.26258873026316742</v>
      </c>
      <c r="O61" s="346">
        <f t="shared" si="44"/>
        <v>0.22510045374642487</v>
      </c>
      <c r="P61" s="346">
        <f t="shared" si="45"/>
        <v>0.34744859976645137</v>
      </c>
      <c r="Q61" s="347">
        <f t="shared" si="65"/>
        <v>0.73741126973683258</v>
      </c>
      <c r="R61" s="162">
        <f t="shared" si="57"/>
        <v>762.88379938705555</v>
      </c>
      <c r="S61" s="13">
        <f t="shared" si="14"/>
        <v>4.7183692056006855E-4</v>
      </c>
      <c r="T61" s="13">
        <f t="shared" si="15"/>
        <v>2.4866012234162687E-5</v>
      </c>
      <c r="U61" s="13">
        <f t="shared" si="16"/>
        <v>3.5446739727819436E-4</v>
      </c>
      <c r="V61" s="20">
        <f t="shared" si="58"/>
        <v>8.6165944525133965E-3</v>
      </c>
      <c r="W61" s="20">
        <f t="shared" si="17"/>
        <v>3.6335364586497216E-3</v>
      </c>
      <c r="X61" s="402">
        <f t="shared" si="18"/>
        <v>0.9548595717117585</v>
      </c>
      <c r="Y61" s="402">
        <f t="shared" si="19"/>
        <v>0.40265525850451284</v>
      </c>
      <c r="Z61" s="336">
        <f t="shared" si="20"/>
        <v>1.3575148302162714</v>
      </c>
      <c r="AA61" s="65">
        <f t="shared" si="59"/>
        <v>10542.286300052949</v>
      </c>
      <c r="AB61" s="14">
        <f t="shared" si="46"/>
        <v>341902.19057895476</v>
      </c>
      <c r="AC61" s="340">
        <f t="shared" si="60"/>
        <v>1000</v>
      </c>
      <c r="AD61" s="2">
        <f t="shared" si="22"/>
        <v>0.79355180718530605</v>
      </c>
      <c r="AE61" s="66">
        <f t="shared" si="23"/>
        <v>2.0553856127863243E-2</v>
      </c>
      <c r="AF61" s="4">
        <f t="shared" si="61"/>
        <v>66.046722414097061</v>
      </c>
      <c r="AG61" s="3">
        <f t="shared" si="62"/>
        <v>1173.0663939165599</v>
      </c>
      <c r="AH61" s="4">
        <f t="shared" si="63"/>
        <v>2729.3597560975613</v>
      </c>
      <c r="AI61" s="349">
        <f t="shared" si="24"/>
        <v>0</v>
      </c>
      <c r="AJ61" s="1">
        <f t="shared" si="25"/>
        <v>5.5343333333333342E-2</v>
      </c>
    </row>
    <row r="62" spans="1:36">
      <c r="A62">
        <f t="shared" si="37"/>
        <v>6450</v>
      </c>
      <c r="B62" s="4">
        <f t="shared" si="38"/>
        <v>2381.5693968050864</v>
      </c>
      <c r="C62" s="12">
        <f t="shared" si="54"/>
        <v>43</v>
      </c>
      <c r="D62" s="4">
        <f t="shared" si="55"/>
        <v>1966.4634146341464</v>
      </c>
      <c r="E62">
        <f t="shared" si="39"/>
        <v>0.11861823723647448</v>
      </c>
      <c r="F62">
        <f t="shared" si="40"/>
        <v>9.0239389202190143E-3</v>
      </c>
      <c r="G62" s="4">
        <f t="shared" si="41"/>
        <v>349.11111111111109</v>
      </c>
      <c r="H62" s="10">
        <f t="shared" si="64"/>
        <v>16420920.990971072</v>
      </c>
      <c r="I62" s="2">
        <f t="shared" si="12"/>
        <v>16.420920990971073</v>
      </c>
      <c r="J62" s="2">
        <f t="shared" si="42"/>
        <v>1.0443374988566889</v>
      </c>
      <c r="K62" s="4">
        <f t="shared" si="13"/>
        <v>980.56779717827396</v>
      </c>
      <c r="L62" s="4">
        <f t="shared" si="50"/>
        <v>151.68442129236885</v>
      </c>
      <c r="M62" s="161">
        <f t="shared" si="56"/>
        <v>0.29330596604353476</v>
      </c>
      <c r="N62" s="161">
        <f t="shared" si="43"/>
        <v>0.26030361640398081</v>
      </c>
      <c r="O62" s="346">
        <f t="shared" si="44"/>
        <v>0.22442148109753107</v>
      </c>
      <c r="P62" s="346">
        <f t="shared" si="45"/>
        <v>0.3469482622496225</v>
      </c>
      <c r="Q62" s="347">
        <f t="shared" si="65"/>
        <v>0.73969638359601919</v>
      </c>
      <c r="R62" s="162">
        <f t="shared" si="57"/>
        <v>764.80645685803267</v>
      </c>
      <c r="S62" s="13">
        <f t="shared" si="14"/>
        <v>4.6194851485912853E-4</v>
      </c>
      <c r="T62" s="13">
        <f t="shared" si="15"/>
        <v>2.5118931968450508E-5</v>
      </c>
      <c r="U62" s="13">
        <f t="shared" si="16"/>
        <v>3.4824019468044254E-4</v>
      </c>
      <c r="V62" s="20">
        <f t="shared" si="58"/>
        <v>8.6233727344208182E-3</v>
      </c>
      <c r="W62" s="20">
        <f t="shared" si="17"/>
        <v>3.5790406440286845E-3</v>
      </c>
      <c r="X62" s="402">
        <f t="shared" si="18"/>
        <v>0.95561071619171889</v>
      </c>
      <c r="Y62" s="402">
        <f t="shared" si="19"/>
        <v>0.39661623107947852</v>
      </c>
      <c r="Z62" s="336">
        <f t="shared" si="20"/>
        <v>1.3522269472711974</v>
      </c>
      <c r="AA62" s="65">
        <f t="shared" si="59"/>
        <v>10452.468217065147</v>
      </c>
      <c r="AB62" s="14">
        <f t="shared" si="46"/>
        <v>342763.86938454513</v>
      </c>
      <c r="AC62" s="340">
        <f t="shared" si="60"/>
        <v>1000</v>
      </c>
      <c r="AD62" s="2">
        <f t="shared" si="22"/>
        <v>0.79311064029864808</v>
      </c>
      <c r="AE62" s="66">
        <f t="shared" si="23"/>
        <v>2.0142007775306815E-2</v>
      </c>
      <c r="AF62" s="4">
        <f t="shared" si="61"/>
        <v>67.13466514142479</v>
      </c>
      <c r="AG62" s="3">
        <f t="shared" si="62"/>
        <v>1172.9421148569681</v>
      </c>
      <c r="AH62" s="4">
        <f t="shared" si="63"/>
        <v>2794.3445121951222</v>
      </c>
      <c r="AI62" s="349">
        <f t="shared" si="24"/>
        <v>0</v>
      </c>
      <c r="AJ62" s="1">
        <f t="shared" si="25"/>
        <v>5.4793333333333361E-2</v>
      </c>
    </row>
    <row r="63" spans="1:36">
      <c r="A63">
        <f t="shared" si="37"/>
        <v>6599.9999999999991</v>
      </c>
      <c r="B63" s="4">
        <f t="shared" si="38"/>
        <v>2432.7972920337465</v>
      </c>
      <c r="C63" s="12">
        <f t="shared" si="54"/>
        <v>44</v>
      </c>
      <c r="D63" s="4">
        <f t="shared" si="55"/>
        <v>2012.1951219512193</v>
      </c>
      <c r="E63">
        <f t="shared" si="39"/>
        <v>0.11861823723647448</v>
      </c>
      <c r="F63">
        <f t="shared" si="40"/>
        <v>9.0239389202190143E-3</v>
      </c>
      <c r="G63" s="4">
        <f t="shared" si="41"/>
        <v>350.77777777777777</v>
      </c>
      <c r="H63" s="10">
        <f t="shared" si="64"/>
        <v>16774137.328572683</v>
      </c>
      <c r="I63" s="2">
        <f t="shared" si="12"/>
        <v>16.774137328572682</v>
      </c>
      <c r="J63" s="2">
        <f t="shared" si="42"/>
        <v>1.0462561764108937</v>
      </c>
      <c r="K63" s="4">
        <f t="shared" si="13"/>
        <v>979.78503997070777</v>
      </c>
      <c r="L63" s="4">
        <f t="shared" si="50"/>
        <v>153.92816713842996</v>
      </c>
      <c r="M63" s="161">
        <f t="shared" si="56"/>
        <v>0.29010710249170768</v>
      </c>
      <c r="N63" s="161">
        <f t="shared" si="43"/>
        <v>0.25809766822493374</v>
      </c>
      <c r="O63" s="346">
        <f t="shared" si="44"/>
        <v>0.22374087747430069</v>
      </c>
      <c r="P63" s="346">
        <f t="shared" si="45"/>
        <v>0.3464525855053483</v>
      </c>
      <c r="Q63" s="347">
        <f t="shared" si="65"/>
        <v>0.74190233177506626</v>
      </c>
      <c r="R63" s="162">
        <f t="shared" si="57"/>
        <v>766.63330680516128</v>
      </c>
      <c r="S63" s="13">
        <f t="shared" si="14"/>
        <v>4.5231296702812713E-4</v>
      </c>
      <c r="T63" s="13">
        <f t="shared" si="15"/>
        <v>2.5375334703546386E-5</v>
      </c>
      <c r="U63" s="13">
        <f t="shared" si="16"/>
        <v>3.4212135964767874E-4</v>
      </c>
      <c r="V63" s="20">
        <f t="shared" si="58"/>
        <v>8.6302620079716768E-3</v>
      </c>
      <c r="W63" s="20">
        <f t="shared" si="17"/>
        <v>3.5268704809765816E-3</v>
      </c>
      <c r="X63" s="402">
        <f t="shared" si="18"/>
        <v>0.95637416036080802</v>
      </c>
      <c r="Y63" s="402">
        <f t="shared" si="19"/>
        <v>0.39083492387944746</v>
      </c>
      <c r="Z63" s="336">
        <f t="shared" si="20"/>
        <v>1.3472090842402555</v>
      </c>
      <c r="AA63" s="65">
        <f t="shared" si="59"/>
        <v>10365.774899775204</v>
      </c>
      <c r="AB63" s="14">
        <f t="shared" si="46"/>
        <v>343582.6100620692</v>
      </c>
      <c r="AC63" s="340">
        <f t="shared" si="60"/>
        <v>1000</v>
      </c>
      <c r="AD63" s="2">
        <f t="shared" si="22"/>
        <v>0.79268814318045699</v>
      </c>
      <c r="AE63" s="66">
        <f t="shared" si="23"/>
        <v>1.974094388385363E-2</v>
      </c>
      <c r="AF63" s="4">
        <f t="shared" si="61"/>
        <v>68.244410812704615</v>
      </c>
      <c r="AG63" s="3">
        <f t="shared" si="62"/>
        <v>1172.872678136795</v>
      </c>
      <c r="AH63" s="4">
        <f t="shared" si="63"/>
        <v>2859.3292682926835</v>
      </c>
      <c r="AI63" s="349">
        <f t="shared" si="24"/>
        <v>0</v>
      </c>
      <c r="AJ63" s="1">
        <f t="shared" si="25"/>
        <v>5.4243333333333352E-2</v>
      </c>
    </row>
    <row r="64" spans="1:36">
      <c r="A64">
        <f t="shared" si="37"/>
        <v>6750</v>
      </c>
      <c r="B64" s="4">
        <f t="shared" si="38"/>
        <v>2484.1313580180608</v>
      </c>
      <c r="C64" s="12">
        <f t="shared" si="54"/>
        <v>45</v>
      </c>
      <c r="D64" s="4">
        <f t="shared" si="55"/>
        <v>2057.9268292682927</v>
      </c>
      <c r="E64">
        <f t="shared" si="39"/>
        <v>0.11861823723647448</v>
      </c>
      <c r="F64">
        <f t="shared" si="40"/>
        <v>9.0239389202190143E-3</v>
      </c>
      <c r="G64" s="4">
        <f t="shared" si="41"/>
        <v>352.44444444444446</v>
      </c>
      <c r="H64" s="10">
        <f t="shared" si="64"/>
        <v>17128085.71353453</v>
      </c>
      <c r="I64" s="2">
        <f t="shared" si="12"/>
        <v>17.128085713534531</v>
      </c>
      <c r="J64" s="2">
        <f t="shared" si="42"/>
        <v>1.0482154461173621</v>
      </c>
      <c r="K64" s="4">
        <f t="shared" si="13"/>
        <v>978.9909767602436</v>
      </c>
      <c r="L64" s="4">
        <f t="shared" si="50"/>
        <v>156.14051755148748</v>
      </c>
      <c r="M64" s="161">
        <f t="shared" si="56"/>
        <v>0.28701108794907781</v>
      </c>
      <c r="N64" s="161">
        <f t="shared" si="43"/>
        <v>0.25596742045895204</v>
      </c>
      <c r="O64" s="346">
        <f t="shared" si="44"/>
        <v>0.22305857621317149</v>
      </c>
      <c r="P64" s="346">
        <f t="shared" si="45"/>
        <v>0.34596162513511025</v>
      </c>
      <c r="Q64" s="347">
        <f t="shared" si="65"/>
        <v>0.74403257954104796</v>
      </c>
      <c r="R64" s="162">
        <f t="shared" si="57"/>
        <v>768.36806729311411</v>
      </c>
      <c r="S64" s="13">
        <f t="shared" si="14"/>
        <v>4.4292265550147927E-4</v>
      </c>
      <c r="T64" s="13">
        <f t="shared" si="15"/>
        <v>2.5635218180604237E-5</v>
      </c>
      <c r="U64" s="13">
        <f t="shared" si="16"/>
        <v>3.3611066658052822E-4</v>
      </c>
      <c r="V64" s="20">
        <f t="shared" si="58"/>
        <v>8.6372620454795573E-3</v>
      </c>
      <c r="W64" s="20">
        <f t="shared" si="17"/>
        <v>3.4768983565866647E-3</v>
      </c>
      <c r="X64" s="402">
        <f t="shared" si="18"/>
        <v>0.95714987898764814</v>
      </c>
      <c r="Y64" s="402">
        <f t="shared" si="19"/>
        <v>0.38529719530750978</v>
      </c>
      <c r="Z64" s="336">
        <f t="shared" si="20"/>
        <v>1.342447074295158</v>
      </c>
      <c r="AA64" s="65">
        <f t="shared" si="59"/>
        <v>10282.042633987603</v>
      </c>
      <c r="AB64" s="14">
        <f t="shared" si="46"/>
        <v>344360.078939292</v>
      </c>
      <c r="AC64" s="340">
        <f t="shared" si="60"/>
        <v>1000</v>
      </c>
      <c r="AD64" s="2">
        <f t="shared" si="22"/>
        <v>0.79228347245528363</v>
      </c>
      <c r="AE64" s="66">
        <f t="shared" si="23"/>
        <v>1.9350330881315787E-2</v>
      </c>
      <c r="AF64" s="4">
        <f t="shared" si="61"/>
        <v>69.375923467613291</v>
      </c>
      <c r="AG64" s="3">
        <f t="shared" si="62"/>
        <v>1172.8545026212889</v>
      </c>
      <c r="AH64" s="4">
        <f t="shared" si="63"/>
        <v>2924.3140243902444</v>
      </c>
      <c r="AI64" s="349">
        <f t="shared" si="24"/>
        <v>0</v>
      </c>
      <c r="AJ64" s="1">
        <f t="shared" si="25"/>
        <v>5.3693333333333343E-2</v>
      </c>
    </row>
    <row r="65" spans="1:36">
      <c r="A65">
        <f t="shared" si="37"/>
        <v>6899.9999999999991</v>
      </c>
      <c r="B65" s="4">
        <f t="shared" si="38"/>
        <v>2535.5660384492835</v>
      </c>
      <c r="C65" s="12">
        <f t="shared" si="54"/>
        <v>46</v>
      </c>
      <c r="D65" s="4">
        <f t="shared" si="55"/>
        <v>2103.6585365853657</v>
      </c>
      <c r="E65">
        <f t="shared" si="39"/>
        <v>0.11861823723647448</v>
      </c>
      <c r="F65">
        <f t="shared" si="40"/>
        <v>9.0239389202190143E-3</v>
      </c>
      <c r="G65" s="4">
        <f t="shared" si="41"/>
        <v>354.11111111111109</v>
      </c>
      <c r="H65" s="10">
        <f t="shared" si="64"/>
        <v>17482727.835107811</v>
      </c>
      <c r="I65" s="2">
        <f t="shared" si="12"/>
        <v>17.482727835107809</v>
      </c>
      <c r="J65" s="2">
        <f t="shared" si="42"/>
        <v>1.0502150590840695</v>
      </c>
      <c r="K65" s="4">
        <f t="shared" si="13"/>
        <v>978.18569103432594</v>
      </c>
      <c r="L65" s="4">
        <f t="shared" si="50"/>
        <v>158.32132376200258</v>
      </c>
      <c r="M65" s="161">
        <f t="shared" si="56"/>
        <v>0.28401376574476472</v>
      </c>
      <c r="N65" s="161">
        <f t="shared" si="43"/>
        <v>0.25390959481476749</v>
      </c>
      <c r="O65" s="346">
        <f t="shared" si="44"/>
        <v>0.22237450669321329</v>
      </c>
      <c r="P65" s="346">
        <f t="shared" si="45"/>
        <v>0.34547543161184369</v>
      </c>
      <c r="Q65" s="347">
        <f t="shared" si="65"/>
        <v>0.74609040518523251</v>
      </c>
      <c r="R65" s="162">
        <f t="shared" si="57"/>
        <v>770.01426173714469</v>
      </c>
      <c r="S65" s="13">
        <f t="shared" si="14"/>
        <v>4.3377022294959438E-4</v>
      </c>
      <c r="T65" s="13">
        <f t="shared" si="15"/>
        <v>2.5898579766264651E-5</v>
      </c>
      <c r="U65" s="13">
        <f t="shared" si="16"/>
        <v>3.3020769929248167E-4</v>
      </c>
      <c r="V65" s="20">
        <f t="shared" si="58"/>
        <v>8.6443726216206586E-3</v>
      </c>
      <c r="W65" s="20">
        <f t="shared" si="17"/>
        <v>3.4290056195301435E-3</v>
      </c>
      <c r="X65" s="402">
        <f t="shared" si="18"/>
        <v>0.95793784710267704</v>
      </c>
      <c r="Y65" s="402">
        <f t="shared" si="19"/>
        <v>0.37998989685614143</v>
      </c>
      <c r="Z65" s="336">
        <f t="shared" si="20"/>
        <v>1.3379277439588184</v>
      </c>
      <c r="AA65" s="65">
        <f t="shared" si="59"/>
        <v>10201.119279842442</v>
      </c>
      <c r="AB65" s="14">
        <f t="shared" si="46"/>
        <v>345097.85510780575</v>
      </c>
      <c r="AC65" s="340">
        <f t="shared" si="60"/>
        <v>1000</v>
      </c>
      <c r="AD65" s="2">
        <f t="shared" si="22"/>
        <v>0.79189583311363354</v>
      </c>
      <c r="AE65" s="66">
        <f t="shared" si="23"/>
        <v>1.89698472754951E-2</v>
      </c>
      <c r="AF65" s="4">
        <f t="shared" si="61"/>
        <v>70.5291784656131</v>
      </c>
      <c r="AG65" s="3">
        <f t="shared" si="62"/>
        <v>1172.8842347974248</v>
      </c>
      <c r="AH65" s="4">
        <f t="shared" si="63"/>
        <v>2989.2987804878048</v>
      </c>
      <c r="AI65" s="349">
        <f t="shared" si="24"/>
        <v>0</v>
      </c>
      <c r="AJ65" s="1">
        <f t="shared" si="25"/>
        <v>5.3143333333333348E-2</v>
      </c>
    </row>
    <row r="66" spans="1:36">
      <c r="A66">
        <f t="shared" si="37"/>
        <v>7050</v>
      </c>
      <c r="B66" s="4">
        <f t="shared" si="38"/>
        <v>2587.0959839732359</v>
      </c>
      <c r="C66" s="12">
        <f t="shared" si="54"/>
        <v>47</v>
      </c>
      <c r="D66" s="4">
        <f t="shared" si="55"/>
        <v>2149.3902439024391</v>
      </c>
      <c r="E66">
        <f t="shared" si="39"/>
        <v>0.11861823723647448</v>
      </c>
      <c r="F66">
        <f t="shared" si="40"/>
        <v>9.0239389202190143E-3</v>
      </c>
      <c r="G66" s="4">
        <f t="shared" si="41"/>
        <v>355.77777777777777</v>
      </c>
      <c r="H66" s="10">
        <f t="shared" si="64"/>
        <v>17838026.80949546</v>
      </c>
      <c r="I66" s="2">
        <f t="shared" si="12"/>
        <v>17.83802680949546</v>
      </c>
      <c r="J66" s="2">
        <f t="shared" si="42"/>
        <v>1.0522547562960187</v>
      </c>
      <c r="K66" s="4">
        <f t="shared" si="13"/>
        <v>977.36926644864582</v>
      </c>
      <c r="L66" s="4">
        <f t="shared" si="50"/>
        <v>160.47046380757416</v>
      </c>
      <c r="M66" s="161">
        <f t="shared" si="56"/>
        <v>0.28111118302896371</v>
      </c>
      <c r="N66" s="161">
        <f t="shared" si="43"/>
        <v>0.25192108816696157</v>
      </c>
      <c r="O66" s="346">
        <f t="shared" si="44"/>
        <v>0.22168859433047189</v>
      </c>
      <c r="P66" s="346">
        <f t="shared" si="45"/>
        <v>0.34499405048593518</v>
      </c>
      <c r="Q66" s="347">
        <f t="shared" si="65"/>
        <v>0.74807891183303843</v>
      </c>
      <c r="R66" s="162">
        <f t="shared" si="57"/>
        <v>771.57523116501909</v>
      </c>
      <c r="S66" s="13">
        <f t="shared" si="14"/>
        <v>4.2484856593265536E-4</v>
      </c>
      <c r="T66" s="13">
        <f t="shared" si="15"/>
        <v>2.6165416463710547E-5</v>
      </c>
      <c r="U66" s="13">
        <f t="shared" si="16"/>
        <v>3.2441187308460741E-4</v>
      </c>
      <c r="V66" s="20">
        <f t="shared" si="58"/>
        <v>8.6515935140492849E-3</v>
      </c>
      <c r="W66" s="20">
        <f t="shared" si="17"/>
        <v>3.3830818207290186E-3</v>
      </c>
      <c r="X66" s="402">
        <f t="shared" si="18"/>
        <v>0.95873804006635577</v>
      </c>
      <c r="Y66" s="402">
        <f t="shared" si="19"/>
        <v>0.37490078896133638</v>
      </c>
      <c r="Z66" s="336">
        <f t="shared" si="20"/>
        <v>1.3336388290276924</v>
      </c>
      <c r="AA66" s="65">
        <f t="shared" si="59"/>
        <v>10122.863277663046</v>
      </c>
      <c r="AB66" s="14">
        <f t="shared" si="46"/>
        <v>345797.43591846892</v>
      </c>
      <c r="AC66" s="340">
        <f t="shared" si="60"/>
        <v>1000</v>
      </c>
      <c r="AD66" s="2">
        <f t="shared" si="22"/>
        <v>0.79152447523221747</v>
      </c>
      <c r="AE66" s="66">
        <f t="shared" si="23"/>
        <v>1.8599183148729888E-2</v>
      </c>
      <c r="AF66" s="4">
        <f t="shared" si="61"/>
        <v>71.704161325964719</v>
      </c>
      <c r="AG66" s="3">
        <f t="shared" si="62"/>
        <v>1172.9587318086587</v>
      </c>
      <c r="AH66" s="4">
        <f t="shared" si="63"/>
        <v>3054.2835365853666</v>
      </c>
      <c r="AI66" s="349">
        <f t="shared" si="24"/>
        <v>0</v>
      </c>
      <c r="AJ66" s="1">
        <f t="shared" si="25"/>
        <v>5.2593333333333353E-2</v>
      </c>
    </row>
    <row r="67" spans="1:36">
      <c r="A67">
        <f t="shared" si="37"/>
        <v>7199.9999999999991</v>
      </c>
      <c r="B67" s="4">
        <f t="shared" si="38"/>
        <v>2638.7160418697017</v>
      </c>
      <c r="C67" s="12">
        <f t="shared" si="54"/>
        <v>48</v>
      </c>
      <c r="D67" s="4">
        <f t="shared" si="55"/>
        <v>2195.1219512195121</v>
      </c>
      <c r="E67">
        <f t="shared" si="39"/>
        <v>0.11861823723647448</v>
      </c>
      <c r="F67">
        <f t="shared" si="40"/>
        <v>9.0239389202190143E-3</v>
      </c>
      <c r="G67" s="4">
        <f t="shared" si="41"/>
        <v>357.44444444444446</v>
      </c>
      <c r="H67" s="10">
        <f t="shared" si="64"/>
        <v>18193947.108691592</v>
      </c>
      <c r="I67" s="2">
        <f t="shared" si="12"/>
        <v>18.193947108691592</v>
      </c>
      <c r="J67" s="2">
        <f t="shared" si="42"/>
        <v>1.0543342691114481</v>
      </c>
      <c r="K67" s="4">
        <f t="shared" si="13"/>
        <v>976.54178674789569</v>
      </c>
      <c r="L67" s="4">
        <f t="shared" si="50"/>
        <v>162.5878412953094</v>
      </c>
      <c r="M67" s="161">
        <f t="shared" si="56"/>
        <v>0.27829957927023674</v>
      </c>
      <c r="N67" s="161">
        <f t="shared" si="43"/>
        <v>0.24999896157171619</v>
      </c>
      <c r="O67" s="346">
        <f t="shared" si="44"/>
        <v>0.22100076056446818</v>
      </c>
      <c r="P67" s="346">
        <f t="shared" si="45"/>
        <v>0.34451752258122892</v>
      </c>
      <c r="Q67" s="347">
        <f t="shared" si="65"/>
        <v>0.75000103842828381</v>
      </c>
      <c r="R67" s="162">
        <f t="shared" si="57"/>
        <v>773.05414561754787</v>
      </c>
      <c r="S67" s="13">
        <f t="shared" si="14"/>
        <v>4.1615082500550793E-4</v>
      </c>
      <c r="T67" s="13">
        <f t="shared" si="15"/>
        <v>2.6435724923296501E-5</v>
      </c>
      <c r="U67" s="13">
        <f t="shared" si="16"/>
        <v>3.1872245467613763E-4</v>
      </c>
      <c r="V67" s="20">
        <f t="shared" si="58"/>
        <v>8.6589245039866009E-3</v>
      </c>
      <c r="W67" s="20">
        <f t="shared" si="17"/>
        <v>3.3390240287729319E-3</v>
      </c>
      <c r="X67" s="402">
        <f t="shared" si="18"/>
        <v>0.95955043363441184</v>
      </c>
      <c r="Y67" s="402">
        <f t="shared" si="19"/>
        <v>0.37001846513959918</v>
      </c>
      <c r="Z67" s="336">
        <f t="shared" si="20"/>
        <v>1.3295688987740109</v>
      </c>
      <c r="AA67" s="65">
        <f t="shared" si="59"/>
        <v>10047.14275345086</v>
      </c>
      <c r="AB67" s="14">
        <f t="shared" si="46"/>
        <v>346460.24209079129</v>
      </c>
      <c r="AC67" s="340">
        <f t="shared" si="60"/>
        <v>1000</v>
      </c>
      <c r="AD67" s="2">
        <f t="shared" si="22"/>
        <v>0.79116869094797337</v>
      </c>
      <c r="AE67" s="66">
        <f t="shared" si="23"/>
        <v>1.8238039677267438E-2</v>
      </c>
      <c r="AF67" s="4">
        <f t="shared" si="61"/>
        <v>72.900866666675498</v>
      </c>
      <c r="AG67" s="3">
        <f t="shared" si="62"/>
        <v>1173.0750459982135</v>
      </c>
      <c r="AH67" s="4">
        <f t="shared" si="63"/>
        <v>3119.2682926829275</v>
      </c>
      <c r="AI67" s="349">
        <f t="shared" si="24"/>
        <v>0</v>
      </c>
      <c r="AJ67" s="1">
        <f t="shared" si="25"/>
        <v>5.2043333333333344E-2</v>
      </c>
    </row>
    <row r="68" spans="1:36">
      <c r="A68">
        <f t="shared" si="37"/>
        <v>7350</v>
      </c>
      <c r="B68" s="4">
        <f t="shared" si="38"/>
        <v>2690.4212463431231</v>
      </c>
      <c r="C68" s="12">
        <f t="shared" si="54"/>
        <v>49</v>
      </c>
      <c r="D68" s="4">
        <f t="shared" si="55"/>
        <v>2240.8536585365855</v>
      </c>
      <c r="E68">
        <f t="shared" si="39"/>
        <v>0.11861823723647448</v>
      </c>
      <c r="F68">
        <f t="shared" si="40"/>
        <v>9.0239389202190143E-3</v>
      </c>
      <c r="G68" s="4">
        <f t="shared" si="41"/>
        <v>359.11111111111109</v>
      </c>
      <c r="H68" s="10">
        <f t="shared" si="64"/>
        <v>18550454.493535835</v>
      </c>
      <c r="I68" s="2">
        <f t="shared" si="12"/>
        <v>18.550454493535835</v>
      </c>
      <c r="J68" s="2">
        <f t="shared" si="42"/>
        <v>1.0564533197352766</v>
      </c>
      <c r="K68" s="4">
        <f t="shared" si="13"/>
        <v>975.70333569010654</v>
      </c>
      <c r="L68" s="4">
        <f t="shared" si="50"/>
        <v>164.6733842210779</v>
      </c>
      <c r="M68" s="161">
        <f t="shared" si="56"/>
        <v>0.27557537544461552</v>
      </c>
      <c r="N68" s="161">
        <f t="shared" si="43"/>
        <v>0.2204216833517556</v>
      </c>
      <c r="O68" s="346">
        <f t="shared" si="44"/>
        <v>0.22031092283687059</v>
      </c>
      <c r="P68" s="346">
        <f t="shared" si="45"/>
        <v>0.34404588418176613</v>
      </c>
      <c r="Q68" s="347">
        <f t="shared" si="65"/>
        <v>0.7795783166482444</v>
      </c>
      <c r="R68" s="162">
        <f t="shared" si="57"/>
        <v>796.93474853861062</v>
      </c>
      <c r="S68" s="13">
        <f t="shared" si="14"/>
        <v>4.0767037525195918E-4</v>
      </c>
      <c r="T68" s="13">
        <f t="shared" si="15"/>
        <v>2.670950145277631E-5</v>
      </c>
      <c r="U68" s="13">
        <f t="shared" si="16"/>
        <v>3.2369833815798759E-4</v>
      </c>
      <c r="V68" s="20">
        <f t="shared" si="58"/>
        <v>8.6663653767848348E-3</v>
      </c>
      <c r="W68" s="20">
        <f t="shared" si="17"/>
        <v>3.2967362117397345E-3</v>
      </c>
      <c r="X68" s="402">
        <f t="shared" si="18"/>
        <v>0.9603750040203618</v>
      </c>
      <c r="Y68" s="402">
        <f t="shared" si="19"/>
        <v>0.36533228348355457</v>
      </c>
      <c r="Z68" s="336">
        <f t="shared" si="20"/>
        <v>1.3257072875039164</v>
      </c>
      <c r="AA68" s="65">
        <f t="shared" si="59"/>
        <v>10272.701001199617</v>
      </c>
      <c r="AB68" s="14">
        <f t="shared" si="46"/>
        <v>357162.82937553595</v>
      </c>
      <c r="AC68" s="340">
        <f t="shared" si="60"/>
        <v>1000</v>
      </c>
      <c r="AD68" s="2">
        <f t="shared" si="22"/>
        <v>0.79503869687238837</v>
      </c>
      <c r="AE68" s="66">
        <f t="shared" si="23"/>
        <v>1.7967725920816812E-2</v>
      </c>
      <c r="AF68" s="4">
        <f t="shared" si="61"/>
        <v>73.782697562633444</v>
      </c>
      <c r="AG68" s="3">
        <f t="shared" si="62"/>
        <v>1152.1838992966079</v>
      </c>
      <c r="AH68" s="4">
        <f t="shared" si="63"/>
        <v>3184.2530487804884</v>
      </c>
      <c r="AI68" s="349">
        <f t="shared" si="24"/>
        <v>0</v>
      </c>
      <c r="AJ68" s="1">
        <f t="shared" si="25"/>
        <v>5.1493333333333349E-2</v>
      </c>
    </row>
    <row r="69" spans="1:36">
      <c r="A69">
        <f t="shared" si="37"/>
        <v>7499.9999999999991</v>
      </c>
      <c r="B69" s="4">
        <f t="shared" si="38"/>
        <v>2743.7113885297422</v>
      </c>
      <c r="C69" s="12">
        <f t="shared" si="54"/>
        <v>50</v>
      </c>
      <c r="D69" s="4">
        <f t="shared" si="55"/>
        <v>2286.5853658536585</v>
      </c>
      <c r="E69">
        <f t="shared" si="39"/>
        <v>0.11861823723647448</v>
      </c>
      <c r="F69">
        <f t="shared" si="40"/>
        <v>9.0239389202190143E-3</v>
      </c>
      <c r="G69" s="4">
        <f t="shared" si="41"/>
        <v>360.77777777777777</v>
      </c>
      <c r="H69" s="10">
        <f t="shared" si="64"/>
        <v>18917890.023912571</v>
      </c>
      <c r="I69" s="2">
        <f t="shared" si="12"/>
        <v>18.917890023912573</v>
      </c>
      <c r="J69" s="2">
        <f t="shared" si="42"/>
        <v>1.0586748643182189</v>
      </c>
      <c r="K69" s="4">
        <f t="shared" si="13"/>
        <v>974.85866336590595</v>
      </c>
      <c r="L69" s="4">
        <f t="shared" si="50"/>
        <v>166.8085574006347</v>
      </c>
      <c r="M69" s="161">
        <f t="shared" si="56"/>
        <v>0.27283912911092456</v>
      </c>
      <c r="N69" s="161">
        <f t="shared" si="43"/>
        <v>0.21847213967309198</v>
      </c>
      <c r="O69" s="346">
        <f t="shared" si="44"/>
        <v>0.21961324770494672</v>
      </c>
      <c r="P69" s="346">
        <f t="shared" si="45"/>
        <v>0.34356200857178604</v>
      </c>
      <c r="Q69" s="347">
        <f t="shared" si="65"/>
        <v>0.78152786032690802</v>
      </c>
      <c r="R69" s="162">
        <f t="shared" si="57"/>
        <v>798.32222775260448</v>
      </c>
      <c r="S69" s="13">
        <f t="shared" si="14"/>
        <v>3.9940081722800565E-4</v>
      </c>
      <c r="T69" s="13">
        <f t="shared" si="15"/>
        <v>2.6991901605121948E-5</v>
      </c>
      <c r="U69" s="13">
        <f t="shared" si="16"/>
        <v>3.1803984459853824E-4</v>
      </c>
      <c r="V69" s="20">
        <f t="shared" si="58"/>
        <v>8.6738744027188164E-3</v>
      </c>
      <c r="W69" s="20">
        <f t="shared" si="17"/>
        <v>3.2545375209227273E-3</v>
      </c>
      <c r="X69" s="402">
        <f t="shared" si="18"/>
        <v>0.96120712688825449</v>
      </c>
      <c r="Y69" s="402">
        <f t="shared" si="19"/>
        <v>0.36065597846973663</v>
      </c>
      <c r="Z69" s="336">
        <f t="shared" si="20"/>
        <v>1.321863105357991</v>
      </c>
      <c r="AA69" s="65">
        <f t="shared" si="59"/>
        <v>10197.345498716259</v>
      </c>
      <c r="AB69" s="14">
        <f t="shared" si="46"/>
        <v>357784.65695010015</v>
      </c>
      <c r="AC69" s="340">
        <f t="shared" si="60"/>
        <v>1000</v>
      </c>
      <c r="AD69" s="2">
        <f t="shared" si="22"/>
        <v>0.79469824698832348</v>
      </c>
      <c r="AE69" s="66">
        <f t="shared" si="23"/>
        <v>1.7622954469576884E-2</v>
      </c>
      <c r="AF69" s="4">
        <f t="shared" si="61"/>
        <v>75.008030443474681</v>
      </c>
      <c r="AG69" s="3">
        <f t="shared" si="62"/>
        <v>1152.3666442620931</v>
      </c>
      <c r="AH69" s="4">
        <f t="shared" si="63"/>
        <v>3249.2378048780488</v>
      </c>
      <c r="AI69" s="349">
        <f t="shared" si="24"/>
        <v>0</v>
      </c>
      <c r="AJ69" s="1">
        <f t="shared" si="25"/>
        <v>5.0943333333333354E-2</v>
      </c>
    </row>
    <row r="70" spans="1:36">
      <c r="A70">
        <f t="shared" si="37"/>
        <v>7649.9999999999982</v>
      </c>
      <c r="B70" s="4">
        <f t="shared" si="38"/>
        <v>2797.080786999476</v>
      </c>
      <c r="C70" s="12">
        <f t="shared" si="54"/>
        <v>51</v>
      </c>
      <c r="D70" s="4">
        <f t="shared" si="55"/>
        <v>2332.3170731707314</v>
      </c>
      <c r="E70">
        <f t="shared" si="39"/>
        <v>0.11861823723647448</v>
      </c>
      <c r="F70">
        <f t="shared" si="40"/>
        <v>9.0239389202190143E-3</v>
      </c>
      <c r="G70" s="4">
        <f t="shared" si="41"/>
        <v>362.44444444444446</v>
      </c>
      <c r="H70" s="10">
        <f t="shared" si="64"/>
        <v>19285872.026361387</v>
      </c>
      <c r="I70" s="2">
        <f t="shared" si="12"/>
        <v>19.285872026361389</v>
      </c>
      <c r="J70" s="2">
        <f t="shared" si="42"/>
        <v>1.0609376165296549</v>
      </c>
      <c r="K70" s="4">
        <f t="shared" si="13"/>
        <v>974.00323128283935</v>
      </c>
      <c r="L70" s="4">
        <f t="shared" si="50"/>
        <v>168.91024681869615</v>
      </c>
      <c r="M70" s="161">
        <f t="shared" si="56"/>
        <v>0.27018898483697251</v>
      </c>
      <c r="N70" s="161">
        <f t="shared" si="43"/>
        <v>0.2165878576057092</v>
      </c>
      <c r="O70" s="346">
        <f t="shared" si="44"/>
        <v>0.21891349419821451</v>
      </c>
      <c r="P70" s="346">
        <f t="shared" si="45"/>
        <v>0.3430833463066828</v>
      </c>
      <c r="Q70" s="347">
        <f t="shared" si="65"/>
        <v>0.7834121423942908</v>
      </c>
      <c r="R70" s="162">
        <f t="shared" si="57"/>
        <v>799.629866604364</v>
      </c>
      <c r="S70" s="13">
        <f t="shared" si="14"/>
        <v>3.9133596829452858E-4</v>
      </c>
      <c r="T70" s="13">
        <f t="shared" si="15"/>
        <v>2.7277922224903408E-5</v>
      </c>
      <c r="U70" s="13">
        <f t="shared" si="16"/>
        <v>3.1248541605218786E-4</v>
      </c>
      <c r="V70" s="20">
        <f t="shared" si="58"/>
        <v>8.6814923553192435E-3</v>
      </c>
      <c r="W70" s="20">
        <f t="shared" si="17"/>
        <v>3.2140424817096881E-3</v>
      </c>
      <c r="X70" s="20">
        <f t="shared" si="18"/>
        <v>0.96205132061205711</v>
      </c>
      <c r="Y70" s="402">
        <f t="shared" si="19"/>
        <v>0.35616846591329565</v>
      </c>
      <c r="Z70" s="336">
        <f t="shared" si="20"/>
        <v>1.3182197865253529</v>
      </c>
      <c r="AA70" s="65">
        <f t="shared" si="59"/>
        <v>10124.365783706515</v>
      </c>
      <c r="AB70" s="14">
        <f t="shared" si="46"/>
        <v>358370.70241110219</v>
      </c>
      <c r="AC70" s="340">
        <f t="shared" si="60"/>
        <v>1000</v>
      </c>
      <c r="AD70" s="2">
        <f t="shared" si="22"/>
        <v>0.79437187363715034</v>
      </c>
      <c r="AE70" s="66">
        <f t="shared" si="23"/>
        <v>1.7286861581216457E-2</v>
      </c>
      <c r="AF70" s="4">
        <f t="shared" si="61"/>
        <v>76.25558753577937</v>
      </c>
      <c r="AG70" s="3">
        <f t="shared" si="62"/>
        <v>1152.5857813807195</v>
      </c>
      <c r="AH70" s="4">
        <f t="shared" si="63"/>
        <v>3314.2225609756097</v>
      </c>
      <c r="AI70" s="349">
        <f t="shared" si="24"/>
        <v>0</v>
      </c>
      <c r="AJ70" s="1">
        <f t="shared" si="25"/>
        <v>5.0393333333333346E-2</v>
      </c>
    </row>
    <row r="71" spans="1:36">
      <c r="A71">
        <f t="shared" si="37"/>
        <v>7799.9999999999991</v>
      </c>
      <c r="B71" s="4">
        <f t="shared" si="38"/>
        <v>2850.5245967449164</v>
      </c>
      <c r="C71" s="12">
        <f t="shared" si="54"/>
        <v>52</v>
      </c>
      <c r="D71" s="4">
        <f t="shared" si="55"/>
        <v>2378.0487804878048</v>
      </c>
      <c r="E71">
        <f t="shared" si="39"/>
        <v>0.11861823723647448</v>
      </c>
      <c r="F71">
        <f t="shared" si="40"/>
        <v>9.0239389202190143E-3</v>
      </c>
      <c r="G71" s="4">
        <f t="shared" si="41"/>
        <v>364.11111111111109</v>
      </c>
      <c r="H71" s="10">
        <f t="shared" si="64"/>
        <v>19654367.094556198</v>
      </c>
      <c r="I71" s="2">
        <f t="shared" si="12"/>
        <v>19.654367094556196</v>
      </c>
      <c r="J71" s="2">
        <f t="shared" si="42"/>
        <v>1.0632412447709283</v>
      </c>
      <c r="K71" s="4">
        <f t="shared" si="13"/>
        <v>973.13712471909923</v>
      </c>
      <c r="L71" s="4">
        <f t="shared" si="50"/>
        <v>170.97843097026106</v>
      </c>
      <c r="M71" s="161">
        <f t="shared" si="56"/>
        <v>0.26762155599273013</v>
      </c>
      <c r="N71" s="161">
        <f t="shared" si="43"/>
        <v>0.21476618145937798</v>
      </c>
      <c r="O71" s="346">
        <f t="shared" si="44"/>
        <v>0.21821156928203578</v>
      </c>
      <c r="P71" s="346">
        <f t="shared" si="45"/>
        <v>0.34260992668845397</v>
      </c>
      <c r="Q71" s="347">
        <f t="shared" si="65"/>
        <v>0.78523381854062202</v>
      </c>
      <c r="R71" s="162">
        <f t="shared" si="57"/>
        <v>800.86056513821859</v>
      </c>
      <c r="S71" s="13">
        <f t="shared" si="14"/>
        <v>3.8346985432100364E-4</v>
      </c>
      <c r="T71" s="13">
        <f t="shared" si="15"/>
        <v>2.7567558113391137E-5</v>
      </c>
      <c r="U71" s="13">
        <f t="shared" si="16"/>
        <v>3.0703407719187022E-4</v>
      </c>
      <c r="V71" s="20">
        <f t="shared" si="58"/>
        <v>8.6892190130748725E-3</v>
      </c>
      <c r="W71" s="20">
        <f t="shared" si="17"/>
        <v>3.1751648777604241E-3</v>
      </c>
      <c r="X71" s="20">
        <f t="shared" si="18"/>
        <v>0.96290756064470151</v>
      </c>
      <c r="Y71" s="402">
        <f t="shared" si="19"/>
        <v>0.35186019163385046</v>
      </c>
      <c r="Z71" s="336">
        <f t="shared" si="20"/>
        <v>1.3147677522785519</v>
      </c>
      <c r="AA71" s="65">
        <f t="shared" si="59"/>
        <v>10053.648700383868</v>
      </c>
      <c r="AB71" s="14">
        <f t="shared" si="46"/>
        <v>358922.26547353086</v>
      </c>
      <c r="AC71" s="340">
        <f t="shared" si="60"/>
        <v>1000</v>
      </c>
      <c r="AD71" s="2">
        <f t="shared" si="22"/>
        <v>0.79405897256430569</v>
      </c>
      <c r="AE71" s="66">
        <f t="shared" si="23"/>
        <v>1.6959188940750412E-2</v>
      </c>
      <c r="AF71" s="4">
        <f t="shared" si="61"/>
        <v>77.525390917684774</v>
      </c>
      <c r="AG71" s="3">
        <f t="shared" si="62"/>
        <v>1152.8388529039912</v>
      </c>
      <c r="AH71" s="4">
        <f t="shared" si="63"/>
        <v>3379.207317073171</v>
      </c>
      <c r="AI71" s="349">
        <f t="shared" si="24"/>
        <v>0</v>
      </c>
      <c r="AJ71" s="1">
        <f t="shared" si="25"/>
        <v>4.9843333333333351E-2</v>
      </c>
    </row>
    <row r="72" spans="1:36">
      <c r="A72">
        <f t="shared" si="37"/>
        <v>7949.9999999999991</v>
      </c>
      <c r="B72" s="4">
        <f t="shared" si="38"/>
        <v>2904.0381448484568</v>
      </c>
      <c r="C72" s="12">
        <f t="shared" si="54"/>
        <v>53</v>
      </c>
      <c r="D72" s="4">
        <f t="shared" si="55"/>
        <v>2423.7804878048778</v>
      </c>
      <c r="E72">
        <f t="shared" si="39"/>
        <v>0.11861823723647448</v>
      </c>
      <c r="F72">
        <f t="shared" si="40"/>
        <v>9.0239389202190143E-3</v>
      </c>
      <c r="G72" s="4">
        <f t="shared" si="41"/>
        <v>365.77777777777777</v>
      </c>
      <c r="H72" s="10">
        <f t="shared" si="64"/>
        <v>20023343.00873011</v>
      </c>
      <c r="I72" s="2">
        <f t="shared" si="12"/>
        <v>20.023343008730109</v>
      </c>
      <c r="J72" s="2">
        <f t="shared" si="42"/>
        <v>1.0655854091589056</v>
      </c>
      <c r="K72" s="4">
        <f t="shared" si="13"/>
        <v>972.26042872942708</v>
      </c>
      <c r="L72" s="4">
        <f t="shared" si="50"/>
        <v>173.01311124371699</v>
      </c>
      <c r="M72" s="161">
        <f t="shared" si="56"/>
        <v>0.26513361826835236</v>
      </c>
      <c r="N72" s="161">
        <f t="shared" si="43"/>
        <v>0.21300459038478925</v>
      </c>
      <c r="O72" s="346">
        <f t="shared" si="44"/>
        <v>0.21750737557401253</v>
      </c>
      <c r="P72" s="346">
        <f t="shared" si="45"/>
        <v>0.34214177461639905</v>
      </c>
      <c r="Q72" s="347">
        <f t="shared" si="65"/>
        <v>0.78699540961521075</v>
      </c>
      <c r="R72" s="162">
        <f t="shared" si="57"/>
        <v>802.01708125224184</v>
      </c>
      <c r="S72" s="13">
        <f t="shared" si="14"/>
        <v>3.7579670174275117E-4</v>
      </c>
      <c r="T72" s="13">
        <f t="shared" si="15"/>
        <v>2.7860803732582825E-5</v>
      </c>
      <c r="U72" s="13">
        <f t="shared" si="16"/>
        <v>3.0168475830693144E-4</v>
      </c>
      <c r="V72" s="20">
        <f t="shared" si="58"/>
        <v>8.6970541601579451E-3</v>
      </c>
      <c r="W72" s="20">
        <f t="shared" si="17"/>
        <v>3.1378240930342964E-3</v>
      </c>
      <c r="X72" s="20">
        <f t="shared" si="18"/>
        <v>0.96377582306894249</v>
      </c>
      <c r="Y72" s="402">
        <f t="shared" si="19"/>
        <v>0.34772222205579162</v>
      </c>
      <c r="Z72" s="336">
        <f t="shared" si="20"/>
        <v>1.3114980451247342</v>
      </c>
      <c r="AA72" s="65">
        <f t="shared" si="59"/>
        <v>9985.0884910997102</v>
      </c>
      <c r="AB72" s="14">
        <f t="shared" si="46"/>
        <v>359440.582146584</v>
      </c>
      <c r="AC72" s="340">
        <f>IF(MD&gt;TVD,X72/Q72,1000)</f>
        <v>1000</v>
      </c>
      <c r="AD72" s="2">
        <f t="shared" si="22"/>
        <v>0.79375897295725117</v>
      </c>
      <c r="AE72" s="66">
        <f t="shared" si="23"/>
        <v>1.6639687260479496E-2</v>
      </c>
      <c r="AF72" s="4">
        <f t="shared" si="61"/>
        <v>78.81746961913403</v>
      </c>
      <c r="AG72" s="3">
        <f t="shared" si="62"/>
        <v>1153.1235483145495</v>
      </c>
      <c r="AH72" s="4">
        <f t="shared" si="63"/>
        <v>3444.1920731707319</v>
      </c>
      <c r="AI72" s="349">
        <f t="shared" si="24"/>
        <v>0</v>
      </c>
      <c r="AJ72" s="1">
        <f t="shared" si="25"/>
        <v>4.9293333333333342E-2</v>
      </c>
    </row>
    <row r="73" spans="1:36">
      <c r="A73">
        <f t="shared" si="37"/>
        <v>8099.9999999999991</v>
      </c>
      <c r="B73" s="4">
        <f t="shared" si="38"/>
        <v>2957.6169223158513</v>
      </c>
      <c r="C73" s="12">
        <f t="shared" si="54"/>
        <v>54</v>
      </c>
      <c r="D73" s="4">
        <f t="shared" si="55"/>
        <v>2469.5121951219512</v>
      </c>
      <c r="E73">
        <f t="shared" si="39"/>
        <v>0.11861823723647448</v>
      </c>
      <c r="F73">
        <f t="shared" si="40"/>
        <v>9.0239389202190143E-3</v>
      </c>
      <c r="G73" s="4">
        <f t="shared" si="41"/>
        <v>366.30624132209016</v>
      </c>
      <c r="H73" s="10">
        <f t="shared" si="64"/>
        <v>20392768.679367796</v>
      </c>
      <c r="I73" s="2">
        <f t="shared" si="12"/>
        <v>20.392768679367794</v>
      </c>
      <c r="J73" s="2">
        <f t="shared" si="42"/>
        <v>1.0679697619668556</v>
      </c>
      <c r="K73" s="4">
        <f t="shared" si="13"/>
        <v>972.0951937786931</v>
      </c>
      <c r="L73" s="4">
        <f t="shared" si="50"/>
        <v>175.55812312893272</v>
      </c>
      <c r="M73" s="161">
        <f t="shared" si="56"/>
        <v>0.26226533079124875</v>
      </c>
      <c r="N73" s="161">
        <f t="shared" si="43"/>
        <v>0.23686957258402408</v>
      </c>
      <c r="O73" s="346">
        <f t="shared" si="44"/>
        <v>0</v>
      </c>
      <c r="P73" s="346">
        <f t="shared" si="45"/>
        <v>0</v>
      </c>
      <c r="Q73" s="347">
        <f t="shared" si="65"/>
        <v>0.76313042741597592</v>
      </c>
      <c r="R73" s="162">
        <f t="shared" si="57"/>
        <v>783.41979830655373</v>
      </c>
      <c r="S73" s="13">
        <f t="shared" si="14"/>
        <v>3.7340309965457074E-4</v>
      </c>
      <c r="T73" s="13">
        <f t="shared" si="15"/>
        <v>2.8086780292054486E-5</v>
      </c>
      <c r="U73" s="13">
        <f t="shared" si="16"/>
        <v>2.9160817068088317E-4</v>
      </c>
      <c r="V73" s="20">
        <f t="shared" si="58"/>
        <v>8.6985324694067532E-3</v>
      </c>
      <c r="W73" s="20">
        <f t="shared" si="17"/>
        <v>3.092336026357805E-3</v>
      </c>
      <c r="X73" s="20">
        <f t="shared" si="18"/>
        <v>0.96393964390836506</v>
      </c>
      <c r="Y73" s="402">
        <f t="shared" si="19"/>
        <v>0.34268140040588319</v>
      </c>
      <c r="Z73" s="336">
        <f t="shared" si="20"/>
        <v>1.3066210443142481</v>
      </c>
      <c r="AA73" s="65">
        <f t="shared" si="59"/>
        <v>9668.0196310597239</v>
      </c>
      <c r="AB73" s="14">
        <f t="shared" si="46"/>
        <v>0</v>
      </c>
      <c r="AC73" s="340">
        <f>IF(MD&gt;TVD,X73/Q73,1000)</f>
        <v>1.2631387889647463</v>
      </c>
      <c r="AD73" s="2">
        <f t="shared" si="22"/>
        <v>1</v>
      </c>
      <c r="AE73" s="66">
        <f t="shared" si="23"/>
        <v>1.6465713478441762E-2</v>
      </c>
      <c r="AF73" s="4">
        <f t="shared" si="61"/>
        <v>79.354049614976091</v>
      </c>
      <c r="AG73" s="3">
        <f t="shared" si="62"/>
        <v>1.4815431940320363</v>
      </c>
      <c r="AH73" s="4">
        <f t="shared" si="63"/>
        <v>3464.7973178908878</v>
      </c>
      <c r="AI73" s="349">
        <f t="shared" si="24"/>
        <v>0</v>
      </c>
      <c r="AJ73" s="1">
        <f t="shared" si="25"/>
        <v>4.9118940363710256E-2</v>
      </c>
    </row>
    <row r="74" spans="1:36">
      <c r="A74">
        <f t="shared" si="37"/>
        <v>8249.9999999999982</v>
      </c>
      <c r="B74" s="4">
        <f t="shared" si="38"/>
        <v>2959.0191006524806</v>
      </c>
      <c r="C74" s="12">
        <f t="shared" si="54"/>
        <v>55</v>
      </c>
      <c r="D74" s="4">
        <f t="shared" si="55"/>
        <v>2515.2439024390242</v>
      </c>
      <c r="E74">
        <f t="shared" si="39"/>
        <v>0.11861823723647448</v>
      </c>
      <c r="F74">
        <f t="shared" si="40"/>
        <v>9.0239389202190143E-3</v>
      </c>
      <c r="G74" s="4">
        <f t="shared" si="41"/>
        <v>366.30624132209016</v>
      </c>
      <c r="H74" s="10">
        <f t="shared" si="64"/>
        <v>20402436.698998854</v>
      </c>
      <c r="I74" s="2">
        <f t="shared" si="12"/>
        <v>20.402436698998855</v>
      </c>
      <c r="J74" s="2">
        <f t="shared" si="42"/>
        <v>1.0680326603663006</v>
      </c>
      <c r="K74" s="4">
        <f t="shared" si="13"/>
        <v>972.09959773596347</v>
      </c>
      <c r="L74" s="4">
        <f t="shared" si="50"/>
        <v>175.63100974121662</v>
      </c>
      <c r="M74" s="161">
        <f t="shared" si="56"/>
        <v>0.26218590358295196</v>
      </c>
      <c r="N74" s="161">
        <f t="shared" si="43"/>
        <v>0.23680493455643881</v>
      </c>
      <c r="O74" s="346">
        <f t="shared" si="44"/>
        <v>0</v>
      </c>
      <c r="P74" s="346">
        <f t="shared" si="45"/>
        <v>0</v>
      </c>
      <c r="Q74" s="347">
        <f t="shared" si="65"/>
        <v>0.76319506544356119</v>
      </c>
      <c r="R74" s="162">
        <f t="shared" si="57"/>
        <v>783.49190587960823</v>
      </c>
      <c r="S74" s="13">
        <f t="shared" si="14"/>
        <v>3.7340309965457074E-4</v>
      </c>
      <c r="T74" s="13">
        <f t="shared" si="15"/>
        <v>2.8091872012057149E-5</v>
      </c>
      <c r="U74" s="13">
        <f t="shared" si="16"/>
        <v>2.9163169699108175E-4</v>
      </c>
      <c r="V74" s="20">
        <f t="shared" si="58"/>
        <v>8.6984930619577634E-3</v>
      </c>
      <c r="W74" s="20">
        <f t="shared" si="17"/>
        <v>3.0910527114276186E-3</v>
      </c>
      <c r="X74" s="20">
        <f t="shared" si="18"/>
        <v>0.9639352769185906</v>
      </c>
      <c r="Y74" s="402">
        <f t="shared" si="19"/>
        <v>0.34253918812568795</v>
      </c>
      <c r="Z74" s="336">
        <f t="shared" si="20"/>
        <v>1.3064744650442786</v>
      </c>
      <c r="AA74" s="65">
        <f t="shared" si="59"/>
        <v>9666.935195049422</v>
      </c>
      <c r="AB74" s="14">
        <f t="shared" si="46"/>
        <v>0</v>
      </c>
      <c r="AC74" s="340">
        <f t="shared" si="60"/>
        <v>1.2630260867296899</v>
      </c>
      <c r="AD74" s="2">
        <f t="shared" si="22"/>
        <v>1</v>
      </c>
      <c r="AE74" s="66">
        <f t="shared" si="23"/>
        <v>1.6465526375249173E-2</v>
      </c>
      <c r="AF74" s="4">
        <f t="shared" si="61"/>
        <v>79.346049149583152</v>
      </c>
      <c r="AG74" s="3">
        <f t="shared" si="62"/>
        <v>1.4814153098595493</v>
      </c>
      <c r="AH74" s="4">
        <f t="shared" si="63"/>
        <v>3464.7973178908878</v>
      </c>
      <c r="AI74" s="349">
        <f t="shared" si="24"/>
        <v>0</v>
      </c>
      <c r="AJ74" s="1">
        <f t="shared" si="25"/>
        <v>4.9118940363710256E-2</v>
      </c>
    </row>
    <row r="75" spans="1:36">
      <c r="A75">
        <f t="shared" si="37"/>
        <v>8400</v>
      </c>
      <c r="B75" s="4">
        <f t="shared" si="38"/>
        <v>2960.4211217105012</v>
      </c>
      <c r="C75" s="12">
        <f t="shared" si="54"/>
        <v>56</v>
      </c>
      <c r="D75" s="4">
        <f t="shared" si="55"/>
        <v>2560.9756097560976</v>
      </c>
      <c r="E75">
        <f t="shared" si="39"/>
        <v>0.11861823723647448</v>
      </c>
      <c r="F75">
        <f t="shared" si="40"/>
        <v>9.0239389202190143E-3</v>
      </c>
      <c r="G75" s="4">
        <f t="shared" si="41"/>
        <v>366.30624132209016</v>
      </c>
      <c r="H75" s="10">
        <f t="shared" si="64"/>
        <v>20412103.634193905</v>
      </c>
      <c r="I75" s="2">
        <f t="shared" si="12"/>
        <v>20.412103634193905</v>
      </c>
      <c r="J75" s="2">
        <f t="shared" si="42"/>
        <v>1.0680955770838469</v>
      </c>
      <c r="K75" s="4">
        <f t="shared" si="13"/>
        <v>972.10400119925362</v>
      </c>
      <c r="L75" s="4">
        <f t="shared" si="50"/>
        <v>175.70387542115051</v>
      </c>
      <c r="M75" s="161">
        <f t="shared" si="56"/>
        <v>0.26210654813133333</v>
      </c>
      <c r="N75" s="161">
        <f t="shared" si="43"/>
        <v>0.23674035492458767</v>
      </c>
      <c r="O75" s="346">
        <f t="shared" si="44"/>
        <v>0</v>
      </c>
      <c r="P75" s="346">
        <f t="shared" si="45"/>
        <v>0</v>
      </c>
      <c r="Q75" s="347">
        <f t="shared" si="65"/>
        <v>0.76325964507541233</v>
      </c>
      <c r="R75" s="162">
        <f t="shared" si="57"/>
        <v>783.56395276055923</v>
      </c>
      <c r="S75" s="13">
        <f t="shared" si="14"/>
        <v>3.7340309965457074E-4</v>
      </c>
      <c r="T75" s="13">
        <f t="shared" si="15"/>
        <v>2.8096965005160124E-5</v>
      </c>
      <c r="U75" s="13">
        <f t="shared" si="16"/>
        <v>2.9165520278003179E-4</v>
      </c>
      <c r="V75" s="20">
        <f t="shared" si="58"/>
        <v>8.6984536592860009E-3</v>
      </c>
      <c r="W75" s="20">
        <f t="shared" si="17"/>
        <v>3.089770829300717E-3</v>
      </c>
      <c r="X75" s="20">
        <f t="shared" si="18"/>
        <v>0.96393091045821111</v>
      </c>
      <c r="Y75" s="402">
        <f t="shared" si="19"/>
        <v>0.34239713462352728</v>
      </c>
      <c r="Z75" s="336">
        <f t="shared" si="20"/>
        <v>1.3063280450817383</v>
      </c>
      <c r="AA75" s="65">
        <f t="shared" si="59"/>
        <v>9665.85197038765</v>
      </c>
      <c r="AB75" s="14">
        <f t="shared" si="46"/>
        <v>0</v>
      </c>
      <c r="AC75" s="340">
        <f t="shared" si="60"/>
        <v>1.2629135009004333</v>
      </c>
      <c r="AD75" s="2">
        <f t="shared" si="22"/>
        <v>1</v>
      </c>
      <c r="AE75" s="66">
        <f t="shared" si="23"/>
        <v>1.6465339423316936E-2</v>
      </c>
      <c r="AF75" s="4">
        <f t="shared" si="61"/>
        <v>79.338057448838128</v>
      </c>
      <c r="AG75" s="3">
        <f t="shared" si="62"/>
        <v>1.481287609519863</v>
      </c>
      <c r="AH75" s="4">
        <f t="shared" si="63"/>
        <v>3464.7973178908878</v>
      </c>
      <c r="AI75" s="349">
        <f t="shared" si="24"/>
        <v>0</v>
      </c>
      <c r="AJ75" s="1">
        <f t="shared" si="25"/>
        <v>4.9118940363710256E-2</v>
      </c>
    </row>
    <row r="76" spans="1:36">
      <c r="A76">
        <f t="shared" si="37"/>
        <v>8549.9999999999982</v>
      </c>
      <c r="B76" s="4">
        <f t="shared" si="38"/>
        <v>2961.8229856655976</v>
      </c>
      <c r="C76" s="12">
        <f t="shared" si="54"/>
        <v>57</v>
      </c>
      <c r="D76" s="4">
        <f t="shared" si="55"/>
        <v>2606.7073170731705</v>
      </c>
      <c r="E76">
        <f t="shared" si="39"/>
        <v>0.11861823723647448</v>
      </c>
      <c r="F76">
        <f t="shared" si="40"/>
        <v>9.0239389202190143E-3</v>
      </c>
      <c r="G76" s="4">
        <f t="shared" si="41"/>
        <v>366.30624132209016</v>
      </c>
      <c r="H76" s="10">
        <f t="shared" si="64"/>
        <v>20421769.486164294</v>
      </c>
      <c r="I76" s="2">
        <f t="shared" si="12"/>
        <v>20.421769486164294</v>
      </c>
      <c r="J76" s="2">
        <f t="shared" si="42"/>
        <v>1.0681585121135981</v>
      </c>
      <c r="K76" s="4">
        <f t="shared" si="13"/>
        <v>972.10840416911537</v>
      </c>
      <c r="L76" s="4">
        <f t="shared" si="50"/>
        <v>175.77672018008136</v>
      </c>
      <c r="M76" s="161">
        <f t="shared" si="56"/>
        <v>0.26202726433695672</v>
      </c>
      <c r="N76" s="161">
        <f t="shared" si="43"/>
        <v>0.2366758336075494</v>
      </c>
      <c r="O76" s="346">
        <f t="shared" si="44"/>
        <v>0</v>
      </c>
      <c r="P76" s="346">
        <f t="shared" si="45"/>
        <v>0</v>
      </c>
      <c r="Q76" s="347">
        <f t="shared" si="65"/>
        <v>0.7633241663924506</v>
      </c>
      <c r="R76" s="162">
        <f t="shared" si="57"/>
        <v>783.63593903290712</v>
      </c>
      <c r="S76" s="13">
        <f t="shared" si="14"/>
        <v>3.7340309965457074E-4</v>
      </c>
      <c r="T76" s="13">
        <f t="shared" si="15"/>
        <v>2.8102059271381341E-5</v>
      </c>
      <c r="U76" s="13">
        <f t="shared" si="16"/>
        <v>2.9167868807632532E-4</v>
      </c>
      <c r="V76" s="20">
        <f t="shared" si="58"/>
        <v>8.6984142613864036E-3</v>
      </c>
      <c r="W76" s="20">
        <f t="shared" si="17"/>
        <v>3.0884903775379273E-3</v>
      </c>
      <c r="X76" s="20">
        <f t="shared" si="18"/>
        <v>0.96392654452666549</v>
      </c>
      <c r="Y76" s="402">
        <f t="shared" si="19"/>
        <v>0.34225523962910076</v>
      </c>
      <c r="Z76" s="336">
        <f t="shared" si="20"/>
        <v>1.3061817841557664</v>
      </c>
      <c r="AA76" s="65">
        <f t="shared" si="59"/>
        <v>9664.7699549767276</v>
      </c>
      <c r="AB76" s="14">
        <f t="shared" si="46"/>
        <v>0</v>
      </c>
      <c r="AC76" s="340">
        <f t="shared" si="60"/>
        <v>1.262801031286986</v>
      </c>
      <c r="AD76" s="2">
        <f t="shared" si="22"/>
        <v>1</v>
      </c>
      <c r="AE76" s="66">
        <f t="shared" si="23"/>
        <v>1.646515262241946E-2</v>
      </c>
      <c r="AF76" s="4">
        <f t="shared" si="61"/>
        <v>79.330074497896177</v>
      </c>
      <c r="AG76" s="3">
        <f t="shared" si="62"/>
        <v>1.4811600926916204</v>
      </c>
      <c r="AH76" s="4">
        <f t="shared" si="63"/>
        <v>3464.7973178908878</v>
      </c>
      <c r="AI76" s="349">
        <f t="shared" si="24"/>
        <v>0</v>
      </c>
      <c r="AJ76" s="1">
        <f t="shared" si="25"/>
        <v>4.9118940363710256E-2</v>
      </c>
    </row>
    <row r="77" spans="1:36">
      <c r="A77">
        <f t="shared" si="37"/>
        <v>8699.9999999999982</v>
      </c>
      <c r="B77" s="4">
        <f t="shared" si="38"/>
        <v>2963.2246926931502</v>
      </c>
      <c r="C77" s="12">
        <f t="shared" si="54"/>
        <v>58</v>
      </c>
      <c r="D77" s="4">
        <f t="shared" si="55"/>
        <v>2652.4390243902435</v>
      </c>
      <c r="E77">
        <f t="shared" si="39"/>
        <v>0.11861823723647448</v>
      </c>
      <c r="F77">
        <f t="shared" si="40"/>
        <v>9.0239389202190143E-3</v>
      </c>
      <c r="G77" s="4">
        <f t="shared" si="41"/>
        <v>366.30624132209016</v>
      </c>
      <c r="H77" s="10">
        <f t="shared" si="64"/>
        <v>20431434.25611927</v>
      </c>
      <c r="I77" s="2">
        <f t="shared" si="12"/>
        <v>20.431434256119271</v>
      </c>
      <c r="J77" s="2">
        <f t="shared" si="42"/>
        <v>1.0682214654496627</v>
      </c>
      <c r="K77" s="4">
        <f t="shared" si="13"/>
        <v>972.11280664609956</v>
      </c>
      <c r="L77" s="4">
        <f t="shared" si="50"/>
        <v>175.84954402933812</v>
      </c>
      <c r="M77" s="161">
        <f t="shared" si="56"/>
        <v>0.26194805210058064</v>
      </c>
      <c r="N77" s="161">
        <f t="shared" si="43"/>
        <v>0.23661137052456116</v>
      </c>
      <c r="O77" s="346">
        <f t="shared" si="44"/>
        <v>0</v>
      </c>
      <c r="P77" s="346">
        <f t="shared" si="45"/>
        <v>0</v>
      </c>
      <c r="Q77" s="347">
        <f t="shared" si="65"/>
        <v>0.76338862947543884</v>
      </c>
      <c r="R77" s="162">
        <f t="shared" si="57"/>
        <v>783.70786477998911</v>
      </c>
      <c r="S77" s="13">
        <f t="shared" si="14"/>
        <v>3.7340309965457074E-4</v>
      </c>
      <c r="T77" s="13">
        <f t="shared" si="15"/>
        <v>2.8107154810738587E-5</v>
      </c>
      <c r="U77" s="13">
        <f t="shared" si="16"/>
        <v>2.9170215290849833E-4</v>
      </c>
      <c r="V77" s="20">
        <f t="shared" si="58"/>
        <v>8.6983748682539167E-3</v>
      </c>
      <c r="W77" s="20">
        <f t="shared" si="17"/>
        <v>3.0872113537057854E-3</v>
      </c>
      <c r="X77" s="402">
        <f t="shared" si="18"/>
        <v>0.96392217912339373</v>
      </c>
      <c r="Y77" s="402">
        <f t="shared" si="19"/>
        <v>0.34211350287274084</v>
      </c>
      <c r="Z77" s="336">
        <f t="shared" si="20"/>
        <v>1.3060356819961345</v>
      </c>
      <c r="AA77" s="65">
        <f t="shared" si="59"/>
        <v>9663.6891467239475</v>
      </c>
      <c r="AB77" s="14">
        <f t="shared" si="46"/>
        <v>0</v>
      </c>
      <c r="AC77" s="340">
        <f t="shared" si="60"/>
        <v>1.2626886776997859</v>
      </c>
      <c r="AD77" s="2">
        <f t="shared" si="22"/>
        <v>1</v>
      </c>
      <c r="AE77" s="66">
        <f t="shared" si="23"/>
        <v>1.6464965972331647E-2</v>
      </c>
      <c r="AF77" s="4">
        <f t="shared" si="61"/>
        <v>79.322100281946916</v>
      </c>
      <c r="AG77" s="3">
        <f t="shared" si="62"/>
        <v>1.4810327590542103</v>
      </c>
      <c r="AH77" s="4">
        <f t="shared" si="63"/>
        <v>3464.7973178908878</v>
      </c>
      <c r="AI77" s="349">
        <f t="shared" si="24"/>
        <v>0</v>
      </c>
      <c r="AJ77" s="1">
        <f t="shared" si="25"/>
        <v>4.9118940363710256E-2</v>
      </c>
    </row>
    <row r="78" spans="1:36">
      <c r="A78">
        <f t="shared" si="37"/>
        <v>8850</v>
      </c>
      <c r="B78" s="4">
        <f t="shared" si="38"/>
        <v>2964.626242968237</v>
      </c>
      <c r="C78" s="12">
        <f t="shared" si="54"/>
        <v>59</v>
      </c>
      <c r="D78" s="4">
        <f t="shared" si="55"/>
        <v>2698.1707317073174</v>
      </c>
      <c r="E78">
        <f t="shared" si="39"/>
        <v>0.11861823723647448</v>
      </c>
      <c r="F78">
        <f t="shared" si="40"/>
        <v>9.0239389202190143E-3</v>
      </c>
      <c r="G78" s="4">
        <f t="shared" si="41"/>
        <v>366.30624132209016</v>
      </c>
      <c r="H78" s="10">
        <f t="shared" si="64"/>
        <v>20441097.945265993</v>
      </c>
      <c r="I78" s="2">
        <f t="shared" si="12"/>
        <v>20.441097945265994</v>
      </c>
      <c r="J78" s="2">
        <f t="shared" si="42"/>
        <v>1.0682844370861511</v>
      </c>
      <c r="K78" s="4">
        <f t="shared" si="13"/>
        <v>972.11720863075629</v>
      </c>
      <c r="L78" s="4">
        <f t="shared" si="50"/>
        <v>175.92234698023279</v>
      </c>
      <c r="M78" s="161">
        <f t="shared" si="56"/>
        <v>0.26186891132315676</v>
      </c>
      <c r="N78" s="161">
        <f t="shared" si="43"/>
        <v>0.23654696559501698</v>
      </c>
      <c r="O78" s="346">
        <f t="shared" si="44"/>
        <v>0</v>
      </c>
      <c r="P78" s="346">
        <f t="shared" si="45"/>
        <v>0</v>
      </c>
      <c r="Q78" s="347">
        <f t="shared" si="65"/>
        <v>0.76345303440498302</v>
      </c>
      <c r="R78" s="162">
        <f t="shared" si="57"/>
        <v>783.77973008498066</v>
      </c>
      <c r="S78" s="13">
        <f t="shared" si="14"/>
        <v>3.7340309965457074E-4</v>
      </c>
      <c r="T78" s="13">
        <f t="shared" si="15"/>
        <v>2.8112251623249575E-5</v>
      </c>
      <c r="U78" s="13">
        <f t="shared" si="16"/>
        <v>2.9172559730503156E-4</v>
      </c>
      <c r="V78" s="20">
        <f t="shared" si="58"/>
        <v>8.6983354798834921E-3</v>
      </c>
      <c r="W78" s="20">
        <f t="shared" si="17"/>
        <v>3.0859337553765039E-3</v>
      </c>
      <c r="X78" s="402">
        <f t="shared" si="18"/>
        <v>0.96391781424783629</v>
      </c>
      <c r="Y78" s="402">
        <f t="shared" si="19"/>
        <v>0.34197192408540894</v>
      </c>
      <c r="Z78" s="336">
        <f t="shared" si="20"/>
        <v>1.3058897383332451</v>
      </c>
      <c r="AA78" s="65">
        <f t="shared" si="59"/>
        <v>9662.6095435415882</v>
      </c>
      <c r="AB78" s="14">
        <f t="shared" si="46"/>
        <v>0</v>
      </c>
      <c r="AC78" s="340">
        <f t="shared" si="60"/>
        <v>1.2625764399496961</v>
      </c>
      <c r="AD78" s="2">
        <f t="shared" si="22"/>
        <v>1</v>
      </c>
      <c r="AE78" s="66">
        <f t="shared" si="23"/>
        <v>1.6464779472828914E-2</v>
      </c>
      <c r="AF78" s="4">
        <f t="shared" si="61"/>
        <v>79.314134786214183</v>
      </c>
      <c r="AG78" s="3">
        <f t="shared" si="62"/>
        <v>1.4809056082877634</v>
      </c>
      <c r="AH78" s="4">
        <f t="shared" si="63"/>
        <v>3464.7973178908878</v>
      </c>
      <c r="AI78" s="349">
        <f t="shared" si="24"/>
        <v>0</v>
      </c>
      <c r="AJ78" s="1">
        <f t="shared" si="25"/>
        <v>4.9118940363710256E-2</v>
      </c>
    </row>
    <row r="79" spans="1:36">
      <c r="A79">
        <f t="shared" si="37"/>
        <v>9000</v>
      </c>
      <c r="B79" s="4">
        <f t="shared" si="38"/>
        <v>2966.0276366656326</v>
      </c>
      <c r="C79" s="12">
        <f t="shared" si="54"/>
        <v>60</v>
      </c>
      <c r="D79" s="4">
        <f t="shared" si="55"/>
        <v>2743.9024390243903</v>
      </c>
      <c r="E79">
        <f t="shared" si="39"/>
        <v>0.11861823723647448</v>
      </c>
      <c r="F79">
        <f t="shared" si="40"/>
        <v>9.0239389202190143E-3</v>
      </c>
      <c r="G79" s="4">
        <f t="shared" si="41"/>
        <v>366.30624132209016</v>
      </c>
      <c r="H79" s="10">
        <f t="shared" si="64"/>
        <v>20450760.554809537</v>
      </c>
      <c r="I79" s="2">
        <f t="shared" si="12"/>
        <v>20.450760554809538</v>
      </c>
      <c r="J79" s="2">
        <f t="shared" si="42"/>
        <v>1.0683474270171789</v>
      </c>
      <c r="K79" s="4">
        <f t="shared" si="13"/>
        <v>972.12161012363413</v>
      </c>
      <c r="L79" s="4">
        <f t="shared" si="50"/>
        <v>175.9951290440595</v>
      </c>
      <c r="M79" s="161">
        <f t="shared" si="56"/>
        <v>0.26178984190582999</v>
      </c>
      <c r="N79" s="161">
        <f t="shared" si="43"/>
        <v>0.23648261873846843</v>
      </c>
      <c r="O79" s="346">
        <f t="shared" si="44"/>
        <v>0</v>
      </c>
      <c r="P79" s="346">
        <f t="shared" si="45"/>
        <v>0</v>
      </c>
      <c r="Q79" s="347">
        <f t="shared" si="65"/>
        <v>0.76351738126153157</v>
      </c>
      <c r="R79" s="162">
        <f t="shared" si="57"/>
        <v>783.85153503089452</v>
      </c>
      <c r="S79" s="13">
        <f t="shared" si="14"/>
        <v>3.7340309965457074E-4</v>
      </c>
      <c r="T79" s="13">
        <f t="shared" si="15"/>
        <v>2.8117349708931889E-5</v>
      </c>
      <c r="U79" s="13">
        <f t="shared" si="16"/>
        <v>2.9174902129435013E-4</v>
      </c>
      <c r="V79" s="20">
        <f t="shared" si="58"/>
        <v>8.6982960962701007E-3</v>
      </c>
      <c r="W79" s="20">
        <f t="shared" si="17"/>
        <v>3.0846575801279684E-3</v>
      </c>
      <c r="X79" s="402">
        <f t="shared" si="18"/>
        <v>0.96391344989943595</v>
      </c>
      <c r="Y79" s="402">
        <f t="shared" si="19"/>
        <v>0.34183050299869522</v>
      </c>
      <c r="Z79" s="336">
        <f t="shared" si="20"/>
        <v>1.3057439528981312</v>
      </c>
      <c r="AA79" s="65">
        <f t="shared" si="59"/>
        <v>9661.5311433468814</v>
      </c>
      <c r="AB79" s="14">
        <f t="shared" si="46"/>
        <v>0</v>
      </c>
      <c r="AC79" s="340">
        <f t="shared" si="60"/>
        <v>1.2624643178480068</v>
      </c>
      <c r="AD79" s="2">
        <f t="shared" si="22"/>
        <v>1</v>
      </c>
      <c r="AE79" s="66">
        <f t="shared" si="23"/>
        <v>1.6464593123687182E-2</v>
      </c>
      <c r="AF79" s="4">
        <f t="shared" si="61"/>
        <v>79.306177995956148</v>
      </c>
      <c r="AG79" s="3">
        <f t="shared" si="62"/>
        <v>1.4807786400731531</v>
      </c>
      <c r="AH79" s="4">
        <f t="shared" si="63"/>
        <v>3464.7973178908878</v>
      </c>
      <c r="AI79" s="349">
        <f t="shared" si="24"/>
        <v>0</v>
      </c>
      <c r="AJ79" s="1">
        <f t="shared" si="25"/>
        <v>4.9118940363710256E-2</v>
      </c>
    </row>
    <row r="80" spans="1:36">
      <c r="A80">
        <f t="shared" si="37"/>
        <v>9149.9999999999982</v>
      </c>
      <c r="B80" s="4">
        <f t="shared" si="38"/>
        <v>2967.4288739598092</v>
      </c>
      <c r="C80" s="12">
        <f t="shared" si="54"/>
        <v>61</v>
      </c>
      <c r="D80" s="4">
        <f t="shared" si="55"/>
        <v>2789.6341463414633</v>
      </c>
      <c r="E80">
        <f t="shared" si="39"/>
        <v>0.11861823723647448</v>
      </c>
      <c r="F80">
        <f t="shared" si="40"/>
        <v>9.0239389202190143E-3</v>
      </c>
      <c r="G80" s="4">
        <f t="shared" si="41"/>
        <v>366.30624132209016</v>
      </c>
      <c r="H80" s="10">
        <f t="shared" si="64"/>
        <v>20460422.085952885</v>
      </c>
      <c r="I80" s="2">
        <f t="shared" si="12"/>
        <v>20.460422085952885</v>
      </c>
      <c r="J80" s="2">
        <f t="shared" si="42"/>
        <v>1.0684104352368642</v>
      </c>
      <c r="K80" s="4">
        <f t="shared" si="13"/>
        <v>972.12601112528114</v>
      </c>
      <c r="L80" s="4">
        <f t="shared" si="50"/>
        <v>176.0678902320951</v>
      </c>
      <c r="M80" s="161">
        <f t="shared" si="56"/>
        <v>0.26171084374993819</v>
      </c>
      <c r="N80" s="161">
        <f t="shared" si="43"/>
        <v>0.23641832987462419</v>
      </c>
      <c r="O80" s="346">
        <f t="shared" si="44"/>
        <v>0</v>
      </c>
      <c r="P80" s="346">
        <f t="shared" si="45"/>
        <v>0</v>
      </c>
      <c r="Q80" s="347">
        <f t="shared" si="65"/>
        <v>0.76358167012537581</v>
      </c>
      <c r="R80" s="162">
        <f t="shared" si="57"/>
        <v>783.9232797005825</v>
      </c>
      <c r="S80" s="13">
        <f t="shared" si="14"/>
        <v>3.7340309965457074E-4</v>
      </c>
      <c r="T80" s="13">
        <f t="shared" si="15"/>
        <v>2.8122449067802996E-5</v>
      </c>
      <c r="U80" s="13">
        <f t="shared" si="16"/>
        <v>2.9177242490482344E-4</v>
      </c>
      <c r="V80" s="20">
        <f t="shared" si="58"/>
        <v>8.6982567174087103E-3</v>
      </c>
      <c r="W80" s="20">
        <f t="shared" si="17"/>
        <v>3.0833828255437154E-3</v>
      </c>
      <c r="X80" s="402">
        <f t="shared" si="18"/>
        <v>0.96390908607763492</v>
      </c>
      <c r="Y80" s="402">
        <f t="shared" si="19"/>
        <v>0.34168923934481604</v>
      </c>
      <c r="Z80" s="336">
        <f t="shared" si="20"/>
        <v>1.305598325422451</v>
      </c>
      <c r="AA80" s="65">
        <f t="shared" si="59"/>
        <v>9660.453944061981</v>
      </c>
      <c r="AB80" s="14">
        <f t="shared" si="46"/>
        <v>0</v>
      </c>
      <c r="AC80" s="340">
        <f t="shared" si="60"/>
        <v>1.2623523112064312</v>
      </c>
      <c r="AD80" s="2">
        <f t="shared" si="22"/>
        <v>1</v>
      </c>
      <c r="AE80" s="66">
        <f t="shared" si="23"/>
        <v>1.6464406924682845E-2</v>
      </c>
      <c r="AF80" s="4">
        <f t="shared" si="61"/>
        <v>79.298229896465031</v>
      </c>
      <c r="AG80" s="3">
        <f t="shared" si="62"/>
        <v>1.4806518540919904</v>
      </c>
      <c r="AH80" s="4">
        <f t="shared" si="63"/>
        <v>3464.7973178908878</v>
      </c>
      <c r="AI80" s="349">
        <f t="shared" si="24"/>
        <v>0</v>
      </c>
      <c r="AJ80" s="1">
        <f t="shared" si="25"/>
        <v>4.9118940363710256E-2</v>
      </c>
    </row>
    <row r="81" spans="1:36">
      <c r="A81">
        <f t="shared" si="37"/>
        <v>9299.9999999999982</v>
      </c>
      <c r="B81" s="4">
        <f t="shared" si="38"/>
        <v>2968.829955024938</v>
      </c>
      <c r="C81" s="12">
        <f t="shared" si="54"/>
        <v>62</v>
      </c>
      <c r="D81" s="4">
        <f t="shared" si="55"/>
        <v>2835.3658536585363</v>
      </c>
      <c r="E81">
        <f t="shared" si="39"/>
        <v>0.11861823723647448</v>
      </c>
      <c r="F81">
        <f t="shared" si="40"/>
        <v>9.0239389202190143E-3</v>
      </c>
      <c r="G81" s="4">
        <f t="shared" si="41"/>
        <v>366.30624132209016</v>
      </c>
      <c r="H81" s="10">
        <f t="shared" si="64"/>
        <v>20470082.539896946</v>
      </c>
      <c r="I81" s="2">
        <f t="shared" si="12"/>
        <v>20.470082539896946</v>
      </c>
      <c r="J81" s="2">
        <f t="shared" si="42"/>
        <v>1.0684734617393283</v>
      </c>
      <c r="K81" s="4">
        <f t="shared" si="13"/>
        <v>972.13041163624462</v>
      </c>
      <c r="L81" s="4">
        <f t="shared" si="50"/>
        <v>176.14063055559916</v>
      </c>
      <c r="M81" s="161">
        <f t="shared" si="56"/>
        <v>0.2616319167570112</v>
      </c>
      <c r="N81" s="161">
        <f t="shared" si="43"/>
        <v>0.23635409892334902</v>
      </c>
      <c r="O81" s="346">
        <f t="shared" si="44"/>
        <v>0</v>
      </c>
      <c r="P81" s="346">
        <f t="shared" si="45"/>
        <v>0</v>
      </c>
      <c r="Q81" s="347">
        <f t="shared" si="65"/>
        <v>0.76364590107665098</v>
      </c>
      <c r="R81" s="162">
        <f t="shared" si="57"/>
        <v>783.99496417673481</v>
      </c>
      <c r="S81" s="13">
        <f t="shared" si="14"/>
        <v>3.7340309965457074E-4</v>
      </c>
      <c r="T81" s="13">
        <f t="shared" si="15"/>
        <v>2.8127549699880267E-5</v>
      </c>
      <c r="U81" s="13">
        <f t="shared" si="16"/>
        <v>2.9179580816476609E-4</v>
      </c>
      <c r="V81" s="20">
        <f t="shared" si="58"/>
        <v>8.6982173432943004E-3</v>
      </c>
      <c r="W81" s="20">
        <f t="shared" si="17"/>
        <v>3.0821094892129128E-3</v>
      </c>
      <c r="X81" s="402">
        <f t="shared" si="18"/>
        <v>0.96390472278187711</v>
      </c>
      <c r="Y81" s="402">
        <f t="shared" si="19"/>
        <v>0.34154813285661167</v>
      </c>
      <c r="Z81" s="336">
        <f t="shared" si="20"/>
        <v>1.3054528556384888</v>
      </c>
      <c r="AA81" s="65">
        <f t="shared" si="59"/>
        <v>9659.3779436139503</v>
      </c>
      <c r="AB81" s="14">
        <f t="shared" si="46"/>
        <v>0</v>
      </c>
      <c r="AC81" s="340">
        <f t="shared" si="60"/>
        <v>1.262240419837106</v>
      </c>
      <c r="AD81" s="2">
        <f t="shared" si="22"/>
        <v>1</v>
      </c>
      <c r="AE81" s="66">
        <f t="shared" si="23"/>
        <v>1.6464220875592829E-2</v>
      </c>
      <c r="AF81" s="4">
        <f t="shared" si="61"/>
        <v>79.290290473066989</v>
      </c>
      <c r="AG81" s="3">
        <f t="shared" si="62"/>
        <v>1.4805252500266239</v>
      </c>
      <c r="AH81" s="4">
        <f t="shared" si="63"/>
        <v>3464.7973178908878</v>
      </c>
      <c r="AI81" s="349">
        <f t="shared" si="24"/>
        <v>0</v>
      </c>
      <c r="AJ81" s="1">
        <f t="shared" si="25"/>
        <v>4.9118940363710256E-2</v>
      </c>
    </row>
    <row r="82" spans="1:36">
      <c r="A82">
        <f t="shared" si="37"/>
        <v>9450</v>
      </c>
      <c r="B82" s="4">
        <f t="shared" si="38"/>
        <v>2970.2308800348887</v>
      </c>
      <c r="C82" s="12">
        <f t="shared" si="54"/>
        <v>63</v>
      </c>
      <c r="D82" s="4">
        <f t="shared" si="55"/>
        <v>2881.0975609756097</v>
      </c>
      <c r="E82">
        <f t="shared" si="39"/>
        <v>0.11861823723647448</v>
      </c>
      <c r="F82">
        <f t="shared" si="40"/>
        <v>9.0239389202190143E-3</v>
      </c>
      <c r="G82" s="4">
        <f t="shared" si="41"/>
        <v>366.30624132209016</v>
      </c>
      <c r="H82" s="10">
        <f t="shared" si="64"/>
        <v>20479741.917840559</v>
      </c>
      <c r="I82" s="2">
        <f t="shared" si="12"/>
        <v>20.47974191784056</v>
      </c>
      <c r="J82" s="2">
        <f t="shared" si="42"/>
        <v>1.0685365065186974</v>
      </c>
      <c r="K82" s="4">
        <f t="shared" si="13"/>
        <v>972.1348116570706</v>
      </c>
      <c r="L82" s="4">
        <f t="shared" si="50"/>
        <v>176.21335002581367</v>
      </c>
      <c r="M82" s="161">
        <f t="shared" si="56"/>
        <v>0.26155306082877078</v>
      </c>
      <c r="N82" s="161">
        <f t="shared" si="43"/>
        <v>0.23628992580466368</v>
      </c>
      <c r="O82" s="346">
        <f t="shared" si="44"/>
        <v>0</v>
      </c>
      <c r="P82" s="346">
        <f t="shared" si="45"/>
        <v>0</v>
      </c>
      <c r="Q82" s="347">
        <f t="shared" si="65"/>
        <v>0.76371007419533632</v>
      </c>
      <c r="R82" s="162">
        <f t="shared" si="57"/>
        <v>784.0665885418814</v>
      </c>
      <c r="S82" s="13">
        <f t="shared" si="14"/>
        <v>3.7340309965457074E-4</v>
      </c>
      <c r="T82" s="13">
        <f t="shared" si="15"/>
        <v>2.813265160518095E-5</v>
      </c>
      <c r="U82" s="13">
        <f t="shared" si="16"/>
        <v>2.9181917110243741E-4</v>
      </c>
      <c r="V82" s="20">
        <f t="shared" si="58"/>
        <v>8.6981779739218629E-3</v>
      </c>
      <c r="W82" s="20">
        <f t="shared" si="17"/>
        <v>3.0808375687303509E-3</v>
      </c>
      <c r="X82" s="402">
        <f t="shared" si="18"/>
        <v>0.96390036001160728</v>
      </c>
      <c r="Y82" s="402">
        <f t="shared" si="19"/>
        <v>0.34140718326754566</v>
      </c>
      <c r="Z82" s="336">
        <f t="shared" si="20"/>
        <v>1.305307543279153</v>
      </c>
      <c r="AA82" s="65">
        <f t="shared" si="59"/>
        <v>9658.3031399347801</v>
      </c>
      <c r="AB82" s="14">
        <f t="shared" si="46"/>
        <v>0</v>
      </c>
      <c r="AC82" s="340">
        <f t="shared" si="60"/>
        <v>1.2621286435525894</v>
      </c>
      <c r="AD82" s="2">
        <f t="shared" si="22"/>
        <v>1</v>
      </c>
      <c r="AE82" s="66">
        <f t="shared" si="23"/>
        <v>1.6464034976194527E-2</v>
      </c>
      <c r="AF82" s="4">
        <f t="shared" si="61"/>
        <v>79.282359711122282</v>
      </c>
      <c r="AG82" s="3">
        <f t="shared" si="62"/>
        <v>1.4803988275601367</v>
      </c>
      <c r="AH82" s="4">
        <f t="shared" si="63"/>
        <v>3464.7973178908878</v>
      </c>
      <c r="AI82" s="349">
        <f t="shared" si="24"/>
        <v>0</v>
      </c>
      <c r="AJ82" s="1">
        <f t="shared" si="25"/>
        <v>4.9118940363710256E-2</v>
      </c>
    </row>
    <row r="83" spans="1:36">
      <c r="A83">
        <f t="shared" si="37"/>
        <v>9599.9999999999982</v>
      </c>
      <c r="B83" s="4">
        <f t="shared" si="38"/>
        <v>2971.6316491632338</v>
      </c>
      <c r="C83" s="12">
        <f t="shared" si="54"/>
        <v>64</v>
      </c>
      <c r="D83" s="4">
        <f t="shared" ref="D83:D119" si="66">i*L/N</f>
        <v>2926.8292682926826</v>
      </c>
      <c r="E83">
        <f t="shared" si="39"/>
        <v>0.11861823723647448</v>
      </c>
      <c r="F83">
        <f t="shared" si="40"/>
        <v>9.0239389202190143E-3</v>
      </c>
      <c r="G83" s="4">
        <f t="shared" si="41"/>
        <v>366.30624132209016</v>
      </c>
      <c r="H83" s="10">
        <f t="shared" si="64"/>
        <v>20489400.220980495</v>
      </c>
      <c r="I83" s="2">
        <f t="shared" si="12"/>
        <v>20.489400220980496</v>
      </c>
      <c r="J83" s="2">
        <f t="shared" si="42"/>
        <v>1.0685995695690995</v>
      </c>
      <c r="K83" s="4">
        <f t="shared" si="13"/>
        <v>972.13921118830388</v>
      </c>
      <c r="L83" s="4">
        <f t="shared" si="50"/>
        <v>176.28604865396369</v>
      </c>
      <c r="M83" s="161">
        <f t="shared" ref="M83:M119" si="67">mg/rhoi/(mg/rhoi+(mw-ml)/rhow)</f>
        <v>0.26147427586712935</v>
      </c>
      <c r="N83" s="161">
        <f t="shared" si="43"/>
        <v>0.23622581043874458</v>
      </c>
      <c r="O83" s="346">
        <f t="shared" si="44"/>
        <v>0</v>
      </c>
      <c r="P83" s="346">
        <f t="shared" si="45"/>
        <v>0</v>
      </c>
      <c r="Q83" s="347">
        <f t="shared" si="65"/>
        <v>0.76377418956125542</v>
      </c>
      <c r="R83" s="162">
        <f t="shared" ref="R83:R119" si="68">fL*rhow+(1-fL)*rhoi</f>
        <v>784.13815287839145</v>
      </c>
      <c r="S83" s="13">
        <f t="shared" si="14"/>
        <v>3.7340309965457074E-4</v>
      </c>
      <c r="T83" s="13">
        <f t="shared" si="15"/>
        <v>2.8137754783722186E-5</v>
      </c>
      <c r="U83" s="13">
        <f t="shared" si="16"/>
        <v>2.9184251374604191E-4</v>
      </c>
      <c r="V83" s="20">
        <f t="shared" ref="V83:V119" si="69">(mw-ml)/rhow</f>
        <v>8.6981386092864002E-3</v>
      </c>
      <c r="W83" s="20">
        <f t="shared" si="17"/>
        <v>3.0795670616964141E-3</v>
      </c>
      <c r="X83" s="402">
        <f t="shared" si="18"/>
        <v>0.96389599776627177</v>
      </c>
      <c r="Y83" s="402">
        <f t="shared" si="19"/>
        <v>0.34126639031170125</v>
      </c>
      <c r="Z83" s="336">
        <f t="shared" si="20"/>
        <v>1.305162388077973</v>
      </c>
      <c r="AA83" s="65">
        <f t="shared" ref="AA83:AA119" si="70">0.1275*(L/N)*rho^0.8*va^1.8*mu^0.2/((dci-dto)^1.2)</f>
        <v>9657.2295309613382</v>
      </c>
      <c r="AB83" s="14">
        <f t="shared" si="46"/>
        <v>0</v>
      </c>
      <c r="AC83" s="340">
        <f t="shared" ref="AC83:AC119" si="71">IF(MD&gt;TVD,X83/Q83,1000)</f>
        <v>1.2620169821658609</v>
      </c>
      <c r="AD83" s="2">
        <f t="shared" si="22"/>
        <v>1</v>
      </c>
      <c r="AE83" s="66">
        <f t="shared" si="23"/>
        <v>1.6463849226265849E-2</v>
      </c>
      <c r="AF83" s="4">
        <f t="shared" ref="AF83:AF114" si="72">Z83/AE83</f>
        <v>79.274437596024782</v>
      </c>
      <c r="AG83" s="3">
        <f t="shared" ref="AG83:AG119" si="73">SQRT(K83*AC83^2/(9.8*Q83*dci*(K83-L83)))</f>
        <v>1.4802725863763442</v>
      </c>
      <c r="AH83" s="4">
        <f t="shared" si="63"/>
        <v>3464.7973178908878</v>
      </c>
      <c r="AI83" s="349">
        <f t="shared" si="24"/>
        <v>0</v>
      </c>
      <c r="AJ83" s="1">
        <f t="shared" si="25"/>
        <v>4.9118940363710256E-2</v>
      </c>
    </row>
    <row r="84" spans="1:36">
      <c r="A84">
        <f t="shared" ref="A84:A149" si="74">D84*3.28</f>
        <v>9750</v>
      </c>
      <c r="B84" s="4">
        <f t="shared" ref="B84:B149" si="75">H84/6895</f>
        <v>2973.0322625832423</v>
      </c>
      <c r="C84" s="12">
        <f t="shared" si="54"/>
        <v>65</v>
      </c>
      <c r="D84" s="4">
        <f t="shared" si="66"/>
        <v>2972.560975609756</v>
      </c>
      <c r="E84">
        <f t="shared" ref="E84:E119" si="76">IF(MD&lt;TVD,dcase,dhor)</f>
        <v>0.11861823723647448</v>
      </c>
      <c r="F84">
        <f t="shared" ref="F84:F119" si="77">0.25*PI()*(E84^2-dto^2)</f>
        <v>9.0239389202190143E-3</v>
      </c>
      <c r="G84" s="4">
        <f t="shared" ref="G84:G119" si="78">T0+MIN(D84,TVD)*dT</f>
        <v>366.30624132209016</v>
      </c>
      <c r="H84" s="10">
        <f t="shared" ref="H84:H118" si="79">H83+AA83+AB83</f>
        <v>20499057.450511456</v>
      </c>
      <c r="I84" s="2">
        <f t="shared" ref="I84:I149" si="80">Pi/1000000</f>
        <v>20.499057450511454</v>
      </c>
      <c r="J84" s="2">
        <f t="shared" ref="J84:J119" si="81">1+BB*H84+CCC*H84^2+DD*H84^3</f>
        <v>1.0686626508846675</v>
      </c>
      <c r="K84" s="4">
        <f t="shared" ref="K84:K149" si="82">(-0.002516*(T-273)^2-0.1853*(T-273)+1002)*(1+Pi/1000000*(0.00000002*(T-273)^2-0.00000224*(T-273)+0.000508))*(1+Cbrine)</f>
        <v>972.143610230489</v>
      </c>
      <c r="L84" s="4">
        <f t="shared" si="50"/>
        <v>176.35872645125673</v>
      </c>
      <c r="M84" s="161">
        <f t="shared" si="67"/>
        <v>0.26139556177419071</v>
      </c>
      <c r="N84" s="161">
        <f t="shared" ref="N84:N119" si="83">1-Q84</f>
        <v>0.23616175274592344</v>
      </c>
      <c r="O84" s="346">
        <f t="shared" ref="O84:O119" si="84">IF(D84&lt;TVD,1.53*((9.8*(0.17-0.00033*T)*(rhow-rhoi)/rhow^2))^0.25,0)</f>
        <v>0</v>
      </c>
      <c r="P84" s="346">
        <f t="shared" ref="P84:P119" si="85">IF(D84&lt;TVD,0.35*SQRT(9.8*dci*(rhow-rhoi)/rhow),0)</f>
        <v>0</v>
      </c>
      <c r="Q84" s="347">
        <f t="shared" ref="Q84:Q115" si="86">IF(N83&lt;0.25,(1-Y84/(1.2*Z84+O84))/1.024,(1-Y84/(1.15*Z84+P84))/1.07)</f>
        <v>0.76383824725407656</v>
      </c>
      <c r="R84" s="162">
        <f t="shared" si="68"/>
        <v>784.20965726847453</v>
      </c>
      <c r="S84" s="13">
        <f t="shared" ref="S84:S118" si="87">0.001*(83080000000*T^-4.4259)</f>
        <v>3.7340309965457074E-4</v>
      </c>
      <c r="T84" s="13">
        <f t="shared" ref="T84:T149" si="88">0.001*(0.0167214+0.0000392728*(T-273)+0.000000122474*(T-273)^2+0.000000856087*(Pi*0.000145)+0.000000000469295*(Pi*0.000145)^2)</f>
        <v>2.8142859235521013E-5</v>
      </c>
      <c r="U84" s="13">
        <f t="shared" ref="U84:U121" si="89">(1-fL)*mug+fL*muw</f>
        <v>2.9186583612372905E-4</v>
      </c>
      <c r="V84" s="20">
        <f t="shared" si="69"/>
        <v>8.6980992493829127E-3</v>
      </c>
      <c r="W84" s="20">
        <f t="shared" ref="W84:W149" si="90">mg/rhoi</f>
        <v>3.0782979657170773E-3</v>
      </c>
      <c r="X84" s="402">
        <f t="shared" ref="X84:X119" si="91">Qw/Aa</f>
        <v>0.96389163604531647</v>
      </c>
      <c r="Y84" s="402">
        <f t="shared" ref="Y84:Y119" si="92">Qn/Aa</f>
        <v>0.3411257537237814</v>
      </c>
      <c r="Z84" s="336">
        <f t="shared" ref="Z84:Z119" si="93">(Qw+Qn)/Aa</f>
        <v>1.305017389769098</v>
      </c>
      <c r="AA84" s="65">
        <f t="shared" si="70"/>
        <v>9656.1571146353817</v>
      </c>
      <c r="AB84" s="14">
        <f t="shared" ref="AB84:AB119" si="94">IF(D84&lt;TVD,rho*g*L/N,0)</f>
        <v>0</v>
      </c>
      <c r="AC84" s="340">
        <f t="shared" si="71"/>
        <v>1.2619054354903176</v>
      </c>
      <c r="AD84" s="2">
        <f t="shared" ref="AD84:AD119" si="95">IF(MD&lt;TVD,1-1.8*SQRT(g*DP*(rhorock-rho)/rho)/va,1)</f>
        <v>1</v>
      </c>
      <c r="AE84" s="66">
        <f t="shared" ref="AE84:AE119" si="96">3000*mu/(dci-dto)/rho</f>
        <v>1.6463663625585184E-2</v>
      </c>
      <c r="AF84" s="4">
        <f t="shared" si="72"/>
        <v>79.266524113202195</v>
      </c>
      <c r="AG84" s="3">
        <f t="shared" si="73"/>
        <v>1.480146526159791</v>
      </c>
      <c r="AH84" s="4">
        <f t="shared" ref="AH84:AH117" si="97">9.8*0.001*MIN(D84,TVD)*145</f>
        <v>3464.7973178908878</v>
      </c>
      <c r="AI84" s="349">
        <f t="shared" ref="AI84:AI119" si="98">IF(vsg&gt;20*((9.8*(0.17-0.00033*T)*(rhow-rhoi)/rhoi^2))^0.25,1,0)</f>
        <v>0</v>
      </c>
      <c r="AJ84" s="1">
        <f t="shared" ref="AJ84:AJ119" si="99">0.17-0.00033*T</f>
        <v>4.9118940363710256E-2</v>
      </c>
    </row>
    <row r="85" spans="1:36">
      <c r="A85">
        <f t="shared" si="74"/>
        <v>9900</v>
      </c>
      <c r="B85" s="4">
        <f t="shared" si="75"/>
        <v>2974.4327204678884</v>
      </c>
      <c r="C85" s="12">
        <f t="shared" si="54"/>
        <v>66</v>
      </c>
      <c r="D85" s="4">
        <f t="shared" si="66"/>
        <v>3018.2926829268295</v>
      </c>
      <c r="E85">
        <f t="shared" si="76"/>
        <v>0.11861823723647448</v>
      </c>
      <c r="F85">
        <f t="shared" si="77"/>
        <v>9.0239389202190143E-3</v>
      </c>
      <c r="G85" s="4">
        <f t="shared" si="78"/>
        <v>366.30624132209016</v>
      </c>
      <c r="H85" s="10">
        <f t="shared" si="79"/>
        <v>20508713.607626092</v>
      </c>
      <c r="I85" s="2">
        <f t="shared" si="80"/>
        <v>20.508713607626092</v>
      </c>
      <c r="J85" s="2">
        <f t="shared" si="81"/>
        <v>1.0687257504595369</v>
      </c>
      <c r="K85" s="4">
        <f t="shared" si="82"/>
        <v>972.14800878416941</v>
      </c>
      <c r="L85" s="4">
        <f t="shared" ref="L85:L150" si="100">Pi/(Z*Rgas*T)</f>
        <v>176.43138342888324</v>
      </c>
      <c r="M85" s="161">
        <f t="shared" si="67"/>
        <v>0.26131691845224864</v>
      </c>
      <c r="N85" s="161">
        <f t="shared" si="83"/>
        <v>0.23609775264668675</v>
      </c>
      <c r="O85" s="346">
        <f t="shared" si="84"/>
        <v>0</v>
      </c>
      <c r="P85" s="346">
        <f t="shared" si="85"/>
        <v>0</v>
      </c>
      <c r="Q85" s="347">
        <f t="shared" si="86"/>
        <v>0.76390224735331325</v>
      </c>
      <c r="R85" s="162">
        <f t="shared" si="68"/>
        <v>784.2811017941807</v>
      </c>
      <c r="S85" s="13">
        <f t="shared" si="87"/>
        <v>3.7340309965457074E-4</v>
      </c>
      <c r="T85" s="13">
        <f t="shared" si="88"/>
        <v>2.8147964960594347E-5</v>
      </c>
      <c r="U85" s="13">
        <f t="shared" si="89"/>
        <v>2.9188913826359381E-4</v>
      </c>
      <c r="V85" s="20">
        <f t="shared" si="69"/>
        <v>8.6980598942064166E-3</v>
      </c>
      <c r="W85" s="20">
        <f t="shared" si="90"/>
        <v>3.0770302784038791E-3</v>
      </c>
      <c r="X85" s="402">
        <f t="shared" si="91"/>
        <v>0.96388727484818915</v>
      </c>
      <c r="Y85" s="402">
        <f t="shared" si="92"/>
        <v>0.34098527323910549</v>
      </c>
      <c r="Z85" s="336">
        <f t="shared" si="93"/>
        <v>1.3048725480872947</v>
      </c>
      <c r="AA85" s="65">
        <f t="shared" si="70"/>
        <v>9655.0858889035062</v>
      </c>
      <c r="AB85" s="14">
        <f t="shared" si="94"/>
        <v>0</v>
      </c>
      <c r="AC85" s="340">
        <f t="shared" si="71"/>
        <v>1.2617940033397763</v>
      </c>
      <c r="AD85" s="2">
        <f t="shared" si="95"/>
        <v>1</v>
      </c>
      <c r="AE85" s="66">
        <f t="shared" si="96"/>
        <v>1.6463478173931421E-2</v>
      </c>
      <c r="AF85" s="4">
        <f t="shared" si="72"/>
        <v>79.258619248115764</v>
      </c>
      <c r="AG85" s="3">
        <f t="shared" si="73"/>
        <v>1.4800206465957511</v>
      </c>
      <c r="AH85" s="4">
        <f t="shared" si="97"/>
        <v>3464.7973178908878</v>
      </c>
      <c r="AI85" s="349">
        <f t="shared" si="98"/>
        <v>0</v>
      </c>
      <c r="AJ85" s="1">
        <f t="shared" si="99"/>
        <v>4.9118940363710256E-2</v>
      </c>
    </row>
    <row r="86" spans="1:36">
      <c r="A86">
        <f t="shared" si="74"/>
        <v>10050</v>
      </c>
      <c r="B86" s="4">
        <f t="shared" si="75"/>
        <v>2975.833022989847</v>
      </c>
      <c r="C86" s="12">
        <f t="shared" si="54"/>
        <v>67</v>
      </c>
      <c r="D86" s="4">
        <f t="shared" si="66"/>
        <v>3064.0243902439024</v>
      </c>
      <c r="E86">
        <f t="shared" si="76"/>
        <v>0.11861823723647448</v>
      </c>
      <c r="F86">
        <f t="shared" si="77"/>
        <v>9.0239389202190143E-3</v>
      </c>
      <c r="G86" s="4">
        <f t="shared" si="78"/>
        <v>366.30624132209016</v>
      </c>
      <c r="H86" s="10">
        <f t="shared" si="79"/>
        <v>20518368.693514995</v>
      </c>
      <c r="I86" s="2">
        <f t="shared" si="80"/>
        <v>20.518368693514994</v>
      </c>
      <c r="J86" s="2">
        <f t="shared" si="81"/>
        <v>1.0687888682878468</v>
      </c>
      <c r="K86" s="4">
        <f t="shared" si="82"/>
        <v>972.15240684988692</v>
      </c>
      <c r="L86" s="4">
        <f t="shared" si="100"/>
        <v>176.50401959801655</v>
      </c>
      <c r="M86" s="161">
        <f t="shared" si="67"/>
        <v>0.26123834580378641</v>
      </c>
      <c r="N86" s="161">
        <f t="shared" si="83"/>
        <v>0.23603381006167512</v>
      </c>
      <c r="O86" s="346">
        <f t="shared" si="84"/>
        <v>0</v>
      </c>
      <c r="P86" s="346">
        <f t="shared" si="85"/>
        <v>0</v>
      </c>
      <c r="Q86" s="347">
        <f t="shared" si="86"/>
        <v>0.76396618993832488</v>
      </c>
      <c r="R86" s="162">
        <f t="shared" si="68"/>
        <v>784.35248653740086</v>
      </c>
      <c r="S86" s="13">
        <f t="shared" si="87"/>
        <v>3.7340309965457074E-4</v>
      </c>
      <c r="T86" s="13">
        <f t="shared" si="88"/>
        <v>2.8153071958959004E-5</v>
      </c>
      <c r="U86" s="13">
        <f t="shared" si="89"/>
        <v>2.9191242019367664E-4</v>
      </c>
      <c r="V86" s="20">
        <f t="shared" si="69"/>
        <v>8.6980205437519401E-3</v>
      </c>
      <c r="W86" s="20">
        <f t="shared" si="90"/>
        <v>3.0757639973739087E-3</v>
      </c>
      <c r="X86" s="402">
        <f t="shared" si="91"/>
        <v>0.9638829141743388</v>
      </c>
      <c r="Y86" s="402">
        <f t="shared" si="92"/>
        <v>0.34084494859360803</v>
      </c>
      <c r="Z86" s="336">
        <f t="shared" si="93"/>
        <v>1.3047278627679468</v>
      </c>
      <c r="AA86" s="65">
        <f t="shared" si="70"/>
        <v>9654.0158517171803</v>
      </c>
      <c r="AB86" s="14">
        <f t="shared" si="94"/>
        <v>0</v>
      </c>
      <c r="AC86" s="340">
        <f t="shared" si="71"/>
        <v>1.2616826855284697</v>
      </c>
      <c r="AD86" s="2">
        <f t="shared" si="95"/>
        <v>1</v>
      </c>
      <c r="AE86" s="66">
        <f t="shared" si="96"/>
        <v>1.6463292871083932E-2</v>
      </c>
      <c r="AF86" s="4">
        <f t="shared" si="72"/>
        <v>79.250722986260314</v>
      </c>
      <c r="AG86" s="3">
        <f t="shared" si="73"/>
        <v>1.479894947370223</v>
      </c>
      <c r="AH86" s="4">
        <f t="shared" si="97"/>
        <v>3464.7973178908878</v>
      </c>
      <c r="AI86" s="349">
        <f t="shared" si="98"/>
        <v>0</v>
      </c>
      <c r="AJ86" s="1">
        <f t="shared" si="99"/>
        <v>4.9118940363710256E-2</v>
      </c>
    </row>
    <row r="87" spans="1:36">
      <c r="A87">
        <f t="shared" si="74"/>
        <v>10199.999999999998</v>
      </c>
      <c r="B87" s="4">
        <f t="shared" si="75"/>
        <v>2977.2331703214959</v>
      </c>
      <c r="C87" s="12">
        <f t="shared" si="54"/>
        <v>68</v>
      </c>
      <c r="D87" s="4">
        <f t="shared" si="66"/>
        <v>3109.7560975609754</v>
      </c>
      <c r="E87">
        <f t="shared" si="76"/>
        <v>0.11861823723647448</v>
      </c>
      <c r="F87">
        <f t="shared" si="77"/>
        <v>9.0239389202190143E-3</v>
      </c>
      <c r="G87" s="4">
        <f t="shared" si="78"/>
        <v>366.30624132209016</v>
      </c>
      <c r="H87" s="10">
        <f t="shared" si="79"/>
        <v>20528022.709366713</v>
      </c>
      <c r="I87" s="2">
        <f t="shared" si="80"/>
        <v>20.528022709366713</v>
      </c>
      <c r="J87" s="2">
        <f t="shared" si="81"/>
        <v>1.0688520043637406</v>
      </c>
      <c r="K87" s="4">
        <f t="shared" si="82"/>
        <v>972.15680442818314</v>
      </c>
      <c r="L87" s="4">
        <f t="shared" si="100"/>
        <v>176.57663496981277</v>
      </c>
      <c r="M87" s="161">
        <f t="shared" si="67"/>
        <v>0.26115984373147677</v>
      </c>
      <c r="N87" s="161">
        <f t="shared" si="83"/>
        <v>0.23596992491168367</v>
      </c>
      <c r="O87" s="346">
        <f t="shared" si="84"/>
        <v>0</v>
      </c>
      <c r="P87" s="346">
        <f t="shared" si="85"/>
        <v>0</v>
      </c>
      <c r="Q87" s="347">
        <f t="shared" si="86"/>
        <v>0.76403007508831633</v>
      </c>
      <c r="R87" s="162">
        <f t="shared" si="68"/>
        <v>784.42381157986688</v>
      </c>
      <c r="S87" s="13">
        <f t="shared" si="87"/>
        <v>3.7340309965457074E-4</v>
      </c>
      <c r="T87" s="13">
        <f t="shared" si="88"/>
        <v>2.8158180230631696E-5</v>
      </c>
      <c r="U87" s="13">
        <f t="shared" si="89"/>
        <v>2.9193568194196357E-4</v>
      </c>
      <c r="V87" s="20">
        <f t="shared" si="69"/>
        <v>8.697981198014515E-3</v>
      </c>
      <c r="W87" s="20">
        <f t="shared" si="90"/>
        <v>3.0744991202497924E-3</v>
      </c>
      <c r="X87" s="402">
        <f t="shared" si="91"/>
        <v>0.96387855402321498</v>
      </c>
      <c r="Y87" s="402">
        <f t="shared" si="92"/>
        <v>0.34070477952383715</v>
      </c>
      <c r="Z87" s="336">
        <f t="shared" si="93"/>
        <v>1.304583333547052</v>
      </c>
      <c r="AA87" s="65">
        <f t="shared" si="70"/>
        <v>9652.9470010326677</v>
      </c>
      <c r="AB87" s="14">
        <f t="shared" si="94"/>
        <v>0</v>
      </c>
      <c r="AC87" s="340">
        <f t="shared" si="71"/>
        <v>1.2615714818710475</v>
      </c>
      <c r="AD87" s="2">
        <f t="shared" si="95"/>
        <v>1</v>
      </c>
      <c r="AE87" s="66">
        <f t="shared" si="96"/>
        <v>1.6463107716822589E-2</v>
      </c>
      <c r="AF87" s="4">
        <f t="shared" si="72"/>
        <v>79.242835313164022</v>
      </c>
      <c r="AG87" s="3">
        <f t="shared" si="73"/>
        <v>1.4797694281699307</v>
      </c>
      <c r="AH87" s="4">
        <f t="shared" si="97"/>
        <v>3464.7973178908878</v>
      </c>
      <c r="AI87" s="349">
        <f t="shared" si="98"/>
        <v>0</v>
      </c>
      <c r="AJ87" s="1">
        <f t="shared" si="99"/>
        <v>4.9118940363710256E-2</v>
      </c>
    </row>
    <row r="88" spans="1:36">
      <c r="A88">
        <f t="shared" si="74"/>
        <v>10349.999999999998</v>
      </c>
      <c r="B88" s="4">
        <f t="shared" si="75"/>
        <v>2978.6331626349161</v>
      </c>
      <c r="C88" s="12">
        <f t="shared" si="54"/>
        <v>69</v>
      </c>
      <c r="D88" s="4">
        <f t="shared" si="66"/>
        <v>3155.4878048780483</v>
      </c>
      <c r="E88">
        <f t="shared" si="76"/>
        <v>0.11861823723647448</v>
      </c>
      <c r="F88">
        <f t="shared" si="77"/>
        <v>9.0239389202190143E-3</v>
      </c>
      <c r="G88" s="4">
        <f t="shared" si="78"/>
        <v>366.30624132209016</v>
      </c>
      <c r="H88" s="10">
        <f t="shared" si="79"/>
        <v>20537675.656367745</v>
      </c>
      <c r="I88" s="2">
        <f t="shared" si="80"/>
        <v>20.537675656367746</v>
      </c>
      <c r="J88" s="2">
        <f t="shared" si="81"/>
        <v>1.0689151586813639</v>
      </c>
      <c r="K88" s="4">
        <f t="shared" si="82"/>
        <v>972.16120151959876</v>
      </c>
      <c r="L88" s="4">
        <f t="shared" si="100"/>
        <v>176.6492295554111</v>
      </c>
      <c r="M88" s="161">
        <f t="shared" si="67"/>
        <v>0.26108141213818131</v>
      </c>
      <c r="N88" s="161">
        <f t="shared" si="83"/>
        <v>0.23590609711766064</v>
      </c>
      <c r="O88" s="346">
        <f t="shared" si="84"/>
        <v>0</v>
      </c>
      <c r="P88" s="346">
        <f t="shared" si="85"/>
        <v>0</v>
      </c>
      <c r="Q88" s="347">
        <f t="shared" si="86"/>
        <v>0.76409390288233936</v>
      </c>
      <c r="R88" s="162">
        <f t="shared" si="68"/>
        <v>784.49507700315337</v>
      </c>
      <c r="S88" s="13">
        <f t="shared" si="87"/>
        <v>3.7340309965457074E-4</v>
      </c>
      <c r="T88" s="13">
        <f t="shared" si="88"/>
        <v>2.816328977562901E-5</v>
      </c>
      <c r="U88" s="13">
        <f t="shared" si="89"/>
        <v>2.919589235363864E-4</v>
      </c>
      <c r="V88" s="20">
        <f t="shared" si="69"/>
        <v>8.69794185698918E-3</v>
      </c>
      <c r="W88" s="20">
        <f t="shared" si="90"/>
        <v>3.0732356446596712E-3</v>
      </c>
      <c r="X88" s="402">
        <f t="shared" si="91"/>
        <v>0.96387419439426769</v>
      </c>
      <c r="Y88" s="402">
        <f t="shared" si="92"/>
        <v>0.3405647657669521</v>
      </c>
      <c r="Z88" s="336">
        <f t="shared" si="93"/>
        <v>1.3044389601612199</v>
      </c>
      <c r="AA88" s="65">
        <f t="shared" si="70"/>
        <v>9651.879334811103</v>
      </c>
      <c r="AB88" s="14">
        <f t="shared" si="94"/>
        <v>0</v>
      </c>
      <c r="AC88" s="340">
        <f t="shared" si="71"/>
        <v>1.2614603921825718</v>
      </c>
      <c r="AD88" s="2">
        <f t="shared" si="95"/>
        <v>1</v>
      </c>
      <c r="AE88" s="66">
        <f t="shared" si="96"/>
        <v>1.6462922710927735E-2</v>
      </c>
      <c r="AF88" s="4">
        <f t="shared" si="72"/>
        <v>79.234956214388419</v>
      </c>
      <c r="AG88" s="3">
        <f t="shared" si="73"/>
        <v>1.4796440886823179</v>
      </c>
      <c r="AH88" s="4">
        <f t="shared" si="97"/>
        <v>3464.7973178908878</v>
      </c>
      <c r="AI88" s="349">
        <f t="shared" si="98"/>
        <v>0</v>
      </c>
      <c r="AJ88" s="1">
        <f t="shared" si="99"/>
        <v>4.9118940363710256E-2</v>
      </c>
    </row>
    <row r="89" spans="1:36">
      <c r="A89">
        <f t="shared" si="74"/>
        <v>10500</v>
      </c>
      <c r="B89" s="4">
        <f t="shared" si="75"/>
        <v>2980.0330001018938</v>
      </c>
      <c r="C89" s="12">
        <f t="shared" si="54"/>
        <v>70</v>
      </c>
      <c r="D89" s="4">
        <f t="shared" si="66"/>
        <v>3201.2195121951222</v>
      </c>
      <c r="E89">
        <f t="shared" si="76"/>
        <v>0.11861823723647448</v>
      </c>
      <c r="F89">
        <f t="shared" si="77"/>
        <v>9.0239389202190143E-3</v>
      </c>
      <c r="G89" s="4">
        <f t="shared" si="78"/>
        <v>366.30624132209016</v>
      </c>
      <c r="H89" s="10">
        <f t="shared" si="79"/>
        <v>20547327.535702556</v>
      </c>
      <c r="I89" s="2">
        <f t="shared" si="80"/>
        <v>20.547327535702557</v>
      </c>
      <c r="J89" s="2">
        <f t="shared" si="81"/>
        <v>1.0689783312348666</v>
      </c>
      <c r="K89" s="4">
        <f t="shared" si="82"/>
        <v>972.16559812467301</v>
      </c>
      <c r="L89" s="4">
        <f t="shared" si="100"/>
        <v>176.72180336593354</v>
      </c>
      <c r="M89" s="161">
        <f t="shared" si="67"/>
        <v>0.26100305092694992</v>
      </c>
      <c r="N89" s="161">
        <f t="shared" si="83"/>
        <v>0.23584232660070792</v>
      </c>
      <c r="O89" s="346">
        <f t="shared" si="84"/>
        <v>0</v>
      </c>
      <c r="P89" s="346">
        <f t="shared" si="85"/>
        <v>0</v>
      </c>
      <c r="Q89" s="347">
        <f t="shared" si="86"/>
        <v>0.76415767339929208</v>
      </c>
      <c r="R89" s="162">
        <f t="shared" si="68"/>
        <v>784.56628288867591</v>
      </c>
      <c r="S89" s="13">
        <f t="shared" si="87"/>
        <v>3.7340309965457074E-4</v>
      </c>
      <c r="T89" s="13">
        <f t="shared" si="88"/>
        <v>2.8168400593967434E-5</v>
      </c>
      <c r="U89" s="13">
        <f t="shared" si="89"/>
        <v>2.919821450048228E-4</v>
      </c>
      <c r="V89" s="20">
        <f t="shared" si="69"/>
        <v>8.6979025206709859E-3</v>
      </c>
      <c r="W89" s="20">
        <f t="shared" si="90"/>
        <v>3.0719735682371912E-3</v>
      </c>
      <c r="X89" s="402">
        <f t="shared" si="91"/>
        <v>0.96386983528694858</v>
      </c>
      <c r="Y89" s="402">
        <f t="shared" si="92"/>
        <v>0.34042490706072215</v>
      </c>
      <c r="Z89" s="336">
        <f t="shared" si="93"/>
        <v>1.3042947423476707</v>
      </c>
      <c r="AA89" s="65">
        <f t="shared" si="70"/>
        <v>9650.8128510183706</v>
      </c>
      <c r="AB89" s="14">
        <f t="shared" si="94"/>
        <v>0</v>
      </c>
      <c r="AC89" s="340">
        <f t="shared" si="71"/>
        <v>1.2613494162785195</v>
      </c>
      <c r="AD89" s="2">
        <f t="shared" si="95"/>
        <v>1</v>
      </c>
      <c r="AE89" s="66">
        <f t="shared" si="96"/>
        <v>1.6462737853180223E-2</v>
      </c>
      <c r="AF89" s="4">
        <f t="shared" si="72"/>
        <v>79.227085675528201</v>
      </c>
      <c r="AG89" s="3">
        <f t="shared" si="73"/>
        <v>1.4795189285955486</v>
      </c>
      <c r="AH89" s="4">
        <f t="shared" si="97"/>
        <v>3464.7973178908878</v>
      </c>
      <c r="AI89" s="349">
        <f t="shared" si="98"/>
        <v>0</v>
      </c>
      <c r="AJ89" s="1">
        <f t="shared" si="99"/>
        <v>4.9118940363710256E-2</v>
      </c>
    </row>
    <row r="90" spans="1:36">
      <c r="A90">
        <f t="shared" si="74"/>
        <v>10650</v>
      </c>
      <c r="B90" s="4">
        <f t="shared" si="75"/>
        <v>2981.4326828939197</v>
      </c>
      <c r="C90" s="12">
        <f t="shared" si="54"/>
        <v>71</v>
      </c>
      <c r="D90" s="4">
        <f t="shared" si="66"/>
        <v>3246.9512195121952</v>
      </c>
      <c r="E90">
        <f t="shared" si="76"/>
        <v>0.11861823723647448</v>
      </c>
      <c r="F90">
        <f t="shared" si="77"/>
        <v>9.0239389202190143E-3</v>
      </c>
      <c r="G90" s="4">
        <f t="shared" si="78"/>
        <v>366.30624132209016</v>
      </c>
      <c r="H90" s="10">
        <f t="shared" si="79"/>
        <v>20556978.348553576</v>
      </c>
      <c r="I90" s="2">
        <f t="shared" si="80"/>
        <v>20.556978348553574</v>
      </c>
      <c r="J90" s="2">
        <f t="shared" si="81"/>
        <v>1.0690415220184015</v>
      </c>
      <c r="K90" s="4">
        <f t="shared" si="82"/>
        <v>972.16999424394464</v>
      </c>
      <c r="L90" s="4">
        <f t="shared" si="100"/>
        <v>176.79435641248534</v>
      </c>
      <c r="M90" s="161">
        <f t="shared" si="67"/>
        <v>0.26092476000102</v>
      </c>
      <c r="N90" s="161">
        <f t="shared" si="83"/>
        <v>0.23577861328208016</v>
      </c>
      <c r="O90" s="346">
        <f t="shared" si="84"/>
        <v>0</v>
      </c>
      <c r="P90" s="346">
        <f t="shared" si="85"/>
        <v>0</v>
      </c>
      <c r="Q90" s="347">
        <f t="shared" si="86"/>
        <v>0.76422138671791984</v>
      </c>
      <c r="R90" s="162">
        <f t="shared" si="68"/>
        <v>784.63742931769309</v>
      </c>
      <c r="S90" s="13">
        <f t="shared" si="87"/>
        <v>3.7340309965457074E-4</v>
      </c>
      <c r="T90" s="13">
        <f t="shared" si="88"/>
        <v>2.8173512685663362E-5</v>
      </c>
      <c r="U90" s="13">
        <f t="shared" si="89"/>
        <v>2.9200534637509649E-4</v>
      </c>
      <c r="V90" s="20">
        <f t="shared" si="69"/>
        <v>8.697863189054994E-3</v>
      </c>
      <c r="W90" s="20">
        <f t="shared" si="90"/>
        <v>3.0707128886214787E-3</v>
      </c>
      <c r="X90" s="402">
        <f t="shared" si="91"/>
        <v>0.96386547670071043</v>
      </c>
      <c r="Y90" s="402">
        <f t="shared" si="92"/>
        <v>0.34028520314352384</v>
      </c>
      <c r="Z90" s="336">
        <f t="shared" si="93"/>
        <v>1.3041506798442342</v>
      </c>
      <c r="AA90" s="65">
        <f t="shared" si="70"/>
        <v>9649.7475476251675</v>
      </c>
      <c r="AB90" s="14">
        <f t="shared" si="94"/>
        <v>0</v>
      </c>
      <c r="AC90" s="340">
        <f t="shared" si="71"/>
        <v>1.2612385539747801</v>
      </c>
      <c r="AD90" s="2">
        <f t="shared" si="95"/>
        <v>1</v>
      </c>
      <c r="AE90" s="66">
        <f t="shared" si="96"/>
        <v>1.6462553143361373E-2</v>
      </c>
      <c r="AF90" s="4">
        <f t="shared" si="72"/>
        <v>79.219223682211222</v>
      </c>
      <c r="AG90" s="3">
        <f t="shared" si="73"/>
        <v>1.4793939475985052</v>
      </c>
      <c r="AH90" s="4">
        <f t="shared" si="97"/>
        <v>3464.7973178908878</v>
      </c>
      <c r="AI90" s="349">
        <f t="shared" si="98"/>
        <v>0</v>
      </c>
      <c r="AJ90" s="1">
        <f t="shared" si="99"/>
        <v>4.9118940363710256E-2</v>
      </c>
    </row>
    <row r="91" spans="1:36">
      <c r="A91">
        <f t="shared" si="74"/>
        <v>10799.999999999998</v>
      </c>
      <c r="B91" s="4">
        <f t="shared" si="75"/>
        <v>2982.8322111821903</v>
      </c>
      <c r="C91" s="12">
        <f t="shared" si="54"/>
        <v>72</v>
      </c>
      <c r="D91" s="4">
        <f t="shared" si="66"/>
        <v>3292.6829268292681</v>
      </c>
      <c r="E91">
        <f t="shared" si="76"/>
        <v>0.11861823723647448</v>
      </c>
      <c r="F91">
        <f t="shared" si="77"/>
        <v>9.0239389202190143E-3</v>
      </c>
      <c r="G91" s="4">
        <f t="shared" si="78"/>
        <v>366.30624132209016</v>
      </c>
      <c r="H91" s="10">
        <f t="shared" si="79"/>
        <v>20566628.096101202</v>
      </c>
      <c r="I91" s="2">
        <f t="shared" si="80"/>
        <v>20.566628096101201</v>
      </c>
      <c r="J91" s="2">
        <f t="shared" si="81"/>
        <v>1.0691047310261255</v>
      </c>
      <c r="K91" s="4">
        <f t="shared" si="82"/>
        <v>972.17438987795151</v>
      </c>
      <c r="L91" s="4">
        <f t="shared" si="100"/>
        <v>176.86688870615461</v>
      </c>
      <c r="M91" s="161">
        <f t="shared" si="67"/>
        <v>0.26084653926381673</v>
      </c>
      <c r="N91" s="161">
        <f t="shared" si="83"/>
        <v>0.23571495708318424</v>
      </c>
      <c r="O91" s="346">
        <f t="shared" si="84"/>
        <v>0</v>
      </c>
      <c r="P91" s="346">
        <f t="shared" si="85"/>
        <v>0</v>
      </c>
      <c r="Q91" s="347">
        <f t="shared" si="86"/>
        <v>0.76428504291681576</v>
      </c>
      <c r="R91" s="162">
        <f t="shared" si="68"/>
        <v>784.70851637130693</v>
      </c>
      <c r="S91" s="13">
        <f t="shared" si="87"/>
        <v>3.7340309965457074E-4</v>
      </c>
      <c r="T91" s="13">
        <f t="shared" si="88"/>
        <v>2.8178626050733055E-5</v>
      </c>
      <c r="U91" s="13">
        <f t="shared" si="89"/>
        <v>2.9202852767497728E-4</v>
      </c>
      <c r="V91" s="20">
        <f t="shared" si="69"/>
        <v>8.6978238621362638E-3</v>
      </c>
      <c r="W91" s="20">
        <f t="shared" si="90"/>
        <v>3.0694536034571339E-3</v>
      </c>
      <c r="X91" s="402">
        <f t="shared" si="91"/>
        <v>0.96386111863500556</v>
      </c>
      <c r="Y91" s="402">
        <f t="shared" si="92"/>
        <v>0.34014565375434047</v>
      </c>
      <c r="Z91" s="336">
        <f t="shared" si="93"/>
        <v>1.304006772389346</v>
      </c>
      <c r="AA91" s="65">
        <f t="shared" si="70"/>
        <v>9648.6834226069641</v>
      </c>
      <c r="AB91" s="14">
        <f t="shared" si="94"/>
        <v>0</v>
      </c>
      <c r="AC91" s="340">
        <f t="shared" si="71"/>
        <v>1.2611278050876518</v>
      </c>
      <c r="AD91" s="2">
        <f t="shared" si="95"/>
        <v>1</v>
      </c>
      <c r="AE91" s="66">
        <f t="shared" si="96"/>
        <v>1.6462368581252985E-2</v>
      </c>
      <c r="AF91" s="4">
        <f t="shared" si="72"/>
        <v>79.211370220098388</v>
      </c>
      <c r="AG91" s="3">
        <f t="shared" si="73"/>
        <v>1.4792691453807825</v>
      </c>
      <c r="AH91" s="4">
        <f t="shared" si="97"/>
        <v>3464.7973178908878</v>
      </c>
      <c r="AI91" s="349">
        <f t="shared" si="98"/>
        <v>0</v>
      </c>
      <c r="AJ91" s="1">
        <f t="shared" si="99"/>
        <v>4.9118940363710256E-2</v>
      </c>
    </row>
    <row r="92" spans="1:36">
      <c r="A92">
        <f t="shared" si="74"/>
        <v>10949.999999999998</v>
      </c>
      <c r="B92" s="4">
        <f t="shared" si="75"/>
        <v>2984.2315851376084</v>
      </c>
      <c r="C92" s="12">
        <f t="shared" si="54"/>
        <v>73</v>
      </c>
      <c r="D92" s="4">
        <f t="shared" si="66"/>
        <v>3338.4146341463411</v>
      </c>
      <c r="E92">
        <f t="shared" si="76"/>
        <v>0.11861823723647448</v>
      </c>
      <c r="F92">
        <f t="shared" si="77"/>
        <v>9.0239389202190143E-3</v>
      </c>
      <c r="G92" s="4">
        <f t="shared" si="78"/>
        <v>366.30624132209016</v>
      </c>
      <c r="H92" s="10">
        <f t="shared" si="79"/>
        <v>20576276.779523809</v>
      </c>
      <c r="I92" s="2">
        <f t="shared" si="80"/>
        <v>20.576276779523809</v>
      </c>
      <c r="J92" s="2">
        <f t="shared" si="81"/>
        <v>1.0691679582521985</v>
      </c>
      <c r="K92" s="4">
        <f t="shared" si="82"/>
        <v>972.17878502723033</v>
      </c>
      <c r="L92" s="4">
        <f t="shared" si="100"/>
        <v>176.93940025801254</v>
      </c>
      <c r="M92" s="161">
        <f t="shared" si="67"/>
        <v>0.26076838861895196</v>
      </c>
      <c r="N92" s="161">
        <f t="shared" si="83"/>
        <v>0.23565135792557934</v>
      </c>
      <c r="O92" s="346">
        <f t="shared" si="84"/>
        <v>0</v>
      </c>
      <c r="P92" s="346">
        <f t="shared" si="85"/>
        <v>0</v>
      </c>
      <c r="Q92" s="347">
        <f t="shared" si="86"/>
        <v>0.76434864207442066</v>
      </c>
      <c r="R92" s="162">
        <f t="shared" si="68"/>
        <v>784.77954413046189</v>
      </c>
      <c r="S92" s="13">
        <f t="shared" si="87"/>
        <v>3.7340309965457074E-4</v>
      </c>
      <c r="T92" s="13">
        <f t="shared" si="88"/>
        <v>2.8183740689192683E-5</v>
      </c>
      <c r="U92" s="13">
        <f t="shared" si="89"/>
        <v>2.9205168893218136E-4</v>
      </c>
      <c r="V92" s="20">
        <f t="shared" si="69"/>
        <v>8.6977845399098756E-3</v>
      </c>
      <c r="W92" s="20">
        <f t="shared" si="90"/>
        <v>3.0681957103942093E-3</v>
      </c>
      <c r="X92" s="402">
        <f t="shared" si="91"/>
        <v>0.96385676108928908</v>
      </c>
      <c r="Y92" s="402">
        <f t="shared" si="92"/>
        <v>0.34000625863275935</v>
      </c>
      <c r="Z92" s="336">
        <f t="shared" si="93"/>
        <v>1.3038630197220484</v>
      </c>
      <c r="AA92" s="65">
        <f t="shared" si="70"/>
        <v>9647.6204739439891</v>
      </c>
      <c r="AB92" s="14">
        <f t="shared" si="94"/>
        <v>0</v>
      </c>
      <c r="AC92" s="340">
        <f t="shared" si="71"/>
        <v>1.261017169433845</v>
      </c>
      <c r="AD92" s="2">
        <f t="shared" si="95"/>
        <v>1</v>
      </c>
      <c r="AE92" s="66">
        <f t="shared" si="96"/>
        <v>1.6462184166637354E-2</v>
      </c>
      <c r="AF92" s="4">
        <f t="shared" si="72"/>
        <v>79.203525274883489</v>
      </c>
      <c r="AG92" s="3">
        <f t="shared" si="73"/>
        <v>1.4791445216326919</v>
      </c>
      <c r="AH92" s="4">
        <f t="shared" si="97"/>
        <v>3464.7973178908878</v>
      </c>
      <c r="AI92" s="349">
        <f t="shared" si="98"/>
        <v>0</v>
      </c>
      <c r="AJ92" s="1">
        <f t="shared" si="99"/>
        <v>4.9118940363710256E-2</v>
      </c>
    </row>
    <row r="93" spans="1:36">
      <c r="A93">
        <f t="shared" si="74"/>
        <v>11099.999999999998</v>
      </c>
      <c r="B93" s="4">
        <f t="shared" si="75"/>
        <v>2985.6308049307836</v>
      </c>
      <c r="C93" s="12">
        <f t="shared" si="54"/>
        <v>74</v>
      </c>
      <c r="D93" s="4">
        <f t="shared" si="66"/>
        <v>3384.1463414634145</v>
      </c>
      <c r="E93">
        <f t="shared" si="76"/>
        <v>0.11861823723647448</v>
      </c>
      <c r="F93">
        <f t="shared" si="77"/>
        <v>9.0239389202190143E-3</v>
      </c>
      <c r="G93" s="4">
        <f t="shared" si="78"/>
        <v>366.30624132209016</v>
      </c>
      <c r="H93" s="10">
        <f t="shared" si="79"/>
        <v>20585924.399997752</v>
      </c>
      <c r="I93" s="2">
        <f t="shared" si="80"/>
        <v>20.585924399997751</v>
      </c>
      <c r="J93" s="2">
        <f t="shared" si="81"/>
        <v>1.0692312036907838</v>
      </c>
      <c r="K93" s="4">
        <f t="shared" si="82"/>
        <v>972.18317969231668</v>
      </c>
      <c r="L93" s="4">
        <f t="shared" si="100"/>
        <v>177.01189107911375</v>
      </c>
      <c r="M93" s="161">
        <f t="shared" si="67"/>
        <v>0.26069030797022374</v>
      </c>
      <c r="N93" s="161">
        <f t="shared" si="83"/>
        <v>0.23558781573097631</v>
      </c>
      <c r="O93" s="346">
        <f t="shared" si="84"/>
        <v>0</v>
      </c>
      <c r="P93" s="346">
        <f t="shared" si="85"/>
        <v>0</v>
      </c>
      <c r="Q93" s="347">
        <f t="shared" si="86"/>
        <v>0.76441218426902369</v>
      </c>
      <c r="R93" s="162">
        <f t="shared" si="68"/>
        <v>784.85051267594645</v>
      </c>
      <c r="S93" s="13">
        <f t="shared" si="87"/>
        <v>3.7340309965457074E-4</v>
      </c>
      <c r="T93" s="13">
        <f t="shared" si="88"/>
        <v>2.81888566010583E-5</v>
      </c>
      <c r="U93" s="13">
        <f t="shared" si="89"/>
        <v>2.9207483017437144E-4</v>
      </c>
      <c r="V93" s="20">
        <f t="shared" si="69"/>
        <v>8.6977452223709131E-3</v>
      </c>
      <c r="W93" s="20">
        <f t="shared" si="90"/>
        <v>3.0669392070881893E-3</v>
      </c>
      <c r="X93" s="402">
        <f t="shared" si="91"/>
        <v>0.96385240406301598</v>
      </c>
      <c r="Y93" s="402">
        <f t="shared" si="92"/>
        <v>0.33986701751896981</v>
      </c>
      <c r="Z93" s="336">
        <f t="shared" si="93"/>
        <v>1.3037194215819858</v>
      </c>
      <c r="AA93" s="65">
        <f t="shared" si="70"/>
        <v>9646.558699621226</v>
      </c>
      <c r="AB93" s="14">
        <f t="shared" si="94"/>
        <v>0</v>
      </c>
      <c r="AC93" s="340">
        <f t="shared" si="71"/>
        <v>1.2609066468304777</v>
      </c>
      <c r="AD93" s="2">
        <f t="shared" si="95"/>
        <v>1</v>
      </c>
      <c r="AE93" s="66">
        <f t="shared" si="96"/>
        <v>1.6461999899297263E-2</v>
      </c>
      <c r="AF93" s="4">
        <f t="shared" si="72"/>
        <v>79.195688832293072</v>
      </c>
      <c r="AG93" s="3">
        <f t="shared" si="73"/>
        <v>1.4790200760452539</v>
      </c>
      <c r="AH93" s="4">
        <f t="shared" si="97"/>
        <v>3464.7973178908878</v>
      </c>
      <c r="AI93" s="349">
        <f t="shared" si="98"/>
        <v>0</v>
      </c>
      <c r="AJ93" s="1">
        <f t="shared" si="99"/>
        <v>4.9118940363710256E-2</v>
      </c>
    </row>
    <row r="94" spans="1:36">
      <c r="A94">
        <f t="shared" si="74"/>
        <v>11250</v>
      </c>
      <c r="B94" s="4">
        <f t="shared" si="75"/>
        <v>2987.0298707320339</v>
      </c>
      <c r="C94" s="12">
        <f t="shared" ref="C94:C119" si="101">1+C93</f>
        <v>75</v>
      </c>
      <c r="D94" s="4">
        <f t="shared" si="66"/>
        <v>3429.8780487804879</v>
      </c>
      <c r="E94">
        <f t="shared" si="76"/>
        <v>0.11861823723647448</v>
      </c>
      <c r="F94">
        <f t="shared" si="77"/>
        <v>9.0239389202190143E-3</v>
      </c>
      <c r="G94" s="4">
        <f t="shared" si="78"/>
        <v>366.30624132209016</v>
      </c>
      <c r="H94" s="10">
        <f t="shared" si="79"/>
        <v>20595570.958697375</v>
      </c>
      <c r="I94" s="2">
        <f t="shared" si="80"/>
        <v>20.595570958697376</v>
      </c>
      <c r="J94" s="2">
        <f t="shared" si="81"/>
        <v>1.0692944673360483</v>
      </c>
      <c r="K94" s="4">
        <f t="shared" si="82"/>
        <v>972.18757387374569</v>
      </c>
      <c r="L94" s="4">
        <f t="shared" si="100"/>
        <v>177.08436118049576</v>
      </c>
      <c r="M94" s="161">
        <f t="shared" si="67"/>
        <v>0.26061229722161638</v>
      </c>
      <c r="N94" s="161">
        <f t="shared" si="83"/>
        <v>0.23552433042123733</v>
      </c>
      <c r="O94" s="346">
        <f t="shared" si="84"/>
        <v>0</v>
      </c>
      <c r="P94" s="346">
        <f t="shared" si="85"/>
        <v>0</v>
      </c>
      <c r="Q94" s="347">
        <f t="shared" si="86"/>
        <v>0.76447566957876267</v>
      </c>
      <c r="R94" s="162">
        <f t="shared" si="68"/>
        <v>784.92142208839346</v>
      </c>
      <c r="S94" s="13">
        <f t="shared" si="87"/>
        <v>3.7340309965457074E-4</v>
      </c>
      <c r="T94" s="13">
        <f t="shared" si="88"/>
        <v>2.8193973786345867E-5</v>
      </c>
      <c r="U94" s="13">
        <f t="shared" si="89"/>
        <v>2.9209795142915644E-4</v>
      </c>
      <c r="V94" s="20">
        <f t="shared" si="69"/>
        <v>8.6977059095144672E-3</v>
      </c>
      <c r="W94" s="20">
        <f t="shared" si="90"/>
        <v>3.065684091199985E-3</v>
      </c>
      <c r="X94" s="402">
        <f t="shared" si="91"/>
        <v>0.96384804755564224</v>
      </c>
      <c r="Y94" s="402">
        <f t="shared" si="92"/>
        <v>0.33972793015376257</v>
      </c>
      <c r="Z94" s="336">
        <f t="shared" si="93"/>
        <v>1.3035759777094047</v>
      </c>
      <c r="AA94" s="65">
        <f t="shared" si="70"/>
        <v>9645.4980976283605</v>
      </c>
      <c r="AB94" s="14">
        <f t="shared" si="94"/>
        <v>0</v>
      </c>
      <c r="AC94" s="340">
        <f t="shared" si="71"/>
        <v>1.2607962370950754</v>
      </c>
      <c r="AD94" s="2">
        <f t="shared" si="95"/>
        <v>1</v>
      </c>
      <c r="AE94" s="66">
        <f t="shared" si="96"/>
        <v>1.646181577901594E-2</v>
      </c>
      <c r="AF94" s="4">
        <f t="shared" si="72"/>
        <v>79.187860878086582</v>
      </c>
      <c r="AG94" s="3">
        <f t="shared" si="73"/>
        <v>1.4788958083101982</v>
      </c>
      <c r="AH94" s="4">
        <f t="shared" si="97"/>
        <v>3464.7973178908878</v>
      </c>
      <c r="AI94" s="349">
        <f t="shared" si="98"/>
        <v>0</v>
      </c>
      <c r="AJ94" s="1">
        <f t="shared" si="99"/>
        <v>4.9118940363710256E-2</v>
      </c>
    </row>
    <row r="95" spans="1:36">
      <c r="A95">
        <f t="shared" si="74"/>
        <v>11399.999999999998</v>
      </c>
      <c r="B95" s="4">
        <f t="shared" si="75"/>
        <v>2988.4287827113853</v>
      </c>
      <c r="C95" s="12">
        <f t="shared" si="101"/>
        <v>76</v>
      </c>
      <c r="D95" s="4">
        <f t="shared" si="66"/>
        <v>3475.6097560975609</v>
      </c>
      <c r="E95">
        <f t="shared" si="76"/>
        <v>0.11861823723647448</v>
      </c>
      <c r="F95">
        <f t="shared" si="77"/>
        <v>9.0239389202190143E-3</v>
      </c>
      <c r="G95" s="4">
        <f t="shared" si="78"/>
        <v>366.30624132209016</v>
      </c>
      <c r="H95" s="10">
        <f t="shared" si="79"/>
        <v>20605216.456795003</v>
      </c>
      <c r="I95" s="2">
        <f t="shared" si="80"/>
        <v>20.605216456795002</v>
      </c>
      <c r="J95" s="2">
        <f t="shared" si="81"/>
        <v>1.0693577491821622</v>
      </c>
      <c r="K95" s="4">
        <f t="shared" si="82"/>
        <v>972.19196757205157</v>
      </c>
      <c r="L95" s="4">
        <f t="shared" si="100"/>
        <v>177.15681057317946</v>
      </c>
      <c r="M95" s="161">
        <f t="shared" si="67"/>
        <v>0.26053435627729954</v>
      </c>
      <c r="N95" s="161">
        <f t="shared" si="83"/>
        <v>0.23546090191837532</v>
      </c>
      <c r="O95" s="346">
        <f t="shared" si="84"/>
        <v>0</v>
      </c>
      <c r="P95" s="346">
        <f t="shared" si="85"/>
        <v>0</v>
      </c>
      <c r="Q95" s="347">
        <f t="shared" si="86"/>
        <v>0.76453909808162468</v>
      </c>
      <c r="R95" s="162">
        <f t="shared" si="68"/>
        <v>784.99227244828</v>
      </c>
      <c r="S95" s="13">
        <f t="shared" si="87"/>
        <v>3.7340309965457074E-4</v>
      </c>
      <c r="T95" s="13">
        <f t="shared" si="88"/>
        <v>2.8199092245071233E-5</v>
      </c>
      <c r="U95" s="13">
        <f t="shared" si="89"/>
        <v>2.9212105272409251E-4</v>
      </c>
      <c r="V95" s="20">
        <f t="shared" si="69"/>
        <v>8.6976666013356355E-3</v>
      </c>
      <c r="W95" s="20">
        <f t="shared" si="90"/>
        <v>3.0644303603959088E-3</v>
      </c>
      <c r="X95" s="402">
        <f t="shared" si="91"/>
        <v>0.96384369156662464</v>
      </c>
      <c r="Y95" s="402">
        <f t="shared" si="92"/>
        <v>0.3395889962785269</v>
      </c>
      <c r="Z95" s="336">
        <f t="shared" si="93"/>
        <v>1.3034326878451516</v>
      </c>
      <c r="AA95" s="65">
        <f t="shared" si="70"/>
        <v>9644.4386659598258</v>
      </c>
      <c r="AB95" s="14">
        <f t="shared" si="94"/>
        <v>0</v>
      </c>
      <c r="AC95" s="340">
        <f t="shared" si="71"/>
        <v>1.2606859400455692</v>
      </c>
      <c r="AD95" s="2">
        <f t="shared" si="95"/>
        <v>1</v>
      </c>
      <c r="AE95" s="66">
        <f t="shared" si="96"/>
        <v>1.6461631805577137E-2</v>
      </c>
      <c r="AF95" s="4">
        <f t="shared" si="72"/>
        <v>79.18004139805592</v>
      </c>
      <c r="AG95" s="3">
        <f t="shared" si="73"/>
        <v>1.4787717181199611</v>
      </c>
      <c r="AH95" s="4">
        <f t="shared" si="97"/>
        <v>3464.7973178908878</v>
      </c>
      <c r="AI95" s="349">
        <f t="shared" si="98"/>
        <v>0</v>
      </c>
      <c r="AJ95" s="1">
        <f t="shared" si="99"/>
        <v>4.9118940363710256E-2</v>
      </c>
    </row>
    <row r="96" spans="1:36">
      <c r="A96">
        <f t="shared" si="74"/>
        <v>11549.999999999998</v>
      </c>
      <c r="B96" s="4">
        <f t="shared" si="75"/>
        <v>2989.8275410385731</v>
      </c>
      <c r="C96" s="12">
        <f t="shared" si="101"/>
        <v>77</v>
      </c>
      <c r="D96" s="4">
        <f t="shared" si="66"/>
        <v>3521.3414634146338</v>
      </c>
      <c r="E96">
        <f t="shared" si="76"/>
        <v>0.11861823723647448</v>
      </c>
      <c r="F96">
        <f t="shared" si="77"/>
        <v>9.0239389202190143E-3</v>
      </c>
      <c r="G96" s="4">
        <f t="shared" si="78"/>
        <v>366.30624132209016</v>
      </c>
      <c r="H96" s="10">
        <f t="shared" si="79"/>
        <v>20614860.895460963</v>
      </c>
      <c r="I96" s="2">
        <f t="shared" si="80"/>
        <v>20.614860895460964</v>
      </c>
      <c r="J96" s="2">
        <f t="shared" si="81"/>
        <v>1.0694210492232994</v>
      </c>
      <c r="K96" s="4">
        <f t="shared" si="82"/>
        <v>972.19636078776716</v>
      </c>
      <c r="L96" s="4">
        <f t="shared" si="100"/>
        <v>177.22923926816904</v>
      </c>
      <c r="M96" s="161">
        <f t="shared" si="67"/>
        <v>0.26045648504162766</v>
      </c>
      <c r="N96" s="161">
        <f t="shared" si="83"/>
        <v>0.23539753014455367</v>
      </c>
      <c r="O96" s="346">
        <f t="shared" si="84"/>
        <v>0</v>
      </c>
      <c r="P96" s="346">
        <f t="shared" si="85"/>
        <v>0</v>
      </c>
      <c r="Q96" s="347">
        <f t="shared" si="86"/>
        <v>0.76460246985544633</v>
      </c>
      <c r="R96" s="162">
        <f t="shared" si="68"/>
        <v>785.06306383592846</v>
      </c>
      <c r="S96" s="13">
        <f t="shared" si="87"/>
        <v>3.7340309965457074E-4</v>
      </c>
      <c r="T96" s="13">
        <f t="shared" si="88"/>
        <v>2.8204211977250135E-5</v>
      </c>
      <c r="U96" s="13">
        <f t="shared" si="89"/>
        <v>2.9214413408668228E-4</v>
      </c>
      <c r="V96" s="20">
        <f t="shared" si="69"/>
        <v>8.6976272978295313E-3</v>
      </c>
      <c r="W96" s="20">
        <f t="shared" si="90"/>
        <v>3.0631780123476613E-3</v>
      </c>
      <c r="X96" s="402">
        <f t="shared" si="91"/>
        <v>0.96383933609542172</v>
      </c>
      <c r="Y96" s="402">
        <f t="shared" si="92"/>
        <v>0.33945021563524908</v>
      </c>
      <c r="Z96" s="336">
        <f t="shared" si="93"/>
        <v>1.3032895517306708</v>
      </c>
      <c r="AA96" s="65">
        <f t="shared" si="70"/>
        <v>9643.3804026147227</v>
      </c>
      <c r="AB96" s="14">
        <f t="shared" si="94"/>
        <v>0</v>
      </c>
      <c r="AC96" s="340">
        <f t="shared" si="71"/>
        <v>1.2605757555002961</v>
      </c>
      <c r="AD96" s="2">
        <f t="shared" si="95"/>
        <v>1</v>
      </c>
      <c r="AE96" s="66">
        <f t="shared" si="96"/>
        <v>1.6461447978765042E-2</v>
      </c>
      <c r="AF96" s="4">
        <f t="shared" si="72"/>
        <v>79.17223037802566</v>
      </c>
      <c r="AG96" s="3">
        <f t="shared" si="73"/>
        <v>1.4786478051676841</v>
      </c>
      <c r="AH96" s="4">
        <f t="shared" si="97"/>
        <v>3464.7973178908878</v>
      </c>
      <c r="AI96" s="349">
        <f t="shared" si="98"/>
        <v>0</v>
      </c>
      <c r="AJ96" s="1">
        <f t="shared" si="99"/>
        <v>4.9118940363710256E-2</v>
      </c>
    </row>
    <row r="97" spans="1:36">
      <c r="A97">
        <f t="shared" si="74"/>
        <v>11699.999999999998</v>
      </c>
      <c r="B97" s="4">
        <f t="shared" si="75"/>
        <v>2991.2261458830421</v>
      </c>
      <c r="C97" s="12">
        <f t="shared" si="101"/>
        <v>78</v>
      </c>
      <c r="D97" s="4">
        <f t="shared" si="66"/>
        <v>3567.0731707317073</v>
      </c>
      <c r="E97">
        <f t="shared" si="76"/>
        <v>0.11861823723647448</v>
      </c>
      <c r="F97">
        <f t="shared" si="77"/>
        <v>9.0239389202190143E-3</v>
      </c>
      <c r="G97" s="4">
        <f t="shared" si="78"/>
        <v>366.30624132209016</v>
      </c>
      <c r="H97" s="10">
        <f t="shared" si="79"/>
        <v>20624504.275863577</v>
      </c>
      <c r="I97" s="2">
        <f t="shared" si="80"/>
        <v>20.624504275863575</v>
      </c>
      <c r="J97" s="2">
        <f t="shared" si="81"/>
        <v>1.069484367453637</v>
      </c>
      <c r="K97" s="4">
        <f t="shared" si="82"/>
        <v>972.20075352142464</v>
      </c>
      <c r="L97" s="4">
        <f t="shared" si="100"/>
        <v>177.30164727645186</v>
      </c>
      <c r="M97" s="161">
        <f t="shared" si="67"/>
        <v>0.26037868341914</v>
      </c>
      <c r="N97" s="161">
        <f t="shared" si="83"/>
        <v>0.23533421502208662</v>
      </c>
      <c r="O97" s="346">
        <f t="shared" si="84"/>
        <v>0</v>
      </c>
      <c r="P97" s="346">
        <f t="shared" si="85"/>
        <v>0</v>
      </c>
      <c r="Q97" s="347">
        <f t="shared" si="86"/>
        <v>0.76466578497791338</v>
      </c>
      <c r="R97" s="162">
        <f t="shared" si="68"/>
        <v>785.13379633150578</v>
      </c>
      <c r="S97" s="13">
        <f t="shared" si="87"/>
        <v>3.7340309965457074E-4</v>
      </c>
      <c r="T97" s="13">
        <f t="shared" si="88"/>
        <v>2.8209332982898213E-5</v>
      </c>
      <c r="U97" s="13">
        <f t="shared" si="89"/>
        <v>2.9216719554437537E-4</v>
      </c>
      <c r="V97" s="20">
        <f t="shared" si="69"/>
        <v>8.6975879989912679E-3</v>
      </c>
      <c r="W97" s="20">
        <f t="shared" si="90"/>
        <v>3.061927044732318E-3</v>
      </c>
      <c r="X97" s="402">
        <f t="shared" si="91"/>
        <v>0.9638349811414918</v>
      </c>
      <c r="Y97" s="402">
        <f t="shared" si="92"/>
        <v>0.33931158796651117</v>
      </c>
      <c r="Z97" s="336">
        <f t="shared" si="93"/>
        <v>1.3031465691080031</v>
      </c>
      <c r="AA97" s="65">
        <f t="shared" si="70"/>
        <v>9642.3233055968903</v>
      </c>
      <c r="AB97" s="14">
        <f t="shared" si="94"/>
        <v>0</v>
      </c>
      <c r="AC97" s="340">
        <f t="shared" si="71"/>
        <v>1.2604656832779975</v>
      </c>
      <c r="AD97" s="2">
        <f t="shared" si="95"/>
        <v>1</v>
      </c>
      <c r="AE97" s="66">
        <f t="shared" si="96"/>
        <v>1.646126429836434E-2</v>
      </c>
      <c r="AF97" s="4">
        <f t="shared" si="72"/>
        <v>79.164427803852774</v>
      </c>
      <c r="AG97" s="3">
        <f t="shared" si="73"/>
        <v>1.4785240691472123</v>
      </c>
      <c r="AH97" s="4">
        <f t="shared" si="97"/>
        <v>3464.7973178908878</v>
      </c>
      <c r="AI97" s="349">
        <f t="shared" si="98"/>
        <v>0</v>
      </c>
      <c r="AJ97" s="1">
        <f t="shared" si="99"/>
        <v>4.9118940363710256E-2</v>
      </c>
    </row>
    <row r="98" spans="1:36">
      <c r="A98">
        <f t="shared" si="74"/>
        <v>11849.999999999998</v>
      </c>
      <c r="B98" s="4">
        <f t="shared" si="75"/>
        <v>2992.6245974139483</v>
      </c>
      <c r="C98" s="12">
        <f t="shared" si="101"/>
        <v>79</v>
      </c>
      <c r="D98" s="4">
        <f t="shared" si="66"/>
        <v>3612.8048780487802</v>
      </c>
      <c r="E98">
        <f t="shared" si="76"/>
        <v>0.11861823723647448</v>
      </c>
      <c r="F98">
        <f t="shared" si="77"/>
        <v>9.0239389202190143E-3</v>
      </c>
      <c r="G98" s="4">
        <f t="shared" si="78"/>
        <v>366.30624132209016</v>
      </c>
      <c r="H98" s="10">
        <f t="shared" si="79"/>
        <v>20634146.599169172</v>
      </c>
      <c r="I98" s="2">
        <f t="shared" si="80"/>
        <v>20.634146599169171</v>
      </c>
      <c r="J98" s="2">
        <f t="shared" si="81"/>
        <v>1.0695477038673551</v>
      </c>
      <c r="K98" s="4">
        <f t="shared" si="82"/>
        <v>972.20514577355527</v>
      </c>
      <c r="L98" s="4">
        <f t="shared" si="100"/>
        <v>177.3740346089989</v>
      </c>
      <c r="M98" s="161">
        <f t="shared" si="67"/>
        <v>0.26030095131455949</v>
      </c>
      <c r="N98" s="161">
        <f t="shared" si="83"/>
        <v>0.2352709564734371</v>
      </c>
      <c r="O98" s="346">
        <f t="shared" si="84"/>
        <v>0</v>
      </c>
      <c r="P98" s="346">
        <f t="shared" si="85"/>
        <v>0</v>
      </c>
      <c r="Q98" s="347">
        <f t="shared" si="86"/>
        <v>0.7647290435265629</v>
      </c>
      <c r="R98" s="162">
        <f t="shared" si="68"/>
        <v>785.20447001502521</v>
      </c>
      <c r="S98" s="13">
        <f t="shared" si="87"/>
        <v>3.7340309965457074E-4</v>
      </c>
      <c r="T98" s="13">
        <f t="shared" si="88"/>
        <v>2.8214455262030987E-5</v>
      </c>
      <c r="U98" s="13">
        <f t="shared" si="89"/>
        <v>2.9219023712456879E-4</v>
      </c>
      <c r="V98" s="20">
        <f t="shared" si="69"/>
        <v>8.6975487048159741E-3</v>
      </c>
      <c r="W98" s="20">
        <f t="shared" si="90"/>
        <v>3.0606774552323079E-3</v>
      </c>
      <c r="X98" s="402">
        <f t="shared" si="91"/>
        <v>0.96383062670429531</v>
      </c>
      <c r="Y98" s="402">
        <f t="shared" si="92"/>
        <v>0.33917311301548836</v>
      </c>
      <c r="Z98" s="336">
        <f t="shared" si="93"/>
        <v>1.3030037397197836</v>
      </c>
      <c r="AA98" s="65">
        <f t="shared" si="70"/>
        <v>9641.2673729148064</v>
      </c>
      <c r="AB98" s="14">
        <f t="shared" si="94"/>
        <v>0</v>
      </c>
      <c r="AC98" s="340">
        <f t="shared" si="71"/>
        <v>1.260355723197816</v>
      </c>
      <c r="AD98" s="2">
        <f t="shared" si="95"/>
        <v>1</v>
      </c>
      <c r="AE98" s="66">
        <f t="shared" si="96"/>
        <v>1.64610807641602E-2</v>
      </c>
      <c r="AF98" s="4">
        <f t="shared" si="72"/>
        <v>79.156633661426497</v>
      </c>
      <c r="AG98" s="3">
        <f t="shared" si="73"/>
        <v>1.4784005097530895</v>
      </c>
      <c r="AH98" s="4">
        <f t="shared" si="97"/>
        <v>3464.7973178908878</v>
      </c>
      <c r="AI98" s="349">
        <f t="shared" si="98"/>
        <v>0</v>
      </c>
      <c r="AJ98" s="1">
        <f t="shared" si="99"/>
        <v>4.9118940363710256E-2</v>
      </c>
    </row>
    <row r="99" spans="1:36">
      <c r="A99">
        <f t="shared" si="74"/>
        <v>11999.999999999998</v>
      </c>
      <c r="B99" s="4">
        <f t="shared" si="75"/>
        <v>2994.0228958001576</v>
      </c>
      <c r="C99" s="12">
        <f t="shared" si="101"/>
        <v>80</v>
      </c>
      <c r="D99" s="4">
        <f t="shared" si="66"/>
        <v>3658.5365853658532</v>
      </c>
      <c r="E99">
        <f t="shared" si="76"/>
        <v>0.11861823723647448</v>
      </c>
      <c r="F99">
        <f t="shared" si="77"/>
        <v>9.0239389202190143E-3</v>
      </c>
      <c r="G99" s="4">
        <f t="shared" si="78"/>
        <v>366.30624132209016</v>
      </c>
      <c r="H99" s="10">
        <f t="shared" si="79"/>
        <v>20643787.866542086</v>
      </c>
      <c r="I99" s="2">
        <f t="shared" si="80"/>
        <v>20.643787866542088</v>
      </c>
      <c r="J99" s="2">
        <f t="shared" si="81"/>
        <v>1.069611058458638</v>
      </c>
      <c r="K99" s="4">
        <f t="shared" si="82"/>
        <v>972.20953754468962</v>
      </c>
      <c r="L99" s="4">
        <f t="shared" si="100"/>
        <v>177.44640127676425</v>
      </c>
      <c r="M99" s="161">
        <f t="shared" si="67"/>
        <v>0.26022328863279315</v>
      </c>
      <c r="N99" s="161">
        <f t="shared" si="83"/>
        <v>0.23520775442121844</v>
      </c>
      <c r="O99" s="346">
        <f t="shared" si="84"/>
        <v>0</v>
      </c>
      <c r="P99" s="346">
        <f t="shared" si="85"/>
        <v>0</v>
      </c>
      <c r="Q99" s="347">
        <f t="shared" si="86"/>
        <v>0.76479224557878156</v>
      </c>
      <c r="R99" s="162">
        <f t="shared" si="68"/>
        <v>785.27508496634607</v>
      </c>
      <c r="S99" s="13">
        <f t="shared" si="87"/>
        <v>3.7340309965457074E-4</v>
      </c>
      <c r="T99" s="13">
        <f t="shared" si="88"/>
        <v>2.8219578814663901E-5</v>
      </c>
      <c r="U99" s="13">
        <f t="shared" si="89"/>
        <v>2.9221325885460641E-4</v>
      </c>
      <c r="V99" s="20">
        <f t="shared" si="69"/>
        <v>8.6975094152987806E-3</v>
      </c>
      <c r="W99" s="20">
        <f t="shared" si="90"/>
        <v>3.0594292415354056E-3</v>
      </c>
      <c r="X99" s="402">
        <f t="shared" si="91"/>
        <v>0.96382627278329236</v>
      </c>
      <c r="Y99" s="402">
        <f t="shared" si="92"/>
        <v>0.33903479052594832</v>
      </c>
      <c r="Z99" s="336">
        <f t="shared" si="93"/>
        <v>1.3028610633092406</v>
      </c>
      <c r="AA99" s="65">
        <f t="shared" si="70"/>
        <v>9640.2126025816106</v>
      </c>
      <c r="AB99" s="14">
        <f t="shared" si="94"/>
        <v>0</v>
      </c>
      <c r="AC99" s="340">
        <f t="shared" si="71"/>
        <v>1.2602458750792973</v>
      </c>
      <c r="AD99" s="2">
        <f t="shared" si="95"/>
        <v>1</v>
      </c>
      <c r="AE99" s="66">
        <f t="shared" si="96"/>
        <v>1.6460897375938227E-2</v>
      </c>
      <c r="AF99" s="4">
        <f t="shared" si="72"/>
        <v>79.148847936668517</v>
      </c>
      <c r="AG99" s="3">
        <f t="shared" si="73"/>
        <v>1.4782771266805603</v>
      </c>
      <c r="AH99" s="4">
        <f t="shared" si="97"/>
        <v>3464.7973178908878</v>
      </c>
      <c r="AI99" s="349">
        <f t="shared" si="98"/>
        <v>0</v>
      </c>
      <c r="AJ99" s="1">
        <f t="shared" si="99"/>
        <v>4.9118940363710256E-2</v>
      </c>
    </row>
    <row r="100" spans="1:36">
      <c r="A100">
        <f t="shared" si="74"/>
        <v>12150</v>
      </c>
      <c r="B100" s="4">
        <f t="shared" si="75"/>
        <v>2995.4210412102493</v>
      </c>
      <c r="C100" s="12">
        <f t="shared" si="101"/>
        <v>81</v>
      </c>
      <c r="D100" s="4">
        <f t="shared" si="66"/>
        <v>3704.268292682927</v>
      </c>
      <c r="E100">
        <f t="shared" si="76"/>
        <v>0.11861823723647448</v>
      </c>
      <c r="F100">
        <f t="shared" si="77"/>
        <v>9.0239389202190143E-3</v>
      </c>
      <c r="G100" s="4">
        <f t="shared" si="78"/>
        <v>366.30624132209016</v>
      </c>
      <c r="H100" s="10">
        <f t="shared" si="79"/>
        <v>20653428.079144668</v>
      </c>
      <c r="I100" s="2">
        <f t="shared" si="80"/>
        <v>20.653428079144668</v>
      </c>
      <c r="J100" s="2">
        <f t="shared" si="81"/>
        <v>1.0696744312216728</v>
      </c>
      <c r="K100" s="4">
        <f t="shared" si="82"/>
        <v>972.21392883535702</v>
      </c>
      <c r="L100" s="4">
        <f t="shared" si="100"/>
        <v>177.51874729068572</v>
      </c>
      <c r="M100" s="161">
        <f t="shared" si="67"/>
        <v>0.2601456952789305</v>
      </c>
      <c r="N100" s="161">
        <f t="shared" si="83"/>
        <v>0.23514460878819221</v>
      </c>
      <c r="O100" s="346">
        <f t="shared" si="84"/>
        <v>0</v>
      </c>
      <c r="P100" s="346">
        <f t="shared" si="85"/>
        <v>0</v>
      </c>
      <c r="Q100" s="347">
        <f t="shared" si="86"/>
        <v>0.76485539121180779</v>
      </c>
      <c r="R100" s="162">
        <f t="shared" si="68"/>
        <v>785.34564126517398</v>
      </c>
      <c r="S100" s="13">
        <f t="shared" si="87"/>
        <v>3.7340309965457074E-4</v>
      </c>
      <c r="T100" s="13">
        <f t="shared" si="88"/>
        <v>2.8224703640812265E-5</v>
      </c>
      <c r="U100" s="13">
        <f t="shared" si="89"/>
        <v>2.9223626076177982E-4</v>
      </c>
      <c r="V100" s="20">
        <f t="shared" si="69"/>
        <v>8.6974701304348302E-3</v>
      </c>
      <c r="W100" s="20">
        <f t="shared" si="90"/>
        <v>3.0581824013347059E-3</v>
      </c>
      <c r="X100" s="402">
        <f t="shared" si="91"/>
        <v>0.96382191937794492</v>
      </c>
      <c r="Y100" s="402">
        <f t="shared" si="92"/>
        <v>0.33889662024224815</v>
      </c>
      <c r="Z100" s="336">
        <f t="shared" si="93"/>
        <v>1.302718539620193</v>
      </c>
      <c r="AA100" s="65">
        <f t="shared" si="70"/>
        <v>9639.1589926151173</v>
      </c>
      <c r="AB100" s="14">
        <f t="shared" si="94"/>
        <v>0</v>
      </c>
      <c r="AC100" s="340">
        <f t="shared" si="71"/>
        <v>1.2601361387423864</v>
      </c>
      <c r="AD100" s="2">
        <f t="shared" si="95"/>
        <v>1</v>
      </c>
      <c r="AE100" s="66">
        <f t="shared" si="96"/>
        <v>1.6460714133484534E-2</v>
      </c>
      <c r="AF100" s="4">
        <f t="shared" si="72"/>
        <v>79.141070615532485</v>
      </c>
      <c r="AG100" s="3">
        <f t="shared" si="73"/>
        <v>1.4781539196255633</v>
      </c>
      <c r="AH100" s="4">
        <f t="shared" si="97"/>
        <v>3464.7973178908878</v>
      </c>
      <c r="AI100" s="349">
        <f t="shared" si="98"/>
        <v>0</v>
      </c>
      <c r="AJ100" s="1">
        <f t="shared" si="99"/>
        <v>4.9118940363710256E-2</v>
      </c>
    </row>
    <row r="101" spans="1:36">
      <c r="A101">
        <f t="shared" si="74"/>
        <v>12300</v>
      </c>
      <c r="B101" s="4">
        <f t="shared" si="75"/>
        <v>2996.8190338125137</v>
      </c>
      <c r="C101" s="12">
        <f t="shared" si="101"/>
        <v>82</v>
      </c>
      <c r="D101" s="4">
        <f t="shared" si="66"/>
        <v>3750</v>
      </c>
      <c r="E101">
        <f t="shared" si="76"/>
        <v>0.11861823723647448</v>
      </c>
      <c r="F101">
        <f t="shared" si="77"/>
        <v>9.0239389202190143E-3</v>
      </c>
      <c r="G101" s="4">
        <f t="shared" si="78"/>
        <v>366.30624132209016</v>
      </c>
      <c r="H101" s="10">
        <f t="shared" si="79"/>
        <v>20663067.238137282</v>
      </c>
      <c r="I101" s="2">
        <f t="shared" si="80"/>
        <v>20.663067238137284</v>
      </c>
      <c r="J101" s="2">
        <f t="shared" si="81"/>
        <v>1.0697378221506506</v>
      </c>
      <c r="K101" s="4">
        <f t="shared" si="82"/>
        <v>972.21831964608623</v>
      </c>
      <c r="L101" s="4">
        <f t="shared" si="100"/>
        <v>177.59107266168436</v>
      </c>
      <c r="M101" s="161">
        <f t="shared" si="67"/>
        <v>0.26006817115824438</v>
      </c>
      <c r="N101" s="161">
        <f t="shared" si="83"/>
        <v>0.2350815194972693</v>
      </c>
      <c r="O101" s="346">
        <f t="shared" si="84"/>
        <v>0</v>
      </c>
      <c r="P101" s="346">
        <f t="shared" si="85"/>
        <v>0</v>
      </c>
      <c r="Q101" s="347">
        <f t="shared" si="86"/>
        <v>0.7649184805027307</v>
      </c>
      <c r="R101" s="162">
        <f t="shared" si="68"/>
        <v>785.41613899106119</v>
      </c>
      <c r="S101" s="13">
        <f t="shared" si="87"/>
        <v>3.7340309965457074E-4</v>
      </c>
      <c r="T101" s="13">
        <f t="shared" si="88"/>
        <v>2.8229829740491305E-5</v>
      </c>
      <c r="U101" s="13">
        <f t="shared" si="89"/>
        <v>2.922592428733279E-4</v>
      </c>
      <c r="V101" s="20">
        <f t="shared" si="69"/>
        <v>8.6974308502192708E-3</v>
      </c>
      <c r="W101" s="20">
        <f t="shared" si="90"/>
        <v>3.0569369323286181E-3</v>
      </c>
      <c r="X101" s="402">
        <f t="shared" si="91"/>
        <v>0.96381756648771522</v>
      </c>
      <c r="Y101" s="402">
        <f t="shared" si="92"/>
        <v>0.33875860190933399</v>
      </c>
      <c r="Z101" s="336">
        <f t="shared" si="93"/>
        <v>1.3025761683970492</v>
      </c>
      <c r="AA101" s="65">
        <f t="shared" si="70"/>
        <v>9638.1065410377269</v>
      </c>
      <c r="AB101" s="14">
        <f t="shared" si="94"/>
        <v>0</v>
      </c>
      <c r="AC101" s="340">
        <f t="shared" si="71"/>
        <v>1.2600265140074289</v>
      </c>
      <c r="AD101" s="2">
        <f t="shared" si="95"/>
        <v>1</v>
      </c>
      <c r="AE101" s="66">
        <f t="shared" si="96"/>
        <v>1.646053103658569E-2</v>
      </c>
      <c r="AF101" s="4">
        <f t="shared" si="72"/>
        <v>79.133301684004167</v>
      </c>
      <c r="AG101" s="3">
        <f t="shared" si="73"/>
        <v>1.4780308882847348</v>
      </c>
      <c r="AH101" s="4">
        <f t="shared" si="97"/>
        <v>3464.7973178908878</v>
      </c>
      <c r="AI101" s="349">
        <f t="shared" si="98"/>
        <v>0</v>
      </c>
      <c r="AJ101" s="1">
        <f t="shared" si="99"/>
        <v>4.9118940363710256E-2</v>
      </c>
    </row>
    <row r="102" spans="1:36">
      <c r="A102">
        <f t="shared" si="74"/>
        <v>12449.999999999998</v>
      </c>
      <c r="B102" s="4">
        <f t="shared" si="75"/>
        <v>2998.2168737749557</v>
      </c>
      <c r="C102" s="12">
        <f t="shared" si="101"/>
        <v>83</v>
      </c>
      <c r="D102" s="4">
        <f t="shared" si="66"/>
        <v>3795.731707317073</v>
      </c>
      <c r="E102">
        <f t="shared" si="76"/>
        <v>0.11861823723647448</v>
      </c>
      <c r="F102">
        <f t="shared" si="77"/>
        <v>9.0239389202190143E-3</v>
      </c>
      <c r="G102" s="4">
        <f t="shared" si="78"/>
        <v>366.30624132209016</v>
      </c>
      <c r="H102" s="10">
        <f t="shared" si="79"/>
        <v>20672705.34467832</v>
      </c>
      <c r="I102" s="2">
        <f t="shared" si="80"/>
        <v>20.67270534467832</v>
      </c>
      <c r="J102" s="2">
        <f t="shared" si="81"/>
        <v>1.0698012312397647</v>
      </c>
      <c r="K102" s="4">
        <f t="shared" si="82"/>
        <v>972.22270997740463</v>
      </c>
      <c r="L102" s="4">
        <f t="shared" si="100"/>
        <v>177.66337740066501</v>
      </c>
      <c r="M102" s="161">
        <f t="shared" si="67"/>
        <v>0.25999071617618913</v>
      </c>
      <c r="N102" s="161">
        <f t="shared" si="83"/>
        <v>0.23501848647150814</v>
      </c>
      <c r="O102" s="346">
        <f t="shared" si="84"/>
        <v>0</v>
      </c>
      <c r="P102" s="346">
        <f t="shared" si="85"/>
        <v>0</v>
      </c>
      <c r="Q102" s="347">
        <f t="shared" si="86"/>
        <v>0.76498151352849186</v>
      </c>
      <c r="R102" s="162">
        <f t="shared" si="68"/>
        <v>785.48657822340761</v>
      </c>
      <c r="S102" s="13">
        <f t="shared" si="87"/>
        <v>3.7340309965457074E-4</v>
      </c>
      <c r="T102" s="13">
        <f t="shared" si="88"/>
        <v>2.8234957113716137E-5</v>
      </c>
      <c r="U102" s="13">
        <f t="shared" si="89"/>
        <v>2.9228220521643731E-4</v>
      </c>
      <c r="V102" s="20">
        <f t="shared" si="69"/>
        <v>8.697391574647266E-3</v>
      </c>
      <c r="W102" s="20">
        <f t="shared" si="90"/>
        <v>3.05569283222084E-3</v>
      </c>
      <c r="X102" s="402">
        <f t="shared" si="91"/>
        <v>0.96381321411206733</v>
      </c>
      <c r="Y102" s="402">
        <f t="shared" si="92"/>
        <v>0.338620735272738</v>
      </c>
      <c r="Z102" s="336">
        <f t="shared" si="93"/>
        <v>1.3024339493848052</v>
      </c>
      <c r="AA102" s="65">
        <f t="shared" si="70"/>
        <v>9637.0552458764851</v>
      </c>
      <c r="AB102" s="14">
        <f t="shared" si="94"/>
        <v>0</v>
      </c>
      <c r="AC102" s="340">
        <f t="shared" si="71"/>
        <v>1.2599170006951677</v>
      </c>
      <c r="AD102" s="2">
        <f t="shared" si="95"/>
        <v>1</v>
      </c>
      <c r="AE102" s="66">
        <f t="shared" si="96"/>
        <v>1.6460348085028727E-2</v>
      </c>
      <c r="AF102" s="4">
        <f t="shared" si="72"/>
        <v>79.125541128101375</v>
      </c>
      <c r="AG102" s="3">
        <f t="shared" si="73"/>
        <v>1.4779080323554006</v>
      </c>
      <c r="AH102" s="4">
        <f t="shared" si="97"/>
        <v>3464.7973178908878</v>
      </c>
      <c r="AI102" s="349">
        <f t="shared" si="98"/>
        <v>0</v>
      </c>
      <c r="AJ102" s="1">
        <f t="shared" si="99"/>
        <v>4.9118940363710256E-2</v>
      </c>
    </row>
    <row r="103" spans="1:36">
      <c r="A103">
        <f t="shared" si="74"/>
        <v>12599.999999999998</v>
      </c>
      <c r="B103" s="4">
        <f t="shared" si="75"/>
        <v>2999.6145612652931</v>
      </c>
      <c r="C103" s="12">
        <f t="shared" si="101"/>
        <v>84</v>
      </c>
      <c r="D103" s="4">
        <f t="shared" si="66"/>
        <v>3841.4634146341459</v>
      </c>
      <c r="E103">
        <f t="shared" si="76"/>
        <v>0.11861823723647448</v>
      </c>
      <c r="F103">
        <f t="shared" si="77"/>
        <v>9.0239389202190143E-3</v>
      </c>
      <c r="G103" s="4">
        <f t="shared" si="78"/>
        <v>366.30624132209016</v>
      </c>
      <c r="H103" s="10">
        <f t="shared" si="79"/>
        <v>20682342.399924196</v>
      </c>
      <c r="I103" s="2">
        <f t="shared" si="80"/>
        <v>20.682342399924195</v>
      </c>
      <c r="J103" s="2">
        <f t="shared" si="81"/>
        <v>1.069864658483213</v>
      </c>
      <c r="K103" s="4">
        <f t="shared" si="82"/>
        <v>972.22709982983906</v>
      </c>
      <c r="L103" s="4">
        <f t="shared" si="100"/>
        <v>177.7356615185158</v>
      </c>
      <c r="M103" s="161">
        <f t="shared" si="67"/>
        <v>0.25991333023840146</v>
      </c>
      <c r="N103" s="161">
        <f t="shared" si="83"/>
        <v>0.23495550963411582</v>
      </c>
      <c r="O103" s="346">
        <f t="shared" si="84"/>
        <v>0</v>
      </c>
      <c r="P103" s="346">
        <f t="shared" si="85"/>
        <v>0</v>
      </c>
      <c r="Q103" s="347">
        <f t="shared" si="86"/>
        <v>0.76504449036588418</v>
      </c>
      <c r="R103" s="162">
        <f t="shared" si="68"/>
        <v>785.55695904146046</v>
      </c>
      <c r="S103" s="13">
        <f t="shared" si="87"/>
        <v>3.7340309965457074E-4</v>
      </c>
      <c r="T103" s="13">
        <f t="shared" si="88"/>
        <v>2.8240085760501765E-5</v>
      </c>
      <c r="U103" s="13">
        <f t="shared" si="89"/>
        <v>2.9230514781824232E-4</v>
      </c>
      <c r="V103" s="20">
        <f t="shared" si="69"/>
        <v>8.6973523037139778E-3</v>
      </c>
      <c r="W103" s="20">
        <f t="shared" si="90"/>
        <v>3.0544500987203546E-3</v>
      </c>
      <c r="X103" s="402">
        <f t="shared" si="91"/>
        <v>0.96380886225046503</v>
      </c>
      <c r="Y103" s="402">
        <f t="shared" si="92"/>
        <v>0.33848302007857806</v>
      </c>
      <c r="Z103" s="336">
        <f t="shared" si="93"/>
        <v>1.302291882329043</v>
      </c>
      <c r="AA103" s="65">
        <f t="shared" si="70"/>
        <v>9636.0051051630653</v>
      </c>
      <c r="AB103" s="14">
        <f t="shared" si="94"/>
        <v>0</v>
      </c>
      <c r="AC103" s="340">
        <f t="shared" si="71"/>
        <v>1.2598075986267432</v>
      </c>
      <c r="AD103" s="2">
        <f t="shared" si="95"/>
        <v>1</v>
      </c>
      <c r="AE103" s="66">
        <f t="shared" si="96"/>
        <v>1.6460165278601148E-2</v>
      </c>
      <c r="AF103" s="4">
        <f t="shared" si="72"/>
        <v>79.117788933873769</v>
      </c>
      <c r="AG103" s="3">
        <f t="shared" si="73"/>
        <v>1.477785351535579</v>
      </c>
      <c r="AH103" s="4">
        <f t="shared" si="97"/>
        <v>3464.7973178908878</v>
      </c>
      <c r="AI103" s="349">
        <f t="shared" si="98"/>
        <v>0</v>
      </c>
      <c r="AJ103" s="1">
        <f t="shared" si="99"/>
        <v>4.9118940363710256E-2</v>
      </c>
    </row>
    <row r="104" spans="1:36">
      <c r="A104">
        <f t="shared" si="74"/>
        <v>12750</v>
      </c>
      <c r="B104" s="4">
        <f t="shared" si="75"/>
        <v>3001.0120964509588</v>
      </c>
      <c r="C104" s="12">
        <f t="shared" si="101"/>
        <v>85</v>
      </c>
      <c r="D104" s="4">
        <f t="shared" si="66"/>
        <v>3887.1951219512198</v>
      </c>
      <c r="E104">
        <f t="shared" si="76"/>
        <v>0.11861823723647448</v>
      </c>
      <c r="F104">
        <f t="shared" si="77"/>
        <v>9.0239389202190143E-3</v>
      </c>
      <c r="G104" s="4">
        <f t="shared" si="78"/>
        <v>366.30624132209016</v>
      </c>
      <c r="H104" s="10">
        <f t="shared" si="79"/>
        <v>20691978.40502936</v>
      </c>
      <c r="I104" s="2">
        <f t="shared" si="80"/>
        <v>20.69197840502936</v>
      </c>
      <c r="J104" s="2">
        <f t="shared" si="81"/>
        <v>1.0699281038751964</v>
      </c>
      <c r="K104" s="4">
        <f t="shared" si="82"/>
        <v>972.23148920391566</v>
      </c>
      <c r="L104" s="4">
        <f t="shared" si="100"/>
        <v>177.80792502610868</v>
      </c>
      <c r="M104" s="161">
        <f t="shared" si="67"/>
        <v>0.25983601325069894</v>
      </c>
      <c r="N104" s="161">
        <f t="shared" si="83"/>
        <v>0.23489258890844644</v>
      </c>
      <c r="O104" s="346">
        <f t="shared" si="84"/>
        <v>0</v>
      </c>
      <c r="P104" s="346">
        <f t="shared" si="85"/>
        <v>0</v>
      </c>
      <c r="Q104" s="347">
        <f t="shared" si="86"/>
        <v>0.76510741109155356</v>
      </c>
      <c r="R104" s="162">
        <f t="shared" si="68"/>
        <v>785.62728152431521</v>
      </c>
      <c r="S104" s="13">
        <f t="shared" si="87"/>
        <v>3.7340309965457074E-4</v>
      </c>
      <c r="T104" s="13">
        <f t="shared" si="88"/>
        <v>2.8245215680863107E-5</v>
      </c>
      <c r="U104" s="13">
        <f t="shared" si="89"/>
        <v>2.9232807070582537E-4</v>
      </c>
      <c r="V104" s="20">
        <f t="shared" si="69"/>
        <v>8.6973130374145835E-3</v>
      </c>
      <c r="W104" s="20">
        <f t="shared" si="90"/>
        <v>3.0532087295414016E-3</v>
      </c>
      <c r="X104" s="402">
        <f t="shared" si="91"/>
        <v>0.96380451090237396</v>
      </c>
      <c r="Y104" s="402">
        <f t="shared" si="92"/>
        <v>0.33834545607355454</v>
      </c>
      <c r="Z104" s="336">
        <f t="shared" si="93"/>
        <v>1.3021499669759284</v>
      </c>
      <c r="AA104" s="65">
        <f t="shared" si="70"/>
        <v>9634.956116933683</v>
      </c>
      <c r="AB104" s="14">
        <f t="shared" si="94"/>
        <v>0</v>
      </c>
      <c r="AC104" s="340">
        <f t="shared" si="71"/>
        <v>1.2596983076236914</v>
      </c>
      <c r="AD104" s="2">
        <f t="shared" si="95"/>
        <v>1</v>
      </c>
      <c r="AE104" s="66">
        <f t="shared" si="96"/>
        <v>1.6459982617090935E-2</v>
      </c>
      <c r="AF104" s="4">
        <f t="shared" si="72"/>
        <v>79.110045087402696</v>
      </c>
      <c r="AG104" s="3">
        <f t="shared" si="73"/>
        <v>1.4776628455239766</v>
      </c>
      <c r="AH104" s="4">
        <f t="shared" si="97"/>
        <v>3464.7973178908878</v>
      </c>
      <c r="AI104" s="349">
        <f t="shared" si="98"/>
        <v>0</v>
      </c>
      <c r="AJ104" s="1">
        <f t="shared" si="99"/>
        <v>4.9118940363710256E-2</v>
      </c>
    </row>
    <row r="105" spans="1:36">
      <c r="A105">
        <f t="shared" si="74"/>
        <v>12900</v>
      </c>
      <c r="B105" s="4">
        <f t="shared" si="75"/>
        <v>3002.4094794990997</v>
      </c>
      <c r="C105" s="12">
        <f t="shared" si="101"/>
        <v>86</v>
      </c>
      <c r="D105" s="4">
        <f t="shared" si="66"/>
        <v>3932.9268292682927</v>
      </c>
      <c r="E105">
        <f t="shared" si="76"/>
        <v>0.11861823723647448</v>
      </c>
      <c r="F105">
        <f t="shared" si="77"/>
        <v>9.0239389202190143E-3</v>
      </c>
      <c r="G105" s="4">
        <f t="shared" si="78"/>
        <v>366.30624132209016</v>
      </c>
      <c r="H105" s="10">
        <f t="shared" si="79"/>
        <v>20701613.361146294</v>
      </c>
      <c r="I105" s="2">
        <f t="shared" si="80"/>
        <v>20.701613361146293</v>
      </c>
      <c r="J105" s="2">
        <f t="shared" si="81"/>
        <v>1.0699915674099187</v>
      </c>
      <c r="K105" s="4">
        <f t="shared" si="82"/>
        <v>972.23587810015897</v>
      </c>
      <c r="L105" s="4">
        <f t="shared" si="100"/>
        <v>177.88016793429918</v>
      </c>
      <c r="M105" s="161">
        <f t="shared" si="67"/>
        <v>0.25975876511908008</v>
      </c>
      <c r="N105" s="161">
        <f t="shared" si="83"/>
        <v>0.23482972421800141</v>
      </c>
      <c r="O105" s="346">
        <f t="shared" si="84"/>
        <v>0</v>
      </c>
      <c r="P105" s="346">
        <f t="shared" si="85"/>
        <v>0</v>
      </c>
      <c r="Q105" s="347">
        <f t="shared" si="86"/>
        <v>0.76517027578199859</v>
      </c>
      <c r="R105" s="162">
        <f t="shared" si="68"/>
        <v>785.69754575091542</v>
      </c>
      <c r="S105" s="13">
        <f t="shared" si="87"/>
        <v>3.7340309965457074E-4</v>
      </c>
      <c r="T105" s="13">
        <f t="shared" si="88"/>
        <v>2.8250346874814963E-5</v>
      </c>
      <c r="U105" s="13">
        <f t="shared" si="89"/>
        <v>2.9235097390621666E-4</v>
      </c>
      <c r="V105" s="20">
        <f t="shared" si="69"/>
        <v>8.6972737757442659E-3</v>
      </c>
      <c r="W105" s="20">
        <f t="shared" si="90"/>
        <v>3.0519687224034721E-3</v>
      </c>
      <c r="X105" s="402">
        <f t="shared" si="91"/>
        <v>0.96380016006726033</v>
      </c>
      <c r="Y105" s="402">
        <f t="shared" si="92"/>
        <v>0.33820804300494972</v>
      </c>
      <c r="Z105" s="336">
        <f t="shared" si="93"/>
        <v>1.30200820307221</v>
      </c>
      <c r="AA105" s="65">
        <f t="shared" si="70"/>
        <v>9633.9082792291811</v>
      </c>
      <c r="AB105" s="14">
        <f t="shared" si="94"/>
        <v>0</v>
      </c>
      <c r="AC105" s="340">
        <f t="shared" si="71"/>
        <v>1.2595891275079438</v>
      </c>
      <c r="AD105" s="2">
        <f t="shared" si="95"/>
        <v>1</v>
      </c>
      <c r="AE105" s="66">
        <f t="shared" si="96"/>
        <v>1.6459800100286515E-2</v>
      </c>
      <c r="AF105" s="4">
        <f t="shared" si="72"/>
        <v>79.102309574801339</v>
      </c>
      <c r="AG105" s="3">
        <f t="shared" si="73"/>
        <v>1.4775405140199855</v>
      </c>
      <c r="AH105" s="4">
        <f t="shared" si="97"/>
        <v>3464.7973178908878</v>
      </c>
      <c r="AI105" s="349">
        <f t="shared" si="98"/>
        <v>0</v>
      </c>
      <c r="AJ105" s="1">
        <f t="shared" si="99"/>
        <v>4.9118940363710256E-2</v>
      </c>
    </row>
    <row r="106" spans="1:36">
      <c r="A106">
        <f t="shared" si="74"/>
        <v>13049.999999999998</v>
      </c>
      <c r="B106" s="4">
        <f t="shared" si="75"/>
        <v>3003.8067105765804</v>
      </c>
      <c r="C106" s="12">
        <f t="shared" si="101"/>
        <v>87</v>
      </c>
      <c r="D106" s="4">
        <f t="shared" si="66"/>
        <v>3978.6585365853657</v>
      </c>
      <c r="E106">
        <f t="shared" si="76"/>
        <v>0.11861823723647448</v>
      </c>
      <c r="F106">
        <f t="shared" si="77"/>
        <v>9.0239389202190143E-3</v>
      </c>
      <c r="G106" s="4">
        <f t="shared" si="78"/>
        <v>366.30624132209016</v>
      </c>
      <c r="H106" s="10">
        <f t="shared" si="79"/>
        <v>20711247.269425523</v>
      </c>
      <c r="I106" s="2">
        <f t="shared" si="80"/>
        <v>20.711247269425524</v>
      </c>
      <c r="J106" s="2">
        <f t="shared" si="81"/>
        <v>1.0700550490815877</v>
      </c>
      <c r="K106" s="4">
        <f t="shared" si="82"/>
        <v>972.24026651909344</v>
      </c>
      <c r="L106" s="4">
        <f t="shared" si="100"/>
        <v>177.95239025392652</v>
      </c>
      <c r="M106" s="161">
        <f t="shared" si="67"/>
        <v>0.25968158574972383</v>
      </c>
      <c r="N106" s="161">
        <f t="shared" si="83"/>
        <v>0.23476691548642892</v>
      </c>
      <c r="O106" s="346">
        <f t="shared" si="84"/>
        <v>0</v>
      </c>
      <c r="P106" s="346">
        <f t="shared" si="85"/>
        <v>0</v>
      </c>
      <c r="Q106" s="347">
        <f t="shared" si="86"/>
        <v>0.76523308451357108</v>
      </c>
      <c r="R106" s="162">
        <f t="shared" si="68"/>
        <v>785.76775180005393</v>
      </c>
      <c r="S106" s="13">
        <f t="shared" si="87"/>
        <v>3.7340309965457074E-4</v>
      </c>
      <c r="T106" s="13">
        <f t="shared" si="88"/>
        <v>2.8255479342372039E-5</v>
      </c>
      <c r="U106" s="13">
        <f t="shared" si="89"/>
        <v>2.9237385744639472E-4</v>
      </c>
      <c r="V106" s="20">
        <f t="shared" si="69"/>
        <v>8.6972345186982145E-3</v>
      </c>
      <c r="W106" s="20">
        <f t="shared" si="90"/>
        <v>3.0507300750312869E-3</v>
      </c>
      <c r="X106" s="402">
        <f t="shared" si="91"/>
        <v>0.96379580974459089</v>
      </c>
      <c r="Y106" s="402">
        <f t="shared" si="92"/>
        <v>0.33807078062062557</v>
      </c>
      <c r="Z106" s="336">
        <f t="shared" si="93"/>
        <v>1.3018665903652165</v>
      </c>
      <c r="AA106" s="65">
        <f t="shared" si="70"/>
        <v>9632.8615900949426</v>
      </c>
      <c r="AB106" s="14">
        <f t="shared" si="94"/>
        <v>0</v>
      </c>
      <c r="AC106" s="340">
        <f t="shared" si="71"/>
        <v>1.2594800581018246</v>
      </c>
      <c r="AD106" s="2">
        <f t="shared" si="95"/>
        <v>1</v>
      </c>
      <c r="AE106" s="66">
        <f t="shared" si="96"/>
        <v>1.6459617727976786E-2</v>
      </c>
      <c r="AF106" s="4">
        <f t="shared" si="72"/>
        <v>79.094582382214398</v>
      </c>
      <c r="AG106" s="3">
        <f t="shared" si="73"/>
        <v>1.4774183567236827</v>
      </c>
      <c r="AH106" s="4">
        <f t="shared" si="97"/>
        <v>3464.7973178908878</v>
      </c>
      <c r="AI106" s="349">
        <f t="shared" si="98"/>
        <v>0</v>
      </c>
      <c r="AJ106" s="1">
        <f t="shared" si="99"/>
        <v>4.9118940363710256E-2</v>
      </c>
    </row>
    <row r="107" spans="1:36">
      <c r="A107">
        <f t="shared" si="74"/>
        <v>13199.999999999998</v>
      </c>
      <c r="B107" s="4">
        <f t="shared" si="75"/>
        <v>3005.2037898499807</v>
      </c>
      <c r="C107" s="12">
        <f t="shared" si="101"/>
        <v>88</v>
      </c>
      <c r="D107" s="4">
        <f t="shared" si="66"/>
        <v>4024.3902439024387</v>
      </c>
      <c r="E107">
        <f t="shared" si="76"/>
        <v>0.11861823723647448</v>
      </c>
      <c r="F107">
        <f t="shared" si="77"/>
        <v>9.0239389202190143E-3</v>
      </c>
      <c r="G107" s="4">
        <f t="shared" si="78"/>
        <v>366.30624132209016</v>
      </c>
      <c r="H107" s="10">
        <f t="shared" si="79"/>
        <v>20720880.131015617</v>
      </c>
      <c r="I107" s="2">
        <f t="shared" si="80"/>
        <v>20.720880131015619</v>
      </c>
      <c r="J107" s="2">
        <f t="shared" si="81"/>
        <v>1.0701185488844143</v>
      </c>
      <c r="K107" s="4">
        <f t="shared" si="82"/>
        <v>972.24465446124213</v>
      </c>
      <c r="L107" s="4">
        <f t="shared" si="100"/>
        <v>178.02459199581367</v>
      </c>
      <c r="M107" s="161">
        <f t="shared" si="67"/>
        <v>0.25960447504898893</v>
      </c>
      <c r="N107" s="161">
        <f t="shared" si="83"/>
        <v>0.23470416263752358</v>
      </c>
      <c r="O107" s="346">
        <f t="shared" si="84"/>
        <v>0</v>
      </c>
      <c r="P107" s="346">
        <f t="shared" si="85"/>
        <v>0</v>
      </c>
      <c r="Q107" s="347">
        <f t="shared" si="86"/>
        <v>0.76529583736247642</v>
      </c>
      <c r="R107" s="162">
        <f t="shared" si="68"/>
        <v>785.837899750372</v>
      </c>
      <c r="S107" s="13">
        <f t="shared" si="87"/>
        <v>3.7340309965457074E-4</v>
      </c>
      <c r="T107" s="13">
        <f t="shared" si="88"/>
        <v>2.8260613083548935E-5</v>
      </c>
      <c r="U107" s="13">
        <f t="shared" si="89"/>
        <v>2.9239672135328635E-4</v>
      </c>
      <c r="V107" s="20">
        <f t="shared" si="69"/>
        <v>8.6971952662716293E-3</v>
      </c>
      <c r="W107" s="20">
        <f t="shared" si="90"/>
        <v>3.0494927851547854E-3</v>
      </c>
      <c r="X107" s="402">
        <f t="shared" si="91"/>
        <v>0.96379145993383397</v>
      </c>
      <c r="Y107" s="402">
        <f t="shared" si="92"/>
        <v>0.33793366866902208</v>
      </c>
      <c r="Z107" s="336">
        <f t="shared" si="93"/>
        <v>1.3017251286028562</v>
      </c>
      <c r="AA107" s="65">
        <f t="shared" si="70"/>
        <v>9631.8160475808654</v>
      </c>
      <c r="AB107" s="14">
        <f t="shared" si="94"/>
        <v>0</v>
      </c>
      <c r="AC107" s="340">
        <f t="shared" si="71"/>
        <v>1.2593710992280513</v>
      </c>
      <c r="AD107" s="2">
        <f t="shared" si="95"/>
        <v>1</v>
      </c>
      <c r="AE107" s="66">
        <f t="shared" si="96"/>
        <v>1.6459435499951113E-2</v>
      </c>
      <c r="AF107" s="4">
        <f t="shared" si="72"/>
        <v>79.086863495818093</v>
      </c>
      <c r="AG107" s="3">
        <f t="shared" si="73"/>
        <v>1.4772963733358282</v>
      </c>
      <c r="AH107" s="4">
        <f t="shared" si="97"/>
        <v>3464.7973178908878</v>
      </c>
      <c r="AI107" s="349">
        <f t="shared" si="98"/>
        <v>0</v>
      </c>
      <c r="AJ107" s="1">
        <f t="shared" si="99"/>
        <v>4.9118940363710256E-2</v>
      </c>
    </row>
    <row r="108" spans="1:36">
      <c r="A108">
        <f t="shared" si="74"/>
        <v>13349.999999999998</v>
      </c>
      <c r="B108" s="4">
        <f t="shared" si="75"/>
        <v>3006.6007174855977</v>
      </c>
      <c r="C108" s="12">
        <f t="shared" si="101"/>
        <v>89</v>
      </c>
      <c r="D108" s="4">
        <f t="shared" si="66"/>
        <v>4070.1219512195121</v>
      </c>
      <c r="E108">
        <f t="shared" si="76"/>
        <v>0.11861823723647448</v>
      </c>
      <c r="F108">
        <f t="shared" si="77"/>
        <v>9.0239389202190143E-3</v>
      </c>
      <c r="G108" s="4">
        <f t="shared" si="78"/>
        <v>366.30624132209016</v>
      </c>
      <c r="H108" s="10">
        <f t="shared" si="79"/>
        <v>20730511.947063196</v>
      </c>
      <c r="I108" s="2">
        <f t="shared" si="80"/>
        <v>20.730511947063196</v>
      </c>
      <c r="J108" s="2">
        <f t="shared" si="81"/>
        <v>1.0701820668126125</v>
      </c>
      <c r="K108" s="4">
        <f t="shared" si="82"/>
        <v>972.24904192712734</v>
      </c>
      <c r="L108" s="4">
        <f t="shared" si="100"/>
        <v>178.09677317076734</v>
      </c>
      <c r="M108" s="161">
        <f t="shared" si="67"/>
        <v>0.25952743292341374</v>
      </c>
      <c r="N108" s="161">
        <f t="shared" si="83"/>
        <v>0.23464146559522603</v>
      </c>
      <c r="O108" s="346">
        <f t="shared" si="84"/>
        <v>0</v>
      </c>
      <c r="P108" s="346">
        <f t="shared" si="85"/>
        <v>0</v>
      </c>
      <c r="Q108" s="347">
        <f t="shared" si="86"/>
        <v>0.76535853440477397</v>
      </c>
      <c r="R108" s="162">
        <f t="shared" si="68"/>
        <v>785.9079896803612</v>
      </c>
      <c r="S108" s="13">
        <f t="shared" si="87"/>
        <v>3.7340309965457074E-4</v>
      </c>
      <c r="T108" s="13">
        <f t="shared" si="88"/>
        <v>2.826574809836016E-5</v>
      </c>
      <c r="U108" s="13">
        <f t="shared" si="89"/>
        <v>2.9241956565376675E-4</v>
      </c>
      <c r="V108" s="20">
        <f t="shared" si="69"/>
        <v>8.6971560184597192E-3</v>
      </c>
      <c r="W108" s="20">
        <f t="shared" si="90"/>
        <v>3.0482568505091072E-3</v>
      </c>
      <c r="X108" s="402">
        <f t="shared" si="91"/>
        <v>0.96378711063445854</v>
      </c>
      <c r="Y108" s="402">
        <f t="shared" si="92"/>
        <v>0.33779670689915586</v>
      </c>
      <c r="Z108" s="336">
        <f t="shared" si="93"/>
        <v>1.3015838175336143</v>
      </c>
      <c r="AA108" s="65">
        <f t="shared" si="70"/>
        <v>9630.7716497414731</v>
      </c>
      <c r="AB108" s="14">
        <f t="shared" si="94"/>
        <v>0</v>
      </c>
      <c r="AC108" s="340">
        <f t="shared" si="71"/>
        <v>1.2592622507097333</v>
      </c>
      <c r="AD108" s="2">
        <f t="shared" si="95"/>
        <v>1</v>
      </c>
      <c r="AE108" s="66">
        <f t="shared" si="96"/>
        <v>1.6459253415999311E-2</v>
      </c>
      <c r="AF108" s="4">
        <f t="shared" si="72"/>
        <v>79.079152901820095</v>
      </c>
      <c r="AG108" s="3">
        <f t="shared" si="73"/>
        <v>1.4771745635578624</v>
      </c>
      <c r="AH108" s="4">
        <f t="shared" si="97"/>
        <v>3464.7973178908878</v>
      </c>
      <c r="AI108" s="349">
        <f t="shared" si="98"/>
        <v>0</v>
      </c>
      <c r="AJ108" s="1">
        <f t="shared" si="99"/>
        <v>4.9118940363710256E-2</v>
      </c>
    </row>
    <row r="109" spans="1:36">
      <c r="A109">
        <f t="shared" si="74"/>
        <v>13500</v>
      </c>
      <c r="B109" s="4">
        <f t="shared" si="75"/>
        <v>3007.9974936494468</v>
      </c>
      <c r="C109" s="12">
        <f t="shared" si="101"/>
        <v>90</v>
      </c>
      <c r="D109" s="4">
        <f t="shared" si="66"/>
        <v>4115.8536585365855</v>
      </c>
      <c r="E109">
        <f t="shared" si="76"/>
        <v>0.11861823723647448</v>
      </c>
      <c r="F109">
        <f t="shared" si="77"/>
        <v>9.0239389202190143E-3</v>
      </c>
      <c r="G109" s="4">
        <f t="shared" si="78"/>
        <v>366.30624132209016</v>
      </c>
      <c r="H109" s="10">
        <f t="shared" si="79"/>
        <v>20740142.718712937</v>
      </c>
      <c r="I109" s="2">
        <f t="shared" si="80"/>
        <v>20.740142718712939</v>
      </c>
      <c r="J109" s="2">
        <f t="shared" si="81"/>
        <v>1.0702456028603999</v>
      </c>
      <c r="K109" s="4">
        <f t="shared" si="82"/>
        <v>972.25342891727053</v>
      </c>
      <c r="L109" s="4">
        <f t="shared" si="100"/>
        <v>178.16893378957812</v>
      </c>
      <c r="M109" s="161">
        <f t="shared" si="67"/>
        <v>0.25945045927971538</v>
      </c>
      <c r="N109" s="161">
        <f t="shared" si="83"/>
        <v>0.23457882428362253</v>
      </c>
      <c r="O109" s="346">
        <f t="shared" si="84"/>
        <v>0</v>
      </c>
      <c r="P109" s="346">
        <f t="shared" si="85"/>
        <v>0</v>
      </c>
      <c r="Q109" s="347">
        <f t="shared" si="86"/>
        <v>0.76542117571637747</v>
      </c>
      <c r="R109" s="162">
        <f t="shared" si="68"/>
        <v>785.97802166836243</v>
      </c>
      <c r="S109" s="13">
        <f t="shared" si="87"/>
        <v>3.7340309965457074E-4</v>
      </c>
      <c r="T109" s="13">
        <f t="shared" si="88"/>
        <v>2.8270884386820106E-5</v>
      </c>
      <c r="U109" s="13">
        <f t="shared" si="89"/>
        <v>2.9244239037465964E-4</v>
      </c>
      <c r="V109" s="20">
        <f t="shared" si="69"/>
        <v>8.6971167752576978E-3</v>
      </c>
      <c r="W109" s="20">
        <f t="shared" si="90"/>
        <v>3.0470222688345782E-3</v>
      </c>
      <c r="X109" s="402">
        <f t="shared" si="91"/>
        <v>0.96378276184593403</v>
      </c>
      <c r="Y109" s="402">
        <f t="shared" si="92"/>
        <v>0.33765989506061794</v>
      </c>
      <c r="Z109" s="336">
        <f t="shared" si="93"/>
        <v>1.301442656906552</v>
      </c>
      <c r="AA109" s="65">
        <f t="shared" si="70"/>
        <v>9629.7283946357202</v>
      </c>
      <c r="AB109" s="14">
        <f t="shared" si="94"/>
        <v>0</v>
      </c>
      <c r="AC109" s="340">
        <f t="shared" si="71"/>
        <v>1.259153512370369</v>
      </c>
      <c r="AD109" s="2">
        <f t="shared" si="95"/>
        <v>1</v>
      </c>
      <c r="AE109" s="66">
        <f t="shared" si="96"/>
        <v>1.6459071475911666E-2</v>
      </c>
      <c r="AF109" s="4">
        <f t="shared" si="72"/>
        <v>79.071450586459363</v>
      </c>
      <c r="AG109" s="3">
        <f t="shared" si="73"/>
        <v>1.4770529270919031</v>
      </c>
      <c r="AH109" s="4">
        <f t="shared" si="97"/>
        <v>3464.7973178908878</v>
      </c>
      <c r="AI109" s="349">
        <f t="shared" si="98"/>
        <v>0</v>
      </c>
      <c r="AJ109" s="1">
        <f t="shared" si="99"/>
        <v>4.9118940363710256E-2</v>
      </c>
    </row>
    <row r="110" spans="1:36">
      <c r="A110">
        <f t="shared" si="74"/>
        <v>13649.999999999998</v>
      </c>
      <c r="B110" s="4">
        <f t="shared" si="75"/>
        <v>3009.3941185072622</v>
      </c>
      <c r="C110" s="12">
        <f t="shared" si="101"/>
        <v>91</v>
      </c>
      <c r="D110" s="4">
        <f t="shared" si="66"/>
        <v>4161.585365853658</v>
      </c>
      <c r="E110">
        <f t="shared" si="76"/>
        <v>0.11861823723647448</v>
      </c>
      <c r="F110">
        <f t="shared" si="77"/>
        <v>9.0239389202190143E-3</v>
      </c>
      <c r="G110" s="4">
        <f t="shared" si="78"/>
        <v>366.30624132209016</v>
      </c>
      <c r="H110" s="10">
        <f t="shared" si="79"/>
        <v>20749772.447107572</v>
      </c>
      <c r="I110" s="2">
        <f t="shared" si="80"/>
        <v>20.749772447107571</v>
      </c>
      <c r="J110" s="2">
        <f t="shared" si="81"/>
        <v>1.0703091570219976</v>
      </c>
      <c r="K110" s="4">
        <f t="shared" si="82"/>
        <v>972.25781543219227</v>
      </c>
      <c r="L110" s="4">
        <f t="shared" si="100"/>
        <v>178.24107386302043</v>
      </c>
      <c r="M110" s="161">
        <f t="shared" si="67"/>
        <v>0.25937355402478973</v>
      </c>
      <c r="N110" s="161">
        <f t="shared" si="83"/>
        <v>0.23451623862694471</v>
      </c>
      <c r="O110" s="346">
        <f t="shared" si="84"/>
        <v>0</v>
      </c>
      <c r="P110" s="346">
        <f t="shared" si="85"/>
        <v>0</v>
      </c>
      <c r="Q110" s="347">
        <f t="shared" si="86"/>
        <v>0.76548376137305529</v>
      </c>
      <c r="R110" s="162">
        <f t="shared" si="68"/>
        <v>786.04799579256724</v>
      </c>
      <c r="S110" s="13">
        <f t="shared" si="87"/>
        <v>3.7340309965457074E-4</v>
      </c>
      <c r="T110" s="13">
        <f t="shared" si="88"/>
        <v>2.8276021948943075E-5</v>
      </c>
      <c r="U110" s="13">
        <f t="shared" si="89"/>
        <v>2.9246519554273765E-4</v>
      </c>
      <c r="V110" s="20">
        <f t="shared" si="69"/>
        <v>8.6970775366607897E-3</v>
      </c>
      <c r="W110" s="20">
        <f t="shared" si="90"/>
        <v>3.0457890378766958E-3</v>
      </c>
      <c r="X110" s="402">
        <f t="shared" si="91"/>
        <v>0.96377841356773153</v>
      </c>
      <c r="Y110" s="402">
        <f t="shared" si="92"/>
        <v>0.33752323290357261</v>
      </c>
      <c r="Z110" s="336">
        <f t="shared" si="93"/>
        <v>1.3013016464713041</v>
      </c>
      <c r="AA110" s="65">
        <f t="shared" si="70"/>
        <v>9628.6862803271288</v>
      </c>
      <c r="AB110" s="14">
        <f t="shared" si="94"/>
        <v>0</v>
      </c>
      <c r="AC110" s="340">
        <f t="shared" si="71"/>
        <v>1.2590448840338471</v>
      </c>
      <c r="AD110" s="2">
        <f t="shared" si="95"/>
        <v>1</v>
      </c>
      <c r="AE110" s="66">
        <f t="shared" si="96"/>
        <v>1.6458889679478918E-2</v>
      </c>
      <c r="AF110" s="4">
        <f t="shared" si="72"/>
        <v>79.063756536006068</v>
      </c>
      <c r="AG110" s="3">
        <f t="shared" si="73"/>
        <v>1.476931463640746</v>
      </c>
      <c r="AH110" s="4">
        <f t="shared" si="97"/>
        <v>3464.7973178908878</v>
      </c>
      <c r="AI110" s="349">
        <f t="shared" si="98"/>
        <v>0</v>
      </c>
      <c r="AJ110" s="1">
        <f t="shared" si="99"/>
        <v>4.9118940363710256E-2</v>
      </c>
    </row>
    <row r="111" spans="1:36">
      <c r="A111">
        <f t="shared" si="74"/>
        <v>13799.999999999998</v>
      </c>
      <c r="B111" s="4">
        <f t="shared" si="75"/>
        <v>3010.7905922244963</v>
      </c>
      <c r="C111" s="12">
        <f t="shared" si="101"/>
        <v>92</v>
      </c>
      <c r="D111" s="4">
        <f t="shared" si="66"/>
        <v>4207.3170731707314</v>
      </c>
      <c r="E111">
        <f t="shared" si="76"/>
        <v>0.11861823723647448</v>
      </c>
      <c r="F111">
        <f t="shared" si="77"/>
        <v>9.0239389202190143E-3</v>
      </c>
      <c r="G111" s="4">
        <f t="shared" si="78"/>
        <v>366.30624132209016</v>
      </c>
      <c r="H111" s="10">
        <f t="shared" si="79"/>
        <v>20759401.133387901</v>
      </c>
      <c r="I111" s="2">
        <f t="shared" si="80"/>
        <v>20.7594011333879</v>
      </c>
      <c r="J111" s="2">
        <f t="shared" si="81"/>
        <v>1.0703727292916296</v>
      </c>
      <c r="K111" s="4">
        <f t="shared" si="82"/>
        <v>972.26220147241202</v>
      </c>
      <c r="L111" s="4">
        <f t="shared" si="100"/>
        <v>178.31319340185257</v>
      </c>
      <c r="M111" s="161">
        <f t="shared" si="67"/>
        <v>0.25929671706571067</v>
      </c>
      <c r="N111" s="161">
        <f t="shared" si="83"/>
        <v>0.23445370854956915</v>
      </c>
      <c r="O111" s="346">
        <f t="shared" si="84"/>
        <v>0</v>
      </c>
      <c r="P111" s="346">
        <f t="shared" si="85"/>
        <v>0</v>
      </c>
      <c r="Q111" s="347">
        <f t="shared" si="86"/>
        <v>0.76554629145043085</v>
      </c>
      <c r="R111" s="162">
        <f t="shared" si="68"/>
        <v>786.11791213101765</v>
      </c>
      <c r="S111" s="13">
        <f t="shared" si="87"/>
        <v>3.7340309965457074E-4</v>
      </c>
      <c r="T111" s="13">
        <f t="shared" si="88"/>
        <v>2.8281160784743263E-5</v>
      </c>
      <c r="U111" s="13">
        <f t="shared" si="89"/>
        <v>2.9248798118472198E-4</v>
      </c>
      <c r="V111" s="20">
        <f t="shared" si="69"/>
        <v>8.6970383026642277E-3</v>
      </c>
      <c r="W111" s="20">
        <f t="shared" si="90"/>
        <v>3.0445571553861131E-3</v>
      </c>
      <c r="X111" s="402">
        <f t="shared" si="91"/>
        <v>0.96377406579932257</v>
      </c>
      <c r="Y111" s="402">
        <f t="shared" si="92"/>
        <v>0.33738672017875543</v>
      </c>
      <c r="Z111" s="336">
        <f t="shared" si="93"/>
        <v>1.301160785978078</v>
      </c>
      <c r="AA111" s="65">
        <f t="shared" si="70"/>
        <v>9627.6453048836993</v>
      </c>
      <c r="AB111" s="14">
        <f t="shared" si="94"/>
        <v>0</v>
      </c>
      <c r="AC111" s="340">
        <f t="shared" si="71"/>
        <v>1.2589363655244445</v>
      </c>
      <c r="AD111" s="2">
        <f t="shared" si="95"/>
        <v>1</v>
      </c>
      <c r="AE111" s="66">
        <f t="shared" si="96"/>
        <v>1.6458708026492259E-2</v>
      </c>
      <c r="AF111" s="4">
        <f t="shared" si="72"/>
        <v>79.056070736761612</v>
      </c>
      <c r="AG111" s="3">
        <f t="shared" si="73"/>
        <v>1.4768101729078613</v>
      </c>
      <c r="AH111" s="4">
        <f t="shared" si="97"/>
        <v>3464.7973178908878</v>
      </c>
      <c r="AI111" s="349">
        <f t="shared" si="98"/>
        <v>0</v>
      </c>
      <c r="AJ111" s="1">
        <f t="shared" si="99"/>
        <v>4.9118940363710256E-2</v>
      </c>
    </row>
    <row r="112" spans="1:36">
      <c r="A112">
        <f t="shared" si="74"/>
        <v>13949.999999999998</v>
      </c>
      <c r="B112" s="4">
        <f t="shared" si="75"/>
        <v>3012.1869149663212</v>
      </c>
      <c r="C112" s="12">
        <f t="shared" si="101"/>
        <v>93</v>
      </c>
      <c r="D112" s="4">
        <f t="shared" si="66"/>
        <v>4253.0487804878048</v>
      </c>
      <c r="E112">
        <f t="shared" si="76"/>
        <v>0.11861823723647448</v>
      </c>
      <c r="F112">
        <f t="shared" si="77"/>
        <v>9.0239389202190143E-3</v>
      </c>
      <c r="G112" s="4">
        <f t="shared" si="78"/>
        <v>366.30624132209016</v>
      </c>
      <c r="H112" s="10">
        <f t="shared" si="79"/>
        <v>20769028.778692786</v>
      </c>
      <c r="I112" s="2">
        <f t="shared" si="80"/>
        <v>20.769028778692785</v>
      </c>
      <c r="J112" s="2">
        <f t="shared" si="81"/>
        <v>1.0704363196635236</v>
      </c>
      <c r="K112" s="4">
        <f t="shared" si="82"/>
        <v>972.26658703844873</v>
      </c>
      <c r="L112" s="4">
        <f t="shared" si="100"/>
        <v>178.38529241681678</v>
      </c>
      <c r="M112" s="161">
        <f t="shared" si="67"/>
        <v>0.25921994830972994</v>
      </c>
      <c r="N112" s="161">
        <f t="shared" si="83"/>
        <v>0.23439123397601713</v>
      </c>
      <c r="O112" s="346">
        <f t="shared" si="84"/>
        <v>0</v>
      </c>
      <c r="P112" s="346">
        <f t="shared" si="85"/>
        <v>0</v>
      </c>
      <c r="Q112" s="347">
        <f t="shared" si="86"/>
        <v>0.76560876602398287</v>
      </c>
      <c r="R112" s="162">
        <f t="shared" si="68"/>
        <v>786.18777076160632</v>
      </c>
      <c r="S112" s="13">
        <f t="shared" si="87"/>
        <v>3.7340309965457074E-4</v>
      </c>
      <c r="T112" s="13">
        <f t="shared" si="88"/>
        <v>2.828630089423477E-5</v>
      </c>
      <c r="U112" s="13">
        <f t="shared" si="89"/>
        <v>2.925107473272828E-4</v>
      </c>
      <c r="V112" s="20">
        <f t="shared" si="69"/>
        <v>8.69699907326325E-3</v>
      </c>
      <c r="W112" s="20">
        <f t="shared" si="90"/>
        <v>3.0433266191186238E-3</v>
      </c>
      <c r="X112" s="402">
        <f t="shared" si="91"/>
        <v>0.96376971854017945</v>
      </c>
      <c r="Y112" s="402">
        <f t="shared" si="92"/>
        <v>0.33725035663747172</v>
      </c>
      <c r="Z112" s="336">
        <f t="shared" si="93"/>
        <v>1.3010200751776511</v>
      </c>
      <c r="AA112" s="65">
        <f t="shared" si="70"/>
        <v>9626.6054663779105</v>
      </c>
      <c r="AB112" s="14">
        <f t="shared" si="94"/>
        <v>0</v>
      </c>
      <c r="AC112" s="340">
        <f t="shared" si="71"/>
        <v>1.2588279566668248</v>
      </c>
      <c r="AD112" s="2">
        <f t="shared" si="95"/>
        <v>1</v>
      </c>
      <c r="AE112" s="66">
        <f t="shared" si="96"/>
        <v>1.6458526516743351E-2</v>
      </c>
      <c r="AF112" s="4">
        <f t="shared" si="72"/>
        <v>79.048393175058294</v>
      </c>
      <c r="AG112" s="3">
        <f t="shared" si="73"/>
        <v>1.476689054597391</v>
      </c>
      <c r="AH112" s="4">
        <f t="shared" si="97"/>
        <v>3464.7973178908878</v>
      </c>
      <c r="AI112" s="349">
        <f t="shared" si="98"/>
        <v>0</v>
      </c>
      <c r="AJ112" s="1">
        <f t="shared" si="99"/>
        <v>4.9118940363710256E-2</v>
      </c>
    </row>
    <row r="113" spans="1:36">
      <c r="A113">
        <f t="shared" si="74"/>
        <v>14100</v>
      </c>
      <c r="B113" s="4">
        <f t="shared" si="75"/>
        <v>3013.5830868976304</v>
      </c>
      <c r="C113" s="12">
        <f t="shared" si="101"/>
        <v>94</v>
      </c>
      <c r="D113" s="4">
        <f t="shared" si="66"/>
        <v>4298.7804878048782</v>
      </c>
      <c r="E113">
        <f t="shared" si="76"/>
        <v>0.11861823723647448</v>
      </c>
      <c r="F113">
        <f t="shared" si="77"/>
        <v>9.0239389202190143E-3</v>
      </c>
      <c r="G113" s="4">
        <f t="shared" si="78"/>
        <v>366.30624132209016</v>
      </c>
      <c r="H113" s="10">
        <f t="shared" si="79"/>
        <v>20778655.384159163</v>
      </c>
      <c r="I113" s="2">
        <f t="shared" si="80"/>
        <v>20.778655384159162</v>
      </c>
      <c r="J113" s="2">
        <f t="shared" si="81"/>
        <v>1.0704999281319103</v>
      </c>
      <c r="K113" s="4">
        <f t="shared" si="82"/>
        <v>972.27097213082027</v>
      </c>
      <c r="L113" s="4">
        <f t="shared" si="100"/>
        <v>178.4573709186393</v>
      </c>
      <c r="M113" s="161">
        <f t="shared" si="67"/>
        <v>0.25914324766427627</v>
      </c>
      <c r="N113" s="161">
        <f t="shared" si="83"/>
        <v>0.23432881483095402</v>
      </c>
      <c r="O113" s="346">
        <f t="shared" si="84"/>
        <v>0</v>
      </c>
      <c r="P113" s="346">
        <f t="shared" si="85"/>
        <v>0</v>
      </c>
      <c r="Q113" s="347">
        <f t="shared" si="86"/>
        <v>0.76567118516904598</v>
      </c>
      <c r="R113" s="162">
        <f t="shared" si="68"/>
        <v>786.25757176207844</v>
      </c>
      <c r="S113" s="13">
        <f t="shared" si="87"/>
        <v>3.7340309965457074E-4</v>
      </c>
      <c r="T113" s="13">
        <f t="shared" si="88"/>
        <v>2.8291442277431591E-5</v>
      </c>
      <c r="U113" s="13">
        <f t="shared" si="89"/>
        <v>2.9253349399703944E-4</v>
      </c>
      <c r="V113" s="20">
        <f t="shared" si="69"/>
        <v>8.6969598484531035E-3</v>
      </c>
      <c r="W113" s="20">
        <f t="shared" si="90"/>
        <v>3.0420974268351476E-3</v>
      </c>
      <c r="X113" s="402">
        <f t="shared" si="91"/>
        <v>0.9637653717897755</v>
      </c>
      <c r="Y113" s="402">
        <f t="shared" si="92"/>
        <v>0.33711414203159468</v>
      </c>
      <c r="Z113" s="336">
        <f t="shared" si="93"/>
        <v>1.3008795138213702</v>
      </c>
      <c r="AA113" s="65">
        <f t="shared" si="70"/>
        <v>9625.5667628867268</v>
      </c>
      <c r="AB113" s="14">
        <f t="shared" si="94"/>
        <v>0</v>
      </c>
      <c r="AC113" s="340">
        <f t="shared" si="71"/>
        <v>1.2587196572860373</v>
      </c>
      <c r="AD113" s="2">
        <f t="shared" si="95"/>
        <v>1</v>
      </c>
      <c r="AE113" s="66">
        <f t="shared" si="96"/>
        <v>1.645834515002428E-2</v>
      </c>
      <c r="AF113" s="4">
        <f t="shared" si="72"/>
        <v>79.040723837259605</v>
      </c>
      <c r="AG113" s="3">
        <f t="shared" si="73"/>
        <v>1.476568108414148</v>
      </c>
      <c r="AH113" s="4">
        <f t="shared" si="97"/>
        <v>3464.7973178908878</v>
      </c>
      <c r="AI113" s="349">
        <f t="shared" si="98"/>
        <v>0</v>
      </c>
      <c r="AJ113" s="1">
        <f t="shared" si="99"/>
        <v>4.9118940363710256E-2</v>
      </c>
    </row>
    <row r="114" spans="1:36">
      <c r="A114">
        <f t="shared" si="74"/>
        <v>14249.999999999998</v>
      </c>
      <c r="B114" s="4">
        <f t="shared" si="75"/>
        <v>3014.9791081830385</v>
      </c>
      <c r="C114" s="12">
        <f t="shared" si="101"/>
        <v>95</v>
      </c>
      <c r="D114" s="4">
        <f t="shared" si="66"/>
        <v>4344.5121951219508</v>
      </c>
      <c r="E114">
        <f t="shared" si="76"/>
        <v>0.11861823723647448</v>
      </c>
      <c r="F114">
        <f t="shared" si="77"/>
        <v>9.0239389202190143E-3</v>
      </c>
      <c r="G114" s="4">
        <f t="shared" si="78"/>
        <v>366.30624132209016</v>
      </c>
      <c r="H114" s="10">
        <f t="shared" si="79"/>
        <v>20788280.95092205</v>
      </c>
      <c r="I114" s="2">
        <f t="shared" si="80"/>
        <v>20.788280950922051</v>
      </c>
      <c r="J114" s="2">
        <f t="shared" si="81"/>
        <v>1.0705635546910242</v>
      </c>
      <c r="K114" s="4">
        <f t="shared" si="82"/>
        <v>972.27535675004356</v>
      </c>
      <c r="L114" s="4">
        <f t="shared" si="100"/>
        <v>178.52942891803036</v>
      </c>
      <c r="M114" s="161">
        <f t="shared" si="67"/>
        <v>0.25906661503695516</v>
      </c>
      <c r="N114" s="161">
        <f t="shared" si="83"/>
        <v>0.23426645103918875</v>
      </c>
      <c r="O114" s="346">
        <f t="shared" si="84"/>
        <v>0</v>
      </c>
      <c r="P114" s="346">
        <f t="shared" si="85"/>
        <v>0</v>
      </c>
      <c r="Q114" s="347">
        <f t="shared" si="86"/>
        <v>0.76573354896081125</v>
      </c>
      <c r="R114" s="162">
        <f t="shared" si="68"/>
        <v>786.32731521002972</v>
      </c>
      <c r="S114" s="13">
        <f t="shared" si="87"/>
        <v>3.7340309965457074E-4</v>
      </c>
      <c r="T114" s="13">
        <f t="shared" si="88"/>
        <v>2.829658493434763E-5</v>
      </c>
      <c r="U114" s="13">
        <f t="shared" si="89"/>
        <v>2.9255622122056056E-4</v>
      </c>
      <c r="V114" s="20">
        <f t="shared" si="69"/>
        <v>8.696920628229049E-3</v>
      </c>
      <c r="W114" s="20">
        <f t="shared" si="90"/>
        <v>3.0408695763017145E-3</v>
      </c>
      <c r="X114" s="402">
        <f t="shared" si="91"/>
        <v>0.96376102554758558</v>
      </c>
      <c r="Y114" s="402">
        <f t="shared" si="92"/>
        <v>0.3369780761135639</v>
      </c>
      <c r="Z114" s="336">
        <f t="shared" si="93"/>
        <v>1.3007391016611494</v>
      </c>
      <c r="AA114" s="65">
        <f t="shared" si="70"/>
        <v>9624.5291924915582</v>
      </c>
      <c r="AB114" s="14">
        <f t="shared" si="94"/>
        <v>0</v>
      </c>
      <c r="AC114" s="340">
        <f t="shared" si="71"/>
        <v>1.2586114672075168</v>
      </c>
      <c r="AD114" s="2">
        <f t="shared" si="95"/>
        <v>1</v>
      </c>
      <c r="AE114" s="66">
        <f t="shared" si="96"/>
        <v>1.6458163926127631E-2</v>
      </c>
      <c r="AF114" s="4">
        <f t="shared" si="72"/>
        <v>79.033062709759662</v>
      </c>
      <c r="AG114" s="3">
        <f t="shared" si="73"/>
        <v>1.4764473340636144</v>
      </c>
      <c r="AH114" s="4">
        <f t="shared" si="97"/>
        <v>3464.7973178908878</v>
      </c>
      <c r="AI114" s="349">
        <f t="shared" si="98"/>
        <v>0</v>
      </c>
      <c r="AJ114" s="1">
        <f t="shared" si="99"/>
        <v>4.9118940363710256E-2</v>
      </c>
    </row>
    <row r="115" spans="1:36">
      <c r="A115">
        <f t="shared" si="74"/>
        <v>14399.999999999998</v>
      </c>
      <c r="B115" s="4">
        <f t="shared" si="75"/>
        <v>3016.3749789868807</v>
      </c>
      <c r="C115" s="12">
        <f t="shared" si="101"/>
        <v>96</v>
      </c>
      <c r="D115" s="4">
        <f t="shared" si="66"/>
        <v>4390.2439024390242</v>
      </c>
      <c r="E115">
        <f t="shared" si="76"/>
        <v>0.11861823723647448</v>
      </c>
      <c r="F115">
        <f t="shared" si="77"/>
        <v>9.0239389202190143E-3</v>
      </c>
      <c r="G115" s="4">
        <f t="shared" si="78"/>
        <v>366.30624132209016</v>
      </c>
      <c r="H115" s="10">
        <f t="shared" si="79"/>
        <v>20797905.480114542</v>
      </c>
      <c r="I115" s="2">
        <f t="shared" si="80"/>
        <v>20.79790548011454</v>
      </c>
      <c r="J115" s="2">
        <f t="shared" si="81"/>
        <v>1.0706271993351022</v>
      </c>
      <c r="K115" s="4">
        <f t="shared" si="82"/>
        <v>972.27974089663496</v>
      </c>
      <c r="L115" s="4">
        <f t="shared" si="100"/>
        <v>178.60146642568429</v>
      </c>
      <c r="M115" s="161">
        <f t="shared" si="67"/>
        <v>0.25899005033554867</v>
      </c>
      <c r="N115" s="161">
        <f t="shared" si="83"/>
        <v>0.23420414252567445</v>
      </c>
      <c r="O115" s="346">
        <f t="shared" si="84"/>
        <v>0</v>
      </c>
      <c r="P115" s="346">
        <f t="shared" si="85"/>
        <v>0</v>
      </c>
      <c r="Q115" s="347">
        <f t="shared" si="86"/>
        <v>0.76579585747432555</v>
      </c>
      <c r="R115" s="162">
        <f t="shared" si="68"/>
        <v>786.39700118290909</v>
      </c>
      <c r="S115" s="13">
        <f t="shared" si="87"/>
        <v>3.7340309965457074E-4</v>
      </c>
      <c r="T115" s="13">
        <f t="shared" si="88"/>
        <v>2.8301728864996677E-5</v>
      </c>
      <c r="U115" s="13">
        <f t="shared" si="89"/>
        <v>2.9257892902436372E-4</v>
      </c>
      <c r="V115" s="20">
        <f t="shared" si="69"/>
        <v>8.6968814125863436E-3</v>
      </c>
      <c r="W115" s="20">
        <f t="shared" si="90"/>
        <v>3.0396430652894517E-3</v>
      </c>
      <c r="X115" s="402">
        <f t="shared" si="91"/>
        <v>0.96375667981308399</v>
      </c>
      <c r="Y115" s="402">
        <f t="shared" si="92"/>
        <v>0.33684215863638384</v>
      </c>
      <c r="Z115" s="336">
        <f t="shared" si="93"/>
        <v>1.300598838449468</v>
      </c>
      <c r="AA115" s="65">
        <f t="shared" si="70"/>
        <v>9623.4927532782585</v>
      </c>
      <c r="AB115" s="14">
        <f t="shared" si="94"/>
        <v>0</v>
      </c>
      <c r="AC115" s="340">
        <f t="shared" si="71"/>
        <v>1.2585033862570814</v>
      </c>
      <c r="AD115" s="2">
        <f t="shared" si="95"/>
        <v>1</v>
      </c>
      <c r="AE115" s="66">
        <f t="shared" si="96"/>
        <v>1.6457982844846394E-2</v>
      </c>
      <c r="AF115" s="4">
        <f>Z115/AE115</f>
        <v>79.025409778983573</v>
      </c>
      <c r="AG115" s="3">
        <f t="shared" si="73"/>
        <v>1.4763267312519386</v>
      </c>
      <c r="AH115" s="4">
        <f t="shared" si="97"/>
        <v>3464.7973178908878</v>
      </c>
      <c r="AI115" s="349">
        <f t="shared" si="98"/>
        <v>0</v>
      </c>
      <c r="AJ115" s="1">
        <f t="shared" si="99"/>
        <v>4.9118940363710256E-2</v>
      </c>
    </row>
    <row r="116" spans="1:36">
      <c r="A116">
        <f t="shared" si="74"/>
        <v>14550</v>
      </c>
      <c r="B116" s="4">
        <f t="shared" si="75"/>
        <v>3017.7706994732152</v>
      </c>
      <c r="C116" s="12">
        <f t="shared" si="101"/>
        <v>97</v>
      </c>
      <c r="D116" s="4">
        <f t="shared" si="66"/>
        <v>4435.9756097560976</v>
      </c>
      <c r="E116">
        <f t="shared" si="76"/>
        <v>0.11861823723647448</v>
      </c>
      <c r="F116">
        <f t="shared" si="77"/>
        <v>9.0239389202190143E-3</v>
      </c>
      <c r="G116" s="4">
        <f t="shared" si="78"/>
        <v>366.30624132209016</v>
      </c>
      <c r="H116" s="10">
        <f t="shared" si="79"/>
        <v>20807528.97286782</v>
      </c>
      <c r="I116" s="2">
        <f t="shared" si="80"/>
        <v>20.807528972867821</v>
      </c>
      <c r="J116" s="2">
        <f t="shared" si="81"/>
        <v>1.0706908620583857</v>
      </c>
      <c r="K116" s="4">
        <f t="shared" si="82"/>
        <v>972.2841245711096</v>
      </c>
      <c r="L116" s="4">
        <f t="shared" si="100"/>
        <v>178.67348345227944</v>
      </c>
      <c r="M116" s="161">
        <f t="shared" si="67"/>
        <v>0.25891355346801459</v>
      </c>
      <c r="N116" s="161">
        <f t="shared" si="83"/>
        <v>0.23414188921550683</v>
      </c>
      <c r="O116" s="346">
        <f t="shared" si="84"/>
        <v>0</v>
      </c>
      <c r="P116" s="346">
        <f t="shared" si="85"/>
        <v>0</v>
      </c>
      <c r="Q116" s="347">
        <f>IF(N115&lt;0.25,(1-Y116/(1.2*Z116+O116))/1.024,(1-Y116/(1.15*Z116+P116))/1.07)</f>
        <v>0.76585811078449317</v>
      </c>
      <c r="R116" s="162">
        <f t="shared" si="68"/>
        <v>786.46662975801712</v>
      </c>
      <c r="S116" s="13">
        <f t="shared" si="87"/>
        <v>3.7340309965457074E-4</v>
      </c>
      <c r="T116" s="13">
        <f t="shared" si="88"/>
        <v>2.8306874069392436E-5</v>
      </c>
      <c r="U116" s="13">
        <f t="shared" si="89"/>
        <v>2.9260161743491643E-4</v>
      </c>
      <c r="V116" s="20">
        <f t="shared" si="69"/>
        <v>8.6968422015202638E-3</v>
      </c>
      <c r="W116" s="20">
        <f t="shared" si="90"/>
        <v>3.0384178915745666E-3</v>
      </c>
      <c r="X116" s="402">
        <f t="shared" si="91"/>
        <v>0.96375233458574738</v>
      </c>
      <c r="Y116" s="402">
        <f t="shared" si="92"/>
        <v>0.33670638935362202</v>
      </c>
      <c r="Z116" s="336">
        <f t="shared" si="93"/>
        <v>1.3004587239393695</v>
      </c>
      <c r="AA116" s="65">
        <f t="shared" si="70"/>
        <v>9622.4574433371054</v>
      </c>
      <c r="AB116" s="14">
        <f t="shared" si="94"/>
        <v>0</v>
      </c>
      <c r="AC116" s="340">
        <f t="shared" si="71"/>
        <v>1.2583954142609324</v>
      </c>
      <c r="AD116" s="2">
        <f t="shared" si="95"/>
        <v>1</v>
      </c>
      <c r="AE116" s="66">
        <f t="shared" si="96"/>
        <v>1.6457801905974036E-2</v>
      </c>
      <c r="AF116" s="4">
        <f>Z116/AE116</f>
        <v>79.017765031387</v>
      </c>
      <c r="AG116" s="3">
        <f t="shared" si="73"/>
        <v>1.4762062996859344</v>
      </c>
      <c r="AH116" s="4">
        <f t="shared" si="97"/>
        <v>3464.7973178908878</v>
      </c>
      <c r="AI116" s="349">
        <f t="shared" si="98"/>
        <v>0</v>
      </c>
      <c r="AJ116" s="1">
        <f t="shared" si="99"/>
        <v>4.9118940363710256E-2</v>
      </c>
    </row>
    <row r="117" spans="1:36">
      <c r="A117">
        <f t="shared" si="74"/>
        <v>14700</v>
      </c>
      <c r="B117" s="4">
        <f t="shared" si="75"/>
        <v>3019.1662698058244</v>
      </c>
      <c r="C117" s="12">
        <f t="shared" si="101"/>
        <v>98</v>
      </c>
      <c r="D117" s="4">
        <f t="shared" si="66"/>
        <v>4481.707317073171</v>
      </c>
      <c r="E117">
        <f t="shared" si="76"/>
        <v>0.11861823723647448</v>
      </c>
      <c r="F117">
        <f t="shared" si="77"/>
        <v>9.0239389202190143E-3</v>
      </c>
      <c r="G117" s="4">
        <f t="shared" si="78"/>
        <v>366.30624132209016</v>
      </c>
      <c r="H117" s="10">
        <f t="shared" si="79"/>
        <v>20817151.430311158</v>
      </c>
      <c r="I117" s="2">
        <f t="shared" si="80"/>
        <v>20.81715143031116</v>
      </c>
      <c r="J117" s="2">
        <f t="shared" si="81"/>
        <v>1.0707545428551182</v>
      </c>
      <c r="K117" s="4">
        <f t="shared" si="82"/>
        <v>972.28850777398202</v>
      </c>
      <c r="L117" s="4">
        <f t="shared" si="100"/>
        <v>178.74548000847847</v>
      </c>
      <c r="M117" s="161">
        <f t="shared" si="67"/>
        <v>0.25883712434248612</v>
      </c>
      <c r="N117" s="161">
        <f t="shared" si="83"/>
        <v>0.23407969103392434</v>
      </c>
      <c r="O117" s="346">
        <f t="shared" si="84"/>
        <v>0</v>
      </c>
      <c r="P117" s="346">
        <f t="shared" si="85"/>
        <v>0</v>
      </c>
      <c r="Q117" s="347">
        <f>IF(N116&lt;0.25,(1-Y117/(1.2*Z117+O117))/1.024,(1-Y117/(1.15*Z117+P117))/1.07)</f>
        <v>0.76592030896607566</v>
      </c>
      <c r="R117" s="162">
        <f t="shared" si="68"/>
        <v>786.53620101250806</v>
      </c>
      <c r="S117" s="13">
        <f t="shared" si="87"/>
        <v>3.7340309965457074E-4</v>
      </c>
      <c r="T117" s="13">
        <f t="shared" si="88"/>
        <v>2.8312020547548512E-5</v>
      </c>
      <c r="U117" s="13">
        <f t="shared" si="89"/>
        <v>2.9262428647863547E-4</v>
      </c>
      <c r="V117" s="20">
        <f t="shared" si="69"/>
        <v>8.6968029950260858E-3</v>
      </c>
      <c r="W117" s="20">
        <f t="shared" si="90"/>
        <v>3.0371940529383308E-3</v>
      </c>
      <c r="X117" s="402">
        <f t="shared" si="91"/>
        <v>0.96374798986505228</v>
      </c>
      <c r="Y117" s="402">
        <f t="shared" si="92"/>
        <v>0.33657076801940689</v>
      </c>
      <c r="Z117" s="336">
        <f t="shared" si="93"/>
        <v>1.3003187578844593</v>
      </c>
      <c r="AA117" s="65">
        <f t="shared" si="70"/>
        <v>9621.4232607628273</v>
      </c>
      <c r="AB117" s="14">
        <f t="shared" si="94"/>
        <v>0</v>
      </c>
      <c r="AC117" s="340">
        <f t="shared" si="71"/>
        <v>1.2582875510456517</v>
      </c>
      <c r="AD117" s="2">
        <f t="shared" si="95"/>
        <v>1</v>
      </c>
      <c r="AE117" s="66">
        <f t="shared" si="96"/>
        <v>1.6457621109304467E-2</v>
      </c>
      <c r="AF117" s="4">
        <f>Z117/AE117</f>
        <v>79.010128453456261</v>
      </c>
      <c r="AG117" s="3">
        <f t="shared" si="73"/>
        <v>1.4760860390730777</v>
      </c>
      <c r="AH117" s="4">
        <f t="shared" si="97"/>
        <v>3464.7973178908878</v>
      </c>
      <c r="AI117" s="349">
        <f t="shared" si="98"/>
        <v>0</v>
      </c>
      <c r="AJ117" s="1">
        <f t="shared" si="99"/>
        <v>4.9118940363710256E-2</v>
      </c>
    </row>
    <row r="118" spans="1:36">
      <c r="A118">
        <f t="shared" si="74"/>
        <v>14849.999999999998</v>
      </c>
      <c r="B118" s="4">
        <f t="shared" si="75"/>
        <v>3020.5616901482122</v>
      </c>
      <c r="C118" s="12">
        <f t="shared" si="101"/>
        <v>99</v>
      </c>
      <c r="D118" s="4">
        <f t="shared" si="66"/>
        <v>4527.4390243902435</v>
      </c>
      <c r="E118">
        <f t="shared" si="76"/>
        <v>0.11861823723647448</v>
      </c>
      <c r="F118">
        <f t="shared" si="77"/>
        <v>9.0239389202190143E-3</v>
      </c>
      <c r="G118" s="4">
        <f t="shared" si="78"/>
        <v>366.30624132209016</v>
      </c>
      <c r="H118" s="10">
        <f t="shared" si="79"/>
        <v>20826772.853571922</v>
      </c>
      <c r="I118" s="2">
        <f t="shared" si="80"/>
        <v>20.826772853571921</v>
      </c>
      <c r="J118" s="2">
        <f t="shared" si="81"/>
        <v>1.0708182417195475</v>
      </c>
      <c r="K118" s="4">
        <f t="shared" si="82"/>
        <v>972.29289050576529</v>
      </c>
      <c r="L118" s="4">
        <f t="shared" si="100"/>
        <v>178.81745610492794</v>
      </c>
      <c r="M118" s="161">
        <f t="shared" si="67"/>
        <v>0.25876076286727151</v>
      </c>
      <c r="N118" s="161">
        <f t="shared" si="83"/>
        <v>0.23401754790630824</v>
      </c>
      <c r="O118" s="346">
        <f t="shared" si="84"/>
        <v>0</v>
      </c>
      <c r="P118" s="346">
        <f t="shared" si="85"/>
        <v>0</v>
      </c>
      <c r="Q118" s="347">
        <f>IF(N117&lt;0.25,(1-Y118/(1.2*Z118+O118))/1.024,(1-Y118/(1.15*Z118+P118))/1.07)</f>
        <v>0.76598245209369176</v>
      </c>
      <c r="R118" s="162">
        <f t="shared" si="68"/>
        <v>786.6057150233886</v>
      </c>
      <c r="S118" s="13">
        <f t="shared" si="87"/>
        <v>3.7340309965457074E-4</v>
      </c>
      <c r="T118" s="13">
        <f t="shared" si="88"/>
        <v>2.8317168299478408E-5</v>
      </c>
      <c r="U118" s="13">
        <f t="shared" si="89"/>
        <v>2.9264693618188747E-4</v>
      </c>
      <c r="V118" s="20">
        <f t="shared" si="69"/>
        <v>8.6967637930991035E-3</v>
      </c>
      <c r="W118" s="20">
        <f t="shared" si="90"/>
        <v>3.0359715471670722E-3</v>
      </c>
      <c r="X118" s="402">
        <f t="shared" si="91"/>
        <v>0.96374364565047721</v>
      </c>
      <c r="Y118" s="402">
        <f t="shared" si="92"/>
        <v>0.33643529438842745</v>
      </c>
      <c r="Z118" s="336">
        <f t="shared" si="93"/>
        <v>1.3001789400389046</v>
      </c>
      <c r="AA118" s="65">
        <f t="shared" si="70"/>
        <v>9620.3902036545096</v>
      </c>
      <c r="AB118" s="14">
        <f t="shared" si="94"/>
        <v>0</v>
      </c>
      <c r="AC118" s="340">
        <f t="shared" si="71"/>
        <v>1.2581797964382038</v>
      </c>
      <c r="AD118" s="2">
        <f t="shared" si="95"/>
        <v>1</v>
      </c>
      <c r="AE118" s="66">
        <f t="shared" si="96"/>
        <v>1.6457440454632051E-2</v>
      </c>
      <c r="AF118" s="343">
        <f>Z118/AE118</f>
        <v>79.002500031708209</v>
      </c>
      <c r="AG118" s="344">
        <f t="shared" si="73"/>
        <v>1.4759659491215069</v>
      </c>
      <c r="AH118" s="343"/>
      <c r="AI118" s="349">
        <f t="shared" si="98"/>
        <v>0</v>
      </c>
      <c r="AJ118" s="1">
        <f t="shared" si="99"/>
        <v>4.9118940363710256E-2</v>
      </c>
    </row>
    <row r="119" spans="1:36">
      <c r="A119" s="356">
        <f t="shared" si="74"/>
        <v>14999.999999999998</v>
      </c>
      <c r="B119" s="343">
        <f t="shared" si="75"/>
        <v>3021.9569606636078</v>
      </c>
      <c r="C119" s="357">
        <f t="shared" si="101"/>
        <v>100</v>
      </c>
      <c r="D119" s="343">
        <f t="shared" si="66"/>
        <v>4573.1707317073169</v>
      </c>
      <c r="E119">
        <f t="shared" si="76"/>
        <v>0.11861823723647448</v>
      </c>
      <c r="F119">
        <f t="shared" si="77"/>
        <v>9.0239389202190143E-3</v>
      </c>
      <c r="G119" s="343">
        <f t="shared" si="78"/>
        <v>366.30624132209016</v>
      </c>
      <c r="H119" s="358">
        <f>H118+AA118+AB118</f>
        <v>20836393.243775576</v>
      </c>
      <c r="I119" s="359">
        <f t="shared" si="80"/>
        <v>20.836393243775575</v>
      </c>
      <c r="J119" s="360">
        <f t="shared" si="81"/>
        <v>1.0708819586459242</v>
      </c>
      <c r="K119" s="343">
        <f t="shared" si="82"/>
        <v>972.2972727669727</v>
      </c>
      <c r="L119" s="343">
        <f t="shared" si="100"/>
        <v>178.88941175225889</v>
      </c>
      <c r="M119" s="161">
        <f t="shared" si="67"/>
        <v>0.25868446895085373</v>
      </c>
      <c r="N119" s="361">
        <f t="shared" si="83"/>
        <v>0.23395545975818166</v>
      </c>
      <c r="O119" s="346">
        <f t="shared" si="84"/>
        <v>0</v>
      </c>
      <c r="P119" s="346">
        <f t="shared" si="85"/>
        <v>0</v>
      </c>
      <c r="Q119" s="347">
        <f>IF(N118&lt;0.25,(1-Y119/(1.2*Z119+O119))/1.024,(1-Y119/(1.15*Z119+P119))/1.07)</f>
        <v>0.76604454024181834</v>
      </c>
      <c r="R119" s="362">
        <f t="shared" si="68"/>
        <v>786.67517186751979</v>
      </c>
      <c r="S119" s="363">
        <f>0.001*(83080000000*T^-4.4259)</f>
        <v>3.7340309965457074E-4</v>
      </c>
      <c r="T119" s="363">
        <f>0.001*(0.0167214+0.0000392728*(T-273)+0.000000122474*(T-273)^2+0.000000856087*(Pi*0.000145)+0.000000000469295*(Pi*0.000145)^2)</f>
        <v>2.8322317325195523E-5</v>
      </c>
      <c r="U119" s="13">
        <f t="shared" si="89"/>
        <v>2.9266956657098876E-4</v>
      </c>
      <c r="V119" s="20">
        <f t="shared" si="69"/>
        <v>8.6967245957346069E-3</v>
      </c>
      <c r="W119" s="364">
        <f t="shared" si="90"/>
        <v>3.0347503720521509E-3</v>
      </c>
      <c r="X119" s="413">
        <f t="shared" si="91"/>
        <v>0.96373930194150004</v>
      </c>
      <c r="Y119" s="413">
        <f t="shared" si="92"/>
        <v>0.33629996821593028</v>
      </c>
      <c r="Z119" s="365">
        <f t="shared" si="93"/>
        <v>1.3000392701574304</v>
      </c>
      <c r="AA119" s="366">
        <f t="shared" si="70"/>
        <v>9619.3582701156611</v>
      </c>
      <c r="AB119" s="367">
        <f t="shared" si="94"/>
        <v>0</v>
      </c>
      <c r="AC119" s="340">
        <f t="shared" si="71"/>
        <v>1.2580721502659298</v>
      </c>
      <c r="AD119" s="2">
        <f t="shared" si="95"/>
        <v>1</v>
      </c>
      <c r="AE119" s="66">
        <f t="shared" si="96"/>
        <v>1.6457259941751578E-2</v>
      </c>
      <c r="AF119" s="343">
        <f>Z119/AE119</f>
        <v>78.994879752690153</v>
      </c>
      <c r="AG119" s="344">
        <f t="shared" si="73"/>
        <v>1.4758460295400173</v>
      </c>
      <c r="AH119" s="343"/>
      <c r="AI119" s="349">
        <f t="shared" si="98"/>
        <v>0</v>
      </c>
      <c r="AJ119" s="1">
        <f t="shared" si="99"/>
        <v>4.9118940363710256E-2</v>
      </c>
    </row>
    <row r="120" spans="1:36">
      <c r="A120" s="408">
        <f t="shared" si="74"/>
        <v>14999.999999999998</v>
      </c>
      <c r="B120" s="343">
        <f>B119</f>
        <v>3021.9569606636078</v>
      </c>
      <c r="C120" s="357"/>
      <c r="D120" s="343">
        <f>D119</f>
        <v>4573.1707317073169</v>
      </c>
      <c r="E120" s="343"/>
      <c r="F120" s="343"/>
      <c r="G120" s="343"/>
      <c r="H120" s="358"/>
      <c r="I120" s="359">
        <f>I119</f>
        <v>20.836393243775575</v>
      </c>
      <c r="J120" s="360"/>
      <c r="K120" s="343"/>
      <c r="L120" s="343"/>
      <c r="M120" s="361"/>
      <c r="N120" s="361"/>
      <c r="O120" s="385"/>
      <c r="P120" s="385"/>
      <c r="Q120" s="386"/>
      <c r="R120" s="362"/>
      <c r="S120" s="363"/>
      <c r="T120" s="363"/>
      <c r="U120" s="363"/>
      <c r="V120" s="364"/>
      <c r="W120" s="364"/>
      <c r="X120" s="409"/>
      <c r="Y120" s="409"/>
      <c r="Z120" s="365"/>
      <c r="AA120" s="411"/>
      <c r="AB120" s="367"/>
      <c r="AC120" s="368"/>
      <c r="AD120" s="404"/>
      <c r="AE120" s="405"/>
      <c r="AF120" s="331"/>
      <c r="AG120" s="406"/>
      <c r="AH120" s="331"/>
      <c r="AI120" s="407"/>
      <c r="AJ120" s="405"/>
    </row>
    <row r="121" spans="1:36">
      <c r="A121" s="373">
        <f t="shared" si="74"/>
        <v>14999.999999999998</v>
      </c>
      <c r="B121" s="374">
        <f t="shared" si="75"/>
        <v>4322.2495264909185</v>
      </c>
      <c r="C121" s="375" t="s">
        <v>72</v>
      </c>
      <c r="D121" s="376">
        <f>(N-C9)*lt/N-lt+L</f>
        <v>4573.1707317073169</v>
      </c>
      <c r="E121" s="376"/>
      <c r="F121" s="376"/>
      <c r="G121" s="377">
        <f>T0+MAX(MIN(D121,TVD),0)*dT</f>
        <v>366.30624132209016</v>
      </c>
      <c r="H121" s="378">
        <f>H119+dPbha</f>
        <v>29801910.485154886</v>
      </c>
      <c r="I121" s="379">
        <f t="shared" si="80"/>
        <v>29.801910485154885</v>
      </c>
      <c r="J121" s="380">
        <f t="shared" ref="J121:J153" si="102">1+BB*H121+CCC*H121^2+DD*H121^3</f>
        <v>1.1403860596820816</v>
      </c>
      <c r="K121" s="377">
        <f t="shared" si="82"/>
        <v>976.38122753164862</v>
      </c>
      <c r="L121" s="374">
        <f t="shared" si="100"/>
        <v>240.26798093124549</v>
      </c>
      <c r="M121" s="381">
        <f>mg/rhoi/(mg/rhoi+(mw-ml)/rhow)</f>
        <v>0.20691655188040078</v>
      </c>
      <c r="N121" s="381"/>
      <c r="O121" s="382"/>
      <c r="P121" s="382"/>
      <c r="Q121" s="382"/>
      <c r="R121" s="393">
        <f t="shared" ref="R121:R149" si="103">fi*rhoi+(1-fi)*rhow</f>
        <v>824.06721275160601</v>
      </c>
      <c r="S121" s="394">
        <f>0.001*(83080000000*T^-4.4259)</f>
        <v>3.7340309965457074E-4</v>
      </c>
      <c r="T121" s="395">
        <f t="shared" si="88"/>
        <v>3.3914801493281812E-5</v>
      </c>
      <c r="U121" s="396">
        <f t="shared" si="89"/>
        <v>3.3914801493281812E-5</v>
      </c>
      <c r="V121" s="383">
        <f t="shared" ref="V121:V149" si="104">mw/rhow</f>
        <v>1.0825435506138051E-2</v>
      </c>
      <c r="W121" s="383">
        <f t="shared" si="90"/>
        <v>2.2594966951784918E-3</v>
      </c>
      <c r="X121" s="410"/>
      <c r="Y121" s="410"/>
      <c r="Z121" s="384">
        <f>(Qn+Qw)/(0.25*PI()*dti^2)</f>
        <v>10.163324467813814</v>
      </c>
      <c r="AA121" s="378">
        <f>0.1*(lt/N)*rho^0.8*va^1.8*mu^0.2/dti^1.2*IF(D121&lt;0,1.2,1)</f>
        <v>433810.42298352049</v>
      </c>
      <c r="AB121" s="65">
        <f t="shared" ref="AB121:AB153" si="105">IF(AND(0&lt;D121, D121&lt;=TVD),rho*g*lt/N,0)</f>
        <v>0</v>
      </c>
      <c r="AC121" s="341"/>
      <c r="AD121" s="408"/>
      <c r="AE121" s="408"/>
      <c r="AF121" s="330"/>
      <c r="AG121" s="330"/>
      <c r="AH121" s="330"/>
      <c r="AI121" s="330"/>
      <c r="AJ121" s="330"/>
    </row>
    <row r="122" spans="1:36">
      <c r="A122" s="408">
        <f>A121</f>
        <v>14999.999999999998</v>
      </c>
      <c r="B122" s="343">
        <f>B121</f>
        <v>4322.2495264909185</v>
      </c>
      <c r="C122" s="369"/>
      <c r="D122" s="370"/>
      <c r="E122" s="370"/>
      <c r="F122" s="370"/>
      <c r="G122" s="4"/>
      <c r="H122" s="323"/>
      <c r="I122" s="359"/>
      <c r="J122" s="11"/>
      <c r="K122" s="4"/>
      <c r="L122" s="343"/>
      <c r="M122" s="161"/>
      <c r="N122" s="161"/>
      <c r="O122" s="371"/>
      <c r="P122" s="371"/>
      <c r="Q122" s="371"/>
      <c r="R122" s="397"/>
      <c r="S122" s="398"/>
      <c r="T122" s="399"/>
      <c r="U122" s="400"/>
      <c r="V122" s="364"/>
      <c r="W122" s="364"/>
      <c r="X122" s="410"/>
      <c r="Y122" s="410"/>
      <c r="Z122" s="372"/>
      <c r="AA122" s="323"/>
      <c r="AB122" s="14"/>
      <c r="AC122" s="341"/>
      <c r="AD122" s="408"/>
      <c r="AE122" s="408"/>
      <c r="AF122" s="330"/>
      <c r="AG122" s="330"/>
      <c r="AH122" s="330"/>
      <c r="AI122" s="330"/>
      <c r="AJ122" s="330"/>
    </row>
    <row r="123" spans="1:36">
      <c r="A123">
        <f t="shared" si="74"/>
        <v>14829.999999999998</v>
      </c>
      <c r="B123" s="4">
        <f t="shared" si="75"/>
        <v>4385.1661940737358</v>
      </c>
      <c r="C123" s="15" t="s">
        <v>73</v>
      </c>
      <c r="D123" s="22">
        <f t="shared" ref="D123:D186" si="106">(N-C20)*lt/N-lt+L</f>
        <v>4521.3414634146338</v>
      </c>
      <c r="E123" s="22"/>
      <c r="F123" s="22"/>
      <c r="G123" s="4">
        <f t="shared" ref="G123:G186" si="107">T0+MAX(MIN(D123,TVD),0)*dT</f>
        <v>366.30624132209016</v>
      </c>
      <c r="H123" s="21">
        <f>H121-AB121+AA121</f>
        <v>30235720.908138406</v>
      </c>
      <c r="I123" s="2">
        <f t="shared" si="80"/>
        <v>30.235720908138404</v>
      </c>
      <c r="J123" s="11">
        <f t="shared" si="102"/>
        <v>1.1442250273239989</v>
      </c>
      <c r="K123" s="4">
        <f t="shared" si="82"/>
        <v>976.57883600154616</v>
      </c>
      <c r="L123" s="4">
        <f t="shared" si="100"/>
        <v>242.94758026081141</v>
      </c>
      <c r="M123" s="161">
        <f t="shared" ref="M123:M154" si="108">mg/rhoi/(mg/rhoi+(mw-ml)/rhow)</f>
        <v>0.20513543677575363</v>
      </c>
      <c r="N123" s="390"/>
      <c r="O123" s="391"/>
      <c r="P123" s="391"/>
      <c r="Q123" s="391"/>
      <c r="R123" s="401">
        <f t="shared" si="103"/>
        <v>826.08506792282594</v>
      </c>
      <c r="S123" s="400">
        <f t="shared" ref="S123:S186" si="109">0.001*(83080000000*T^-4.4259)</f>
        <v>3.7340309965457074E-4</v>
      </c>
      <c r="T123" s="400">
        <f t="shared" si="88"/>
        <v>3.4225635148297169E-5</v>
      </c>
      <c r="U123" s="400">
        <f>fi*mug+(1-fi)*muw</f>
        <v>3.0382578232858367E-4</v>
      </c>
      <c r="V123" s="20">
        <f t="shared" si="104"/>
        <v>1.0823245004288655E-2</v>
      </c>
      <c r="W123" s="20">
        <f t="shared" si="90"/>
        <v>2.2345754927402665E-3</v>
      </c>
      <c r="X123" s="389"/>
      <c r="Y123" s="388"/>
      <c r="Z123" s="25">
        <f t="shared" ref="Z123:Z186" si="110">(Qn+Qw)/(0.25*PI()*dti^2)</f>
        <v>10.142266273295787</v>
      </c>
      <c r="AA123" s="392">
        <f t="shared" ref="AA123:AA154" si="111">0.1*(lt/N)*rho^0.8*va^1.8*mu^0.2/dti^1.2*IF(D123&lt;0,1.2,1)*(1-Kfr)</f>
        <v>335695.3741444411</v>
      </c>
      <c r="AB123" s="14">
        <f t="shared" si="105"/>
        <v>0</v>
      </c>
      <c r="AC123" s="387"/>
      <c r="AD123" s="388"/>
      <c r="AE123" s="388"/>
      <c r="AF123" s="388"/>
      <c r="AG123" s="388"/>
      <c r="AH123" s="388"/>
      <c r="AI123" s="388"/>
      <c r="AJ123" s="388"/>
    </row>
    <row r="124" spans="1:36">
      <c r="A124">
        <f t="shared" si="74"/>
        <v>14659.999999999998</v>
      </c>
      <c r="B124" s="4">
        <f t="shared" si="75"/>
        <v>4433.8529778510292</v>
      </c>
      <c r="C124" s="16" t="s">
        <v>74</v>
      </c>
      <c r="D124" s="22">
        <f t="shared" si="106"/>
        <v>4469.5121951219508</v>
      </c>
      <c r="E124" s="22"/>
      <c r="F124" s="22"/>
      <c r="G124" s="4">
        <f t="shared" si="107"/>
        <v>366.30624132209016</v>
      </c>
      <c r="H124" s="21">
        <f>H123-AB123+AA123</f>
        <v>30571416.282282848</v>
      </c>
      <c r="I124" s="2">
        <f t="shared" si="80"/>
        <v>30.571416282282847</v>
      </c>
      <c r="J124" s="11">
        <f t="shared" si="102"/>
        <v>1.1472234495842006</v>
      </c>
      <c r="K124" s="4">
        <f t="shared" si="82"/>
        <v>976.73175129754145</v>
      </c>
      <c r="L124" s="4">
        <f t="shared" si="100"/>
        <v>245.00290619143075</v>
      </c>
      <c r="M124" s="161">
        <f t="shared" si="108"/>
        <v>0.20379061755021619</v>
      </c>
      <c r="N124" s="390"/>
      <c r="O124" s="391"/>
      <c r="P124" s="391"/>
      <c r="Q124" s="391"/>
      <c r="R124" s="401">
        <f t="shared" si="103"/>
        <v>827.61227807406055</v>
      </c>
      <c r="S124" s="400">
        <f t="shared" si="109"/>
        <v>3.7340309965457074E-4</v>
      </c>
      <c r="T124" s="400">
        <f t="shared" si="88"/>
        <v>3.4468716271429453E-5</v>
      </c>
      <c r="U124" s="400">
        <f t="shared" ref="U124:U187" si="112">fi*mug+(1-fi)*muw</f>
        <v>3.0433145235591864E-4</v>
      </c>
      <c r="V124" s="20">
        <f t="shared" si="104"/>
        <v>1.0821550537295787E-2</v>
      </c>
      <c r="W124" s="20">
        <f t="shared" si="90"/>
        <v>2.2158296703924814E-3</v>
      </c>
      <c r="X124" s="389"/>
      <c r="Y124" s="389"/>
      <c r="Z124" s="25">
        <f t="shared" si="110"/>
        <v>10.126389898119449</v>
      </c>
      <c r="AA124" s="392">
        <f t="shared" si="111"/>
        <v>335356.60792899318</v>
      </c>
      <c r="AB124" s="14">
        <f t="shared" si="105"/>
        <v>0</v>
      </c>
      <c r="AC124" s="387"/>
      <c r="AD124" s="388"/>
      <c r="AE124" s="388"/>
      <c r="AF124" s="388"/>
      <c r="AG124" s="388"/>
      <c r="AH124" s="388"/>
      <c r="AI124" s="388"/>
      <c r="AJ124" s="388"/>
    </row>
    <row r="125" spans="1:36">
      <c r="A125">
        <f t="shared" si="74"/>
        <v>14490</v>
      </c>
      <c r="B125" s="4">
        <f>H125/6895</f>
        <v>4482.4906294723487</v>
      </c>
      <c r="C125" s="12" t="s">
        <v>74</v>
      </c>
      <c r="D125" s="22">
        <f t="shared" si="106"/>
        <v>4417.6829268292686</v>
      </c>
      <c r="E125" s="22"/>
      <c r="F125" s="22"/>
      <c r="G125" s="4">
        <f t="shared" si="107"/>
        <v>366.30624132209016</v>
      </c>
      <c r="H125" s="21">
        <f t="shared" ref="H125:H155" si="113">H124-AB124+AA124</f>
        <v>30906772.890211843</v>
      </c>
      <c r="I125" s="2">
        <f t="shared" si="80"/>
        <v>30.906772890211844</v>
      </c>
      <c r="J125" s="11">
        <f t="shared" si="102"/>
        <v>1.1502427501350132</v>
      </c>
      <c r="K125" s="4">
        <f t="shared" si="82"/>
        <v>976.88451227941721</v>
      </c>
      <c r="L125" s="4">
        <f t="shared" si="100"/>
        <v>247.04032439395553</v>
      </c>
      <c r="M125" s="161">
        <f t="shared" si="108"/>
        <v>0.20247540823284951</v>
      </c>
      <c r="N125" s="390"/>
      <c r="O125" s="391"/>
      <c r="P125" s="391"/>
      <c r="Q125" s="391"/>
      <c r="R125" s="401">
        <f t="shared" si="103"/>
        <v>829.10901239093585</v>
      </c>
      <c r="S125" s="400">
        <f t="shared" si="109"/>
        <v>3.7340309965457074E-4</v>
      </c>
      <c r="T125" s="400">
        <f t="shared" si="88"/>
        <v>3.4713772560077466E-5</v>
      </c>
      <c r="U125" s="400">
        <f t="shared" si="112"/>
        <v>3.0482683988700414E-4</v>
      </c>
      <c r="V125" s="20">
        <f t="shared" si="104"/>
        <v>1.0819858309949856E-2</v>
      </c>
      <c r="W125" s="20">
        <f t="shared" si="90"/>
        <v>2.197555035612806E-3</v>
      </c>
      <c r="X125" s="389"/>
      <c r="Y125" s="389"/>
      <c r="Z125" s="25">
        <f t="shared" si="110"/>
        <v>10.110881243182266</v>
      </c>
      <c r="AA125" s="392">
        <f t="shared" si="111"/>
        <v>335025.42421697645</v>
      </c>
      <c r="AB125" s="14">
        <f t="shared" si="105"/>
        <v>0</v>
      </c>
      <c r="AC125" s="387"/>
      <c r="AD125" s="388"/>
      <c r="AE125" s="388"/>
      <c r="AF125" s="388"/>
      <c r="AG125" s="388"/>
      <c r="AH125" s="388"/>
      <c r="AI125" s="388"/>
      <c r="AJ125" s="388"/>
    </row>
    <row r="126" spans="1:36">
      <c r="A126">
        <f t="shared" si="74"/>
        <v>14319.999999999996</v>
      </c>
      <c r="B126" s="4">
        <f t="shared" si="75"/>
        <v>4531.0802486481252</v>
      </c>
      <c r="C126" s="12" t="s">
        <v>75</v>
      </c>
      <c r="D126" s="22">
        <f t="shared" si="106"/>
        <v>4365.8536585365846</v>
      </c>
      <c r="E126" s="22"/>
      <c r="F126" s="22"/>
      <c r="G126" s="4">
        <f t="shared" si="107"/>
        <v>366.30624132209016</v>
      </c>
      <c r="H126" s="21">
        <f t="shared" si="113"/>
        <v>31241798.314428821</v>
      </c>
      <c r="I126" s="2">
        <f t="shared" si="80"/>
        <v>31.24179831442882</v>
      </c>
      <c r="J126" s="11">
        <f t="shared" si="102"/>
        <v>1.1532827069191847</v>
      </c>
      <c r="K126" s="4">
        <f t="shared" si="82"/>
        <v>977.03712240114055</v>
      </c>
      <c r="L126" s="4">
        <f t="shared" si="100"/>
        <v>249.05997326633508</v>
      </c>
      <c r="M126" s="161">
        <f t="shared" si="108"/>
        <v>0.20118891007945428</v>
      </c>
      <c r="N126" s="390"/>
      <c r="O126" s="391"/>
      <c r="P126" s="391"/>
      <c r="Q126" s="391"/>
      <c r="R126" s="401">
        <f t="shared" si="103"/>
        <v>830.57619320396066</v>
      </c>
      <c r="S126" s="400">
        <f t="shared" si="109"/>
        <v>3.7340309965457074E-4</v>
      </c>
      <c r="T126" s="400">
        <f t="shared" si="88"/>
        <v>3.4960802904508996E-5</v>
      </c>
      <c r="U126" s="400">
        <f t="shared" si="112"/>
        <v>3.0531226284663863E-4</v>
      </c>
      <c r="V126" s="20">
        <f t="shared" si="104"/>
        <v>1.0818168282154747E-2</v>
      </c>
      <c r="W126" s="20">
        <f t="shared" si="90"/>
        <v>2.1797348716922019E-3</v>
      </c>
      <c r="X126" s="389"/>
      <c r="Y126" s="389"/>
      <c r="Z126" s="25">
        <f t="shared" si="110"/>
        <v>10.095727293143756</v>
      </c>
      <c r="AA126" s="392">
        <f t="shared" si="111"/>
        <v>334701.55606004718</v>
      </c>
      <c r="AB126" s="14">
        <f t="shared" si="105"/>
        <v>0</v>
      </c>
      <c r="AC126" s="387"/>
      <c r="AD126" s="388"/>
      <c r="AE126" s="388"/>
      <c r="AF126" s="388"/>
      <c r="AG126" s="388"/>
      <c r="AH126" s="388"/>
      <c r="AI126" s="388"/>
      <c r="AJ126" s="388"/>
    </row>
    <row r="127" spans="1:36">
      <c r="A127">
        <f t="shared" si="74"/>
        <v>14149.999999999998</v>
      </c>
      <c r="B127" s="4">
        <f t="shared" si="75"/>
        <v>4579.6228963725698</v>
      </c>
      <c r="D127" s="22">
        <f t="shared" si="106"/>
        <v>4314.0243902439024</v>
      </c>
      <c r="E127" s="22"/>
      <c r="F127" s="22"/>
      <c r="G127" s="4">
        <f t="shared" si="107"/>
        <v>366.30624132209016</v>
      </c>
      <c r="H127" s="21">
        <f t="shared" si="113"/>
        <v>31576499.870488867</v>
      </c>
      <c r="I127" s="2">
        <f t="shared" si="80"/>
        <v>31.576499870488867</v>
      </c>
      <c r="J127" s="11">
        <f t="shared" si="102"/>
        <v>1.1563430989352625</v>
      </c>
      <c r="K127" s="4">
        <f t="shared" si="82"/>
        <v>977.18958499507835</v>
      </c>
      <c r="L127" s="4">
        <f t="shared" si="100"/>
        <v>251.06199086715648</v>
      </c>
      <c r="M127" s="161">
        <f t="shared" si="108"/>
        <v>0.19993025995339067</v>
      </c>
      <c r="N127" s="390"/>
      <c r="O127" s="391"/>
      <c r="P127" s="391"/>
      <c r="Q127" s="391"/>
      <c r="R127" s="401">
        <f t="shared" si="103"/>
        <v>832.0147063417528</v>
      </c>
      <c r="S127" s="400">
        <f t="shared" si="109"/>
        <v>3.7340309965457074E-4</v>
      </c>
      <c r="T127" s="400">
        <f t="shared" si="88"/>
        <v>3.5209806202628129E-5</v>
      </c>
      <c r="U127" s="400">
        <f t="shared" si="112"/>
        <v>3.0578802658023056E-4</v>
      </c>
      <c r="V127" s="20">
        <f t="shared" si="104"/>
        <v>1.0816480415211343E-2</v>
      </c>
      <c r="W127" s="20">
        <f t="shared" si="90"/>
        <v>2.1623532379244641E-3</v>
      </c>
      <c r="X127" s="389"/>
      <c r="Y127" s="389"/>
      <c r="Z127" s="25">
        <f t="shared" si="110"/>
        <v>10.080915636485187</v>
      </c>
      <c r="AA127" s="392">
        <f t="shared" si="111"/>
        <v>334384.74889053701</v>
      </c>
      <c r="AB127" s="14">
        <f t="shared" si="105"/>
        <v>0</v>
      </c>
      <c r="AC127" s="387"/>
      <c r="AD127" s="388"/>
      <c r="AE127" s="388"/>
      <c r="AF127" s="388"/>
      <c r="AG127" s="388"/>
      <c r="AH127" s="388"/>
      <c r="AI127" s="388"/>
      <c r="AJ127" s="388"/>
    </row>
    <row r="128" spans="1:36">
      <c r="A128">
        <f t="shared" si="74"/>
        <v>13979.999999999998</v>
      </c>
      <c r="B128" s="4">
        <f t="shared" si="75"/>
        <v>4628.1195967192753</v>
      </c>
      <c r="D128" s="22">
        <f t="shared" si="106"/>
        <v>4262.1951219512193</v>
      </c>
      <c r="E128" s="22"/>
      <c r="F128" s="22"/>
      <c r="G128" s="4">
        <f t="shared" si="107"/>
        <v>366.30624132209016</v>
      </c>
      <c r="H128" s="21">
        <f t="shared" si="113"/>
        <v>31910884.619379405</v>
      </c>
      <c r="I128" s="2">
        <f t="shared" si="80"/>
        <v>31.910884619379406</v>
      </c>
      <c r="J128" s="11">
        <f t="shared" si="102"/>
        <v>1.1594237062025421</v>
      </c>
      <c r="K128" s="4">
        <f t="shared" si="82"/>
        <v>977.34190327763804</v>
      </c>
      <c r="L128" s="4">
        <f t="shared" si="100"/>
        <v>253.04651495851977</v>
      </c>
      <c r="M128" s="161">
        <f t="shared" si="108"/>
        <v>0.19869862854033488</v>
      </c>
      <c r="N128" s="390"/>
      <c r="O128" s="391"/>
      <c r="P128" s="391"/>
      <c r="Q128" s="391"/>
      <c r="R128" s="401">
        <f t="shared" si="103"/>
        <v>833.42540296053994</v>
      </c>
      <c r="S128" s="400">
        <f t="shared" si="109"/>
        <v>3.7340309965457074E-4</v>
      </c>
      <c r="T128" s="400">
        <f t="shared" si="88"/>
        <v>3.5460781360011031E-5</v>
      </c>
      <c r="U128" s="400">
        <f t="shared" si="112"/>
        <v>3.0625442448370041E-4</v>
      </c>
      <c r="V128" s="20">
        <f t="shared" si="104"/>
        <v>1.0814794671752824E-2</v>
      </c>
      <c r="W128" s="20">
        <f t="shared" si="90"/>
        <v>2.1453949245669301E-3</v>
      </c>
      <c r="X128" s="389"/>
      <c r="Y128" s="389"/>
      <c r="Z128" s="25">
        <f t="shared" si="110"/>
        <v>10.066434430476431</v>
      </c>
      <c r="AA128" s="392">
        <f t="shared" si="111"/>
        <v>334074.75980375911</v>
      </c>
      <c r="AB128" s="14">
        <f t="shared" si="105"/>
        <v>0</v>
      </c>
      <c r="AC128" s="387"/>
      <c r="AD128" s="388"/>
      <c r="AE128" s="388"/>
      <c r="AF128" s="388"/>
      <c r="AG128" s="388"/>
      <c r="AH128" s="388"/>
      <c r="AI128" s="388"/>
      <c r="AJ128" s="388"/>
    </row>
    <row r="129" spans="1:36">
      <c r="A129">
        <f t="shared" si="74"/>
        <v>13809.999999999998</v>
      </c>
      <c r="B129" s="4">
        <f t="shared" si="75"/>
        <v>4676.571338532729</v>
      </c>
      <c r="D129" s="22">
        <f t="shared" si="106"/>
        <v>4210.3658536585363</v>
      </c>
      <c r="E129" s="22"/>
      <c r="F129" s="22"/>
      <c r="G129" s="4">
        <f t="shared" si="107"/>
        <v>366.30624132209016</v>
      </c>
      <c r="H129" s="21">
        <f t="shared" si="113"/>
        <v>32244959.379183166</v>
      </c>
      <c r="I129" s="2">
        <f t="shared" si="80"/>
        <v>32.244959379183165</v>
      </c>
      <c r="J129" s="11">
        <f t="shared" si="102"/>
        <v>1.1625243097276408</v>
      </c>
      <c r="K129" s="4">
        <f t="shared" si="82"/>
        <v>977.4940803545793</v>
      </c>
      <c r="L129" s="4">
        <f t="shared" si="100"/>
        <v>255.01368304340158</v>
      </c>
      <c r="M129" s="161">
        <f t="shared" si="108"/>
        <v>0.19749321867148567</v>
      </c>
      <c r="N129" s="390"/>
      <c r="O129" s="391"/>
      <c r="P129" s="391"/>
      <c r="Q129" s="391"/>
      <c r="R129" s="401">
        <f t="shared" si="103"/>
        <v>834.80910126254093</v>
      </c>
      <c r="S129" s="400">
        <f t="shared" si="109"/>
        <v>3.7340309965457074E-4</v>
      </c>
      <c r="T129" s="400">
        <f t="shared" si="88"/>
        <v>3.5713727289921526E-5</v>
      </c>
      <c r="U129" s="400">
        <f t="shared" si="112"/>
        <v>3.0671173859512233E-4</v>
      </c>
      <c r="V129" s="20">
        <f t="shared" si="104"/>
        <v>1.0813111015683757E-2</v>
      </c>
      <c r="W129" s="20">
        <f t="shared" si="90"/>
        <v>2.1288454109302159E-3</v>
      </c>
      <c r="X129" s="389"/>
      <c r="Y129" s="389"/>
      <c r="Z129" s="25">
        <f t="shared" si="110"/>
        <v>10.052272368576107</v>
      </c>
      <c r="AA129" s="392">
        <f t="shared" si="111"/>
        <v>333771.3568900862</v>
      </c>
      <c r="AB129" s="14">
        <f t="shared" si="105"/>
        <v>0</v>
      </c>
      <c r="AC129" s="387"/>
      <c r="AD129" s="388"/>
      <c r="AE129" s="388"/>
      <c r="AF129" s="388"/>
      <c r="AG129" s="388"/>
      <c r="AH129" s="388"/>
      <c r="AI129" s="388"/>
      <c r="AJ129" s="388"/>
    </row>
    <row r="130" spans="1:36">
      <c r="A130">
        <f t="shared" si="74"/>
        <v>13639.999999999998</v>
      </c>
      <c r="B130" s="4">
        <f t="shared" si="75"/>
        <v>4724.979077022952</v>
      </c>
      <c r="D130" s="22">
        <f t="shared" si="106"/>
        <v>4158.5365853658532</v>
      </c>
      <c r="E130" s="22"/>
      <c r="F130" s="22"/>
      <c r="G130" s="4">
        <f t="shared" si="107"/>
        <v>366.30624132209016</v>
      </c>
      <c r="H130" s="21">
        <f t="shared" si="113"/>
        <v>32578730.736073252</v>
      </c>
      <c r="I130" s="2">
        <f t="shared" si="80"/>
        <v>32.578730736073254</v>
      </c>
      <c r="J130" s="11">
        <f t="shared" si="102"/>
        <v>1.1656446914726102</v>
      </c>
      <c r="K130" s="4">
        <f t="shared" si="82"/>
        <v>977.64611922602239</v>
      </c>
      <c r="L130" s="4">
        <f t="shared" si="100"/>
        <v>256.96363239797336</v>
      </c>
      <c r="M130" s="161">
        <f t="shared" si="108"/>
        <v>0.1963132637474814</v>
      </c>
      <c r="N130" s="390"/>
      <c r="O130" s="391"/>
      <c r="P130" s="391"/>
      <c r="Q130" s="391"/>
      <c r="R130" s="401">
        <f t="shared" si="103"/>
        <v>836.1665881111569</v>
      </c>
      <c r="S130" s="400">
        <f t="shared" si="109"/>
        <v>3.7340309965457074E-4</v>
      </c>
      <c r="T130" s="400">
        <f t="shared" si="88"/>
        <v>3.5968642913308554E-5</v>
      </c>
      <c r="U130" s="400">
        <f t="shared" si="112"/>
        <v>3.0716024015083526E-4</v>
      </c>
      <c r="V130" s="20">
        <f t="shared" si="104"/>
        <v>1.0811429412122629E-2</v>
      </c>
      <c r="W130" s="20">
        <f t="shared" si="90"/>
        <v>2.1126908263444976E-3</v>
      </c>
      <c r="X130" s="389"/>
      <c r="Y130" s="389"/>
      <c r="Z130" s="25">
        <f t="shared" si="110"/>
        <v>10.038418650068712</v>
      </c>
      <c r="AA130" s="392">
        <f t="shared" si="111"/>
        <v>333474.31861279032</v>
      </c>
      <c r="AB130" s="14">
        <f t="shared" si="105"/>
        <v>0</v>
      </c>
      <c r="AC130" s="387"/>
      <c r="AD130" s="388"/>
      <c r="AE130" s="388"/>
      <c r="AF130" s="388"/>
      <c r="AG130" s="388"/>
      <c r="AH130" s="388"/>
      <c r="AI130" s="388"/>
      <c r="AJ130" s="388"/>
    </row>
    <row r="131" spans="1:36">
      <c r="A131">
        <f t="shared" si="74"/>
        <v>13470</v>
      </c>
      <c r="B131" s="4">
        <f t="shared" si="75"/>
        <v>4773.343735269912</v>
      </c>
      <c r="D131" s="22">
        <f t="shared" si="106"/>
        <v>4106.707317073171</v>
      </c>
      <c r="E131" s="22"/>
      <c r="F131" s="22"/>
      <c r="G131" s="4">
        <f t="shared" si="107"/>
        <v>366.30624132209016</v>
      </c>
      <c r="H131" s="21">
        <f t="shared" si="113"/>
        <v>32912205.054686043</v>
      </c>
      <c r="I131" s="2">
        <f t="shared" si="80"/>
        <v>32.912205054686041</v>
      </c>
      <c r="J131" s="11">
        <f t="shared" si="102"/>
        <v>1.1687846343244979</v>
      </c>
      <c r="K131" s="4">
        <f t="shared" si="82"/>
        <v>977.79802279117428</v>
      </c>
      <c r="L131" s="4">
        <f t="shared" si="100"/>
        <v>258.89650009929881</v>
      </c>
      <c r="M131" s="161">
        <f t="shared" si="108"/>
        <v>0.19515802625592421</v>
      </c>
      <c r="N131" s="390"/>
      <c r="O131" s="391"/>
      <c r="P131" s="391"/>
      <c r="Q131" s="391"/>
      <c r="R131" s="401">
        <f t="shared" si="103"/>
        <v>837.49862055024937</v>
      </c>
      <c r="S131" s="400">
        <f t="shared" si="109"/>
        <v>3.7340309965457074E-4</v>
      </c>
      <c r="T131" s="400">
        <f t="shared" si="88"/>
        <v>3.6225527158787684E-5</v>
      </c>
      <c r="U131" s="400">
        <f t="shared" si="112"/>
        <v>3.0760019010852988E-4</v>
      </c>
      <c r="V131" s="20">
        <f t="shared" si="104"/>
        <v>1.0809749827347644E-2</v>
      </c>
      <c r="W131" s="20">
        <f t="shared" si="90"/>
        <v>2.0969179137730197E-3</v>
      </c>
      <c r="X131" s="389"/>
      <c r="Y131" s="389"/>
      <c r="Z131" s="25">
        <f t="shared" si="110"/>
        <v>10.024862951760401</v>
      </c>
      <c r="AA131" s="392">
        <f t="shared" si="111"/>
        <v>333183.43322800595</v>
      </c>
      <c r="AB131" s="14">
        <f t="shared" si="105"/>
        <v>0</v>
      </c>
      <c r="AC131" s="387"/>
      <c r="AD131" s="388"/>
      <c r="AE131" s="388"/>
      <c r="AF131" s="388"/>
      <c r="AG131" s="388"/>
      <c r="AH131" s="388"/>
      <c r="AI131" s="388"/>
      <c r="AJ131" s="388"/>
    </row>
    <row r="132" spans="1:36">
      <c r="A132">
        <f t="shared" si="74"/>
        <v>13299.999999999996</v>
      </c>
      <c r="B132" s="4">
        <f t="shared" si="75"/>
        <v>4821.6662056438072</v>
      </c>
      <c r="D132" s="22">
        <f t="shared" si="106"/>
        <v>4054.878048780487</v>
      </c>
      <c r="E132" s="22"/>
      <c r="F132" s="22"/>
      <c r="G132" s="4">
        <f t="shared" si="107"/>
        <v>366.30624132209016</v>
      </c>
      <c r="H132" s="21">
        <f t="shared" si="113"/>
        <v>33245388.487914048</v>
      </c>
      <c r="I132" s="2">
        <f t="shared" si="80"/>
        <v>33.245388487914049</v>
      </c>
      <c r="J132" s="11">
        <f t="shared" si="102"/>
        <v>1.1719439220662728</v>
      </c>
      <c r="K132" s="4">
        <f t="shared" si="82"/>
        <v>977.94979385278828</v>
      </c>
      <c r="L132" s="4">
        <f t="shared" si="100"/>
        <v>260.81242304880601</v>
      </c>
      <c r="M132" s="161">
        <f t="shared" si="108"/>
        <v>0.19402679637597892</v>
      </c>
      <c r="N132" s="390"/>
      <c r="O132" s="391"/>
      <c r="P132" s="391"/>
      <c r="Q132" s="391"/>
      <c r="R132" s="401">
        <f t="shared" si="103"/>
        <v>838.80592723419909</v>
      </c>
      <c r="S132" s="400">
        <f t="shared" si="109"/>
        <v>3.7340309965457074E-4</v>
      </c>
      <c r="T132" s="400">
        <f t="shared" si="88"/>
        <v>3.6484378962608342E-5</v>
      </c>
      <c r="U132" s="400">
        <f t="shared" si="112"/>
        <v>3.0803183963961598E-4</v>
      </c>
      <c r="V132" s="20">
        <f t="shared" si="104"/>
        <v>1.0808072228745557E-2</v>
      </c>
      <c r="W132" s="20">
        <f t="shared" si="90"/>
        <v>2.0815139958642527E-3</v>
      </c>
      <c r="X132" s="389"/>
      <c r="Y132" s="389"/>
      <c r="Z132" s="25">
        <f t="shared" si="110"/>
        <v>10.011595401571286</v>
      </c>
      <c r="AA132" s="392">
        <f t="shared" si="111"/>
        <v>332898.49824350735</v>
      </c>
      <c r="AB132" s="14">
        <f t="shared" si="105"/>
        <v>0</v>
      </c>
      <c r="AC132" s="387"/>
      <c r="AD132" s="388"/>
      <c r="AE132" s="388"/>
      <c r="AF132" s="388"/>
      <c r="AG132" s="388"/>
      <c r="AH132" s="388"/>
      <c r="AI132" s="388"/>
      <c r="AJ132" s="388"/>
    </row>
    <row r="133" spans="1:36">
      <c r="A133">
        <f t="shared" si="74"/>
        <v>13129.999999999998</v>
      </c>
      <c r="B133" s="4">
        <f t="shared" si="75"/>
        <v>4869.9473511468541</v>
      </c>
      <c r="D133" s="22">
        <f t="shared" si="106"/>
        <v>4003.0487804878048</v>
      </c>
      <c r="E133" s="22"/>
      <c r="F133" s="22"/>
      <c r="G133" s="4">
        <f t="shared" si="107"/>
        <v>366.30624132209016</v>
      </c>
      <c r="H133" s="21">
        <f t="shared" si="113"/>
        <v>33578286.986157559</v>
      </c>
      <c r="I133" s="2">
        <f t="shared" si="80"/>
        <v>33.578286986157558</v>
      </c>
      <c r="J133" s="11">
        <f t="shared" si="102"/>
        <v>1.1751223393490455</v>
      </c>
      <c r="K133" s="4">
        <f t="shared" si="82"/>
        <v>978.10143512137904</v>
      </c>
      <c r="L133" s="4">
        <f t="shared" si="100"/>
        <v>262.71153799189295</v>
      </c>
      <c r="M133" s="161">
        <f t="shared" si="108"/>
        <v>0.19291889066404203</v>
      </c>
      <c r="N133" s="390"/>
      <c r="O133" s="391"/>
      <c r="P133" s="391"/>
      <c r="Q133" s="391"/>
      <c r="R133" s="401">
        <f t="shared" si="103"/>
        <v>840.08920977489549</v>
      </c>
      <c r="S133" s="400">
        <f t="shared" si="109"/>
        <v>3.7340309965457074E-4</v>
      </c>
      <c r="T133" s="400">
        <f t="shared" si="88"/>
        <v>3.6745197268608392E-5</v>
      </c>
      <c r="U133" s="400">
        <f t="shared" si="112"/>
        <v>3.0845543059298755E-4</v>
      </c>
      <c r="V133" s="20">
        <f t="shared" si="104"/>
        <v>1.0806396584763312E-2</v>
      </c>
      <c r="W133" s="20">
        <f t="shared" si="90"/>
        <v>2.0664669432528351E-3</v>
      </c>
      <c r="X133" s="389"/>
      <c r="Y133" s="389"/>
      <c r="Z133" s="25">
        <f t="shared" si="110"/>
        <v>9.9986065538766002</v>
      </c>
      <c r="AA133" s="392">
        <f t="shared" si="111"/>
        <v>332619.31991327374</v>
      </c>
      <c r="AB133" s="14">
        <f t="shared" si="105"/>
        <v>0</v>
      </c>
      <c r="AC133" s="387"/>
      <c r="AD133" s="388"/>
      <c r="AE133" s="388"/>
      <c r="AF133" s="388"/>
      <c r="AG133" s="388"/>
      <c r="AH133" s="388"/>
      <c r="AI133" s="388"/>
      <c r="AJ133" s="388"/>
    </row>
    <row r="134" spans="1:36">
      <c r="A134">
        <f t="shared" si="74"/>
        <v>12959.999999999998</v>
      </c>
      <c r="B134" s="4">
        <f t="shared" si="75"/>
        <v>4918.1880066817748</v>
      </c>
      <c r="D134" s="22">
        <f t="shared" si="106"/>
        <v>3951.2195121951218</v>
      </c>
      <c r="E134" s="22"/>
      <c r="F134" s="22"/>
      <c r="G134" s="4">
        <f t="shared" si="107"/>
        <v>366.30624132209016</v>
      </c>
      <c r="H134" s="21">
        <f t="shared" si="113"/>
        <v>33910906.306070834</v>
      </c>
      <c r="I134" s="2">
        <f t="shared" si="80"/>
        <v>33.910906306070835</v>
      </c>
      <c r="J134" s="11">
        <f t="shared" si="102"/>
        <v>1.1783196716655062</v>
      </c>
      <c r="K134" s="4">
        <f t="shared" si="82"/>
        <v>978.25294921920636</v>
      </c>
      <c r="L134" s="4">
        <f t="shared" si="100"/>
        <v>264.59398153399979</v>
      </c>
      <c r="M134" s="161">
        <f t="shared" si="108"/>
        <v>0.19183365081494944</v>
      </c>
      <c r="N134" s="390"/>
      <c r="O134" s="391"/>
      <c r="P134" s="391"/>
      <c r="Q134" s="391"/>
      <c r="R134" s="401">
        <f t="shared" si="103"/>
        <v>841.34914401132517</v>
      </c>
      <c r="S134" s="400">
        <f t="shared" si="109"/>
        <v>3.7340309965457074E-4</v>
      </c>
      <c r="T134" s="400">
        <f t="shared" si="88"/>
        <v>3.700798102815771E-5</v>
      </c>
      <c r="U134" s="400">
        <f t="shared" si="112"/>
        <v>3.0887119593213798E-4</v>
      </c>
      <c r="V134" s="20">
        <f t="shared" si="104"/>
        <v>1.0804722864862329E-2</v>
      </c>
      <c r="W134" s="20">
        <f t="shared" si="90"/>
        <v>2.0517651449362181E-3</v>
      </c>
      <c r="X134" s="389"/>
      <c r="Y134" s="389"/>
      <c r="Z134" s="25">
        <f t="shared" si="110"/>
        <v>9.9858873664621388</v>
      </c>
      <c r="AA134" s="392">
        <f t="shared" si="111"/>
        <v>332345.71276510158</v>
      </c>
      <c r="AB134" s="14">
        <f t="shared" si="105"/>
        <v>0</v>
      </c>
      <c r="AC134" s="387"/>
      <c r="AD134" s="388"/>
      <c r="AE134" s="388"/>
      <c r="AF134" s="388"/>
      <c r="AG134" s="388"/>
      <c r="AH134" s="388"/>
      <c r="AI134" s="388"/>
      <c r="AJ134" s="388"/>
    </row>
    <row r="135" spans="1:36">
      <c r="A135">
        <f t="shared" si="74"/>
        <v>12789.999999999998</v>
      </c>
      <c r="B135" s="4">
        <f t="shared" si="75"/>
        <v>4966.3889802517679</v>
      </c>
      <c r="D135" s="22">
        <f t="shared" si="106"/>
        <v>3899.3902439024387</v>
      </c>
      <c r="E135" s="22"/>
      <c r="F135" s="22"/>
      <c r="G135" s="4">
        <f t="shared" si="107"/>
        <v>366.30624132209016</v>
      </c>
      <c r="H135" s="21">
        <f t="shared" si="113"/>
        <v>34243252.018835939</v>
      </c>
      <c r="I135" s="2">
        <f t="shared" si="80"/>
        <v>34.243252018835939</v>
      </c>
      <c r="J135" s="11">
        <f t="shared" si="102"/>
        <v>1.1815357053245177</v>
      </c>
      <c r="K135" s="4">
        <f t="shared" si="82"/>
        <v>978.40433868404409</v>
      </c>
      <c r="L135" s="4">
        <f t="shared" si="100"/>
        <v>266.45989015345577</v>
      </c>
      <c r="M135" s="161">
        <f t="shared" si="108"/>
        <v>0.19077044249362238</v>
      </c>
      <c r="N135" s="390"/>
      <c r="O135" s="391"/>
      <c r="P135" s="391"/>
      <c r="Q135" s="391"/>
      <c r="R135" s="401">
        <f t="shared" si="103"/>
        <v>842.58638120698572</v>
      </c>
      <c r="S135" s="400">
        <f t="shared" si="109"/>
        <v>3.7340309965457074E-4</v>
      </c>
      <c r="T135" s="400">
        <f t="shared" si="88"/>
        <v>3.7272729200091685E-5</v>
      </c>
      <c r="U135" s="400">
        <f t="shared" si="112"/>
        <v>3.0927936014742456E-4</v>
      </c>
      <c r="V135" s="20">
        <f t="shared" si="104"/>
        <v>1.0803051039475257E-2</v>
      </c>
      <c r="W135" s="20">
        <f t="shared" si="90"/>
        <v>2.0373974805690557E-3</v>
      </c>
      <c r="X135" s="389"/>
      <c r="Y135" s="389"/>
      <c r="Z135" s="25">
        <f t="shared" si="110"/>
        <v>9.973429178971184</v>
      </c>
      <c r="AA135" s="392">
        <f t="shared" si="111"/>
        <v>332077.49915875524</v>
      </c>
      <c r="AB135" s="14">
        <f t="shared" si="105"/>
        <v>0</v>
      </c>
      <c r="AC135" s="387"/>
      <c r="AD135" s="388"/>
      <c r="AE135" s="388"/>
      <c r="AF135" s="388"/>
      <c r="AG135" s="388"/>
      <c r="AH135" s="388"/>
      <c r="AI135" s="388"/>
      <c r="AJ135" s="388"/>
    </row>
    <row r="136" spans="1:36">
      <c r="A136">
        <f t="shared" si="74"/>
        <v>12620</v>
      </c>
      <c r="B136" s="4">
        <f t="shared" si="75"/>
        <v>5014.5510540964024</v>
      </c>
      <c r="D136" s="22">
        <f t="shared" si="106"/>
        <v>3847.5609756097565</v>
      </c>
      <c r="E136" s="22"/>
      <c r="F136" s="22"/>
      <c r="G136" s="4">
        <f t="shared" si="107"/>
        <v>366.30624132209016</v>
      </c>
      <c r="H136" s="21">
        <f t="shared" si="113"/>
        <v>34575329.517994694</v>
      </c>
      <c r="I136" s="2">
        <f t="shared" si="80"/>
        <v>34.575329517994696</v>
      </c>
      <c r="J136" s="11">
        <f t="shared" si="102"/>
        <v>1.184770227426799</v>
      </c>
      <c r="K136" s="4">
        <f t="shared" si="82"/>
        <v>978.55560597274814</v>
      </c>
      <c r="L136" s="4">
        <f t="shared" si="100"/>
        <v>268.30940021138093</v>
      </c>
      <c r="M136" s="161">
        <f t="shared" si="108"/>
        <v>0.18972865423245192</v>
      </c>
      <c r="N136" s="390"/>
      <c r="O136" s="391"/>
      <c r="P136" s="391"/>
      <c r="Q136" s="391"/>
      <c r="R136" s="401">
        <f t="shared" si="103"/>
        <v>843.80154917993889</v>
      </c>
      <c r="S136" s="400">
        <f t="shared" si="109"/>
        <v>3.7340309965457074E-4</v>
      </c>
      <c r="T136" s="400">
        <f t="shared" si="88"/>
        <v>3.7539440750636218E-5</v>
      </c>
      <c r="U136" s="400">
        <f t="shared" si="112"/>
        <v>3.0968013964513996E-4</v>
      </c>
      <c r="V136" s="20">
        <f t="shared" si="104"/>
        <v>1.0801381079965039E-2</v>
      </c>
      <c r="W136" s="20">
        <f t="shared" si="90"/>
        <v>2.0233532945310891E-3</v>
      </c>
      <c r="X136" s="389"/>
      <c r="Y136" s="389"/>
      <c r="Z136" s="25">
        <f t="shared" si="110"/>
        <v>9.9612236927307123</v>
      </c>
      <c r="AA136" s="392">
        <f t="shared" si="111"/>
        <v>331814.50887235266</v>
      </c>
      <c r="AB136" s="14">
        <f t="shared" si="105"/>
        <v>0</v>
      </c>
      <c r="AC136" s="387"/>
      <c r="AD136" s="388"/>
      <c r="AE136" s="388"/>
      <c r="AF136" s="388"/>
      <c r="AG136" s="388"/>
      <c r="AH136" s="388"/>
      <c r="AI136" s="388"/>
      <c r="AJ136" s="388"/>
    </row>
    <row r="137" spans="1:36">
      <c r="A137">
        <f t="shared" si="74"/>
        <v>12450</v>
      </c>
      <c r="B137" s="4">
        <f t="shared" si="75"/>
        <v>5062.6749857675195</v>
      </c>
      <c r="D137" s="22">
        <f t="shared" si="106"/>
        <v>3795.7317073170734</v>
      </c>
      <c r="E137" s="22"/>
      <c r="F137" s="22"/>
      <c r="G137" s="4">
        <f t="shared" si="107"/>
        <v>366.30624132209016</v>
      </c>
      <c r="H137" s="21">
        <f t="shared" si="113"/>
        <v>34907144.026867047</v>
      </c>
      <c r="I137" s="2">
        <f t="shared" si="80"/>
        <v>34.907144026867044</v>
      </c>
      <c r="J137" s="11">
        <f t="shared" si="102"/>
        <v>1.1880230258416449</v>
      </c>
      <c r="K137" s="4">
        <f t="shared" si="82"/>
        <v>978.70675346463429</v>
      </c>
      <c r="L137" s="4">
        <f t="shared" si="100"/>
        <v>270.14264795890529</v>
      </c>
      <c r="M137" s="161">
        <f t="shared" si="108"/>
        <v>0.18870769639007598</v>
      </c>
      <c r="N137" s="390"/>
      <c r="O137" s="391"/>
      <c r="P137" s="391"/>
      <c r="Q137" s="391"/>
      <c r="R137" s="401">
        <f t="shared" si="103"/>
        <v>844.99525336995339</v>
      </c>
      <c r="S137" s="400">
        <f t="shared" si="109"/>
        <v>3.7340309965457074E-4</v>
      </c>
      <c r="T137" s="400">
        <f t="shared" si="88"/>
        <v>3.7808114653325091E-5</v>
      </c>
      <c r="U137" s="400">
        <f t="shared" si="112"/>
        <v>3.1007374311492356E-4</v>
      </c>
      <c r="V137" s="20">
        <f t="shared" si="104"/>
        <v>1.0799712958586123E-2</v>
      </c>
      <c r="W137" s="20">
        <f t="shared" si="90"/>
        <v>2.0096223716365696E-3</v>
      </c>
      <c r="X137" s="389"/>
      <c r="Y137" s="389"/>
      <c r="Z137" s="25">
        <f t="shared" si="110"/>
        <v>9.9492629518543172</v>
      </c>
      <c r="AA137" s="392">
        <f t="shared" si="111"/>
        <v>331556.57871490135</v>
      </c>
      <c r="AB137" s="14">
        <f t="shared" si="105"/>
        <v>0</v>
      </c>
      <c r="AC137" s="387"/>
      <c r="AD137" s="388"/>
      <c r="AE137" s="388"/>
      <c r="AF137" s="388"/>
      <c r="AG137" s="388"/>
      <c r="AH137" s="388"/>
      <c r="AI137" s="388"/>
      <c r="AJ137" s="388"/>
    </row>
    <row r="138" spans="1:36">
      <c r="A138">
        <f t="shared" si="74"/>
        <v>12279.999999999996</v>
      </c>
      <c r="B138" s="4">
        <f t="shared" si="75"/>
        <v>5110.7615091489406</v>
      </c>
      <c r="D138" s="22">
        <f t="shared" si="106"/>
        <v>3743.9024390243894</v>
      </c>
      <c r="E138" s="22"/>
      <c r="F138" s="22"/>
      <c r="G138" s="4">
        <f t="shared" si="107"/>
        <v>366.30624132209016</v>
      </c>
      <c r="H138" s="21">
        <f t="shared" si="113"/>
        <v>35238700.605581947</v>
      </c>
      <c r="I138" s="2">
        <f t="shared" si="80"/>
        <v>35.238700605581947</v>
      </c>
      <c r="J138" s="11">
        <f t="shared" si="102"/>
        <v>1.1912938891846239</v>
      </c>
      <c r="K138" s="4">
        <f t="shared" si="82"/>
        <v>978.85778346468294</v>
      </c>
      <c r="L138" s="4">
        <f t="shared" si="100"/>
        <v>271.95976954194481</v>
      </c>
      <c r="M138" s="161">
        <f t="shared" si="108"/>
        <v>0.18770700016753797</v>
      </c>
      <c r="N138" s="390"/>
      <c r="O138" s="391"/>
      <c r="P138" s="391"/>
      <c r="Q138" s="391"/>
      <c r="R138" s="401">
        <f t="shared" si="103"/>
        <v>846.16807784685534</v>
      </c>
      <c r="S138" s="400">
        <f t="shared" si="109"/>
        <v>3.7340309965457074E-4</v>
      </c>
      <c r="T138" s="400">
        <f t="shared" si="88"/>
        <v>3.8078749888910621E-5</v>
      </c>
      <c r="U138" s="400">
        <f t="shared" si="112"/>
        <v>3.1046037187692843E-4</v>
      </c>
      <c r="V138" s="20">
        <f t="shared" si="104"/>
        <v>1.07980466484477E-2</v>
      </c>
      <c r="W138" s="20">
        <f t="shared" si="90"/>
        <v>1.9961949143644502E-3</v>
      </c>
      <c r="X138" s="389"/>
      <c r="Y138" s="389"/>
      <c r="Z138" s="25">
        <f t="shared" si="110"/>
        <v>9.9375393255278759</v>
      </c>
      <c r="AA138" s="392">
        <f t="shared" si="111"/>
        <v>331303.55216305214</v>
      </c>
      <c r="AB138" s="14">
        <f t="shared" si="105"/>
        <v>0</v>
      </c>
      <c r="AC138" s="387"/>
      <c r="AD138" s="388"/>
      <c r="AE138" s="388"/>
      <c r="AF138" s="388"/>
      <c r="AG138" s="388"/>
      <c r="AH138" s="388"/>
      <c r="AI138" s="388"/>
      <c r="AJ138" s="388"/>
    </row>
    <row r="139" spans="1:36">
      <c r="A139">
        <f t="shared" si="74"/>
        <v>12109.999999999998</v>
      </c>
      <c r="B139" s="4">
        <f t="shared" si="75"/>
        <v>5158.8113354234947</v>
      </c>
      <c r="D139" s="22">
        <f t="shared" si="106"/>
        <v>3692.0731707317073</v>
      </c>
      <c r="E139" s="22"/>
      <c r="F139" s="22"/>
      <c r="G139" s="4">
        <f t="shared" si="107"/>
        <v>366.30624132209016</v>
      </c>
      <c r="H139" s="21">
        <f t="shared" si="113"/>
        <v>35570004.157744996</v>
      </c>
      <c r="I139" s="2">
        <f t="shared" si="80"/>
        <v>35.570004157744997</v>
      </c>
      <c r="J139" s="11">
        <f t="shared" si="102"/>
        <v>1.1945826067962058</v>
      </c>
      <c r="K139" s="4">
        <f t="shared" si="82"/>
        <v>979.00869820657499</v>
      </c>
      <c r="L139" s="4">
        <f t="shared" si="100"/>
        <v>273.76090100375643</v>
      </c>
      <c r="M139" s="161">
        <f t="shared" si="108"/>
        <v>0.18672601667811278</v>
      </c>
      <c r="N139" s="390"/>
      <c r="O139" s="391"/>
      <c r="P139" s="391"/>
      <c r="Q139" s="391"/>
      <c r="R139" s="401">
        <f t="shared" si="103"/>
        <v>847.32058626387914</v>
      </c>
      <c r="S139" s="400">
        <f t="shared" si="109"/>
        <v>3.7340309965457074E-4</v>
      </c>
      <c r="T139" s="400">
        <f t="shared" si="88"/>
        <v>3.8351345445268527E-5</v>
      </c>
      <c r="U139" s="400">
        <f t="shared" si="112"/>
        <v>3.1084022021005359E-4</v>
      </c>
      <c r="V139" s="20">
        <f t="shared" si="104"/>
        <v>1.0796382123478847E-2</v>
      </c>
      <c r="W139" s="20">
        <f t="shared" si="90"/>
        <v>1.9830615214986775E-3</v>
      </c>
      <c r="X139" s="389"/>
      <c r="Y139" s="389"/>
      <c r="Z139" s="25">
        <f t="shared" si="110"/>
        <v>9.9260454913919816</v>
      </c>
      <c r="AA139" s="392">
        <f t="shared" si="111"/>
        <v>331055.27902032371</v>
      </c>
      <c r="AB139" s="14">
        <f t="shared" si="105"/>
        <v>0</v>
      </c>
      <c r="AC139" s="387"/>
      <c r="AD139" s="388"/>
      <c r="AE139" s="388"/>
      <c r="AF139" s="388"/>
      <c r="AG139" s="388"/>
      <c r="AH139" s="388"/>
      <c r="AI139" s="388"/>
      <c r="AJ139" s="388"/>
    </row>
    <row r="140" spans="1:36">
      <c r="A140">
        <f t="shared" si="74"/>
        <v>11939.999999999998</v>
      </c>
      <c r="B140" s="4">
        <f t="shared" si="75"/>
        <v>5206.8251539906196</v>
      </c>
      <c r="D140" s="22">
        <f t="shared" si="106"/>
        <v>3640.2439024390242</v>
      </c>
      <c r="E140" s="22"/>
      <c r="F140" s="22"/>
      <c r="G140" s="4">
        <f t="shared" si="107"/>
        <v>366.30624132209016</v>
      </c>
      <c r="H140" s="21">
        <f t="shared" si="113"/>
        <v>35901059.436765321</v>
      </c>
      <c r="I140" s="2">
        <f t="shared" si="80"/>
        <v>35.901059436765323</v>
      </c>
      <c r="J140" s="11">
        <f t="shared" si="102"/>
        <v>1.1978889687212706</v>
      </c>
      <c r="K140" s="4">
        <f t="shared" si="82"/>
        <v>979.1594998555737</v>
      </c>
      <c r="L140" s="4">
        <f t="shared" si="100"/>
        <v>275.54617828547845</v>
      </c>
      <c r="M140" s="161">
        <f t="shared" si="108"/>
        <v>0.18576421606736421</v>
      </c>
      <c r="N140" s="390"/>
      <c r="O140" s="391"/>
      <c r="P140" s="391"/>
      <c r="Q140" s="391"/>
      <c r="R140" s="401">
        <f t="shared" si="103"/>
        <v>848.45332275955059</v>
      </c>
      <c r="S140" s="400">
        <f t="shared" si="109"/>
        <v>3.7340309965457074E-4</v>
      </c>
      <c r="T140" s="400">
        <f t="shared" si="88"/>
        <v>3.8625900317297857E-5</v>
      </c>
      <c r="U140" s="400">
        <f t="shared" si="112"/>
        <v>3.1121347566245454E-4</v>
      </c>
      <c r="V140" s="20">
        <f t="shared" si="104"/>
        <v>1.0794719358395446E-2</v>
      </c>
      <c r="W140" s="20">
        <f t="shared" si="90"/>
        <v>1.9702131680770572E-3</v>
      </c>
      <c r="X140" s="389"/>
      <c r="Y140" s="389"/>
      <c r="Z140" s="25">
        <f t="shared" si="110"/>
        <v>9.9147744199421357</v>
      </c>
      <c r="AA140" s="392">
        <f t="shared" si="111"/>
        <v>330811.61509717192</v>
      </c>
      <c r="AB140" s="14">
        <f t="shared" si="105"/>
        <v>0</v>
      </c>
      <c r="AC140" s="387"/>
      <c r="AD140" s="388"/>
      <c r="AE140" s="388"/>
      <c r="AF140" s="388"/>
      <c r="AG140" s="388"/>
      <c r="AH140" s="388"/>
      <c r="AI140" s="388"/>
      <c r="AJ140" s="388"/>
    </row>
    <row r="141" spans="1:36">
      <c r="A141">
        <f t="shared" si="74"/>
        <v>11769.999999999998</v>
      </c>
      <c r="B141" s="4">
        <f t="shared" si="75"/>
        <v>5254.8036333375621</v>
      </c>
      <c r="D141" s="22">
        <f t="shared" si="106"/>
        <v>3588.4146341463411</v>
      </c>
      <c r="E141" s="22"/>
      <c r="F141" s="22"/>
      <c r="G141" s="4">
        <f t="shared" si="107"/>
        <v>366.30624132209016</v>
      </c>
      <c r="H141" s="21">
        <f t="shared" si="113"/>
        <v>36231871.051862493</v>
      </c>
      <c r="I141" s="2">
        <f t="shared" si="80"/>
        <v>36.231871051862491</v>
      </c>
      <c r="J141" s="11">
        <f t="shared" si="102"/>
        <v>1.2012127656894536</v>
      </c>
      <c r="K141" s="4">
        <f t="shared" si="82"/>
        <v>979.31019051126179</v>
      </c>
      <c r="L141" s="4">
        <f t="shared" si="100"/>
        <v>277.3157372248441</v>
      </c>
      <c r="M141" s="161">
        <f t="shared" si="108"/>
        <v>0.18482108668024955</v>
      </c>
      <c r="N141" s="390"/>
      <c r="O141" s="391"/>
      <c r="P141" s="391"/>
      <c r="Q141" s="391"/>
      <c r="R141" s="401">
        <f t="shared" si="103"/>
        <v>849.56681281135843</v>
      </c>
      <c r="S141" s="400">
        <f t="shared" si="109"/>
        <v>3.7340309965457074E-4</v>
      </c>
      <c r="T141" s="400">
        <f t="shared" si="88"/>
        <v>3.8902413506816503E-5</v>
      </c>
      <c r="U141" s="400">
        <f t="shared" si="112"/>
        <v>3.1158031934545367E-4</v>
      </c>
      <c r="V141" s="20">
        <f t="shared" si="104"/>
        <v>1.079305832866876E-2</v>
      </c>
      <c r="W141" s="20">
        <f t="shared" si="90"/>
        <v>1.9576411865555037E-3</v>
      </c>
      <c r="X141" s="389"/>
      <c r="Y141" s="389"/>
      <c r="Z141" s="25">
        <f t="shared" si="110"/>
        <v>9.9037193598742395</v>
      </c>
      <c r="AA141" s="392">
        <f t="shared" si="111"/>
        <v>330572.42191042664</v>
      </c>
      <c r="AB141" s="14">
        <f t="shared" si="105"/>
        <v>0</v>
      </c>
      <c r="AC141" s="387"/>
      <c r="AD141" s="388"/>
      <c r="AE141" s="388"/>
      <c r="AF141" s="388"/>
      <c r="AG141" s="388"/>
      <c r="AH141" s="388"/>
      <c r="AI141" s="388"/>
      <c r="AJ141" s="388"/>
    </row>
    <row r="142" spans="1:36">
      <c r="A142">
        <f t="shared" si="74"/>
        <v>11600</v>
      </c>
      <c r="B142" s="4">
        <f t="shared" si="75"/>
        <v>5302.7474218669931</v>
      </c>
      <c r="D142" s="22">
        <f t="shared" si="106"/>
        <v>3536.5853658536589</v>
      </c>
      <c r="E142" s="22"/>
      <c r="F142" s="22"/>
      <c r="G142" s="4">
        <f t="shared" si="107"/>
        <v>366.30624132209016</v>
      </c>
      <c r="H142" s="21">
        <f t="shared" si="113"/>
        <v>36562443.473772921</v>
      </c>
      <c r="I142" s="2">
        <f t="shared" si="80"/>
        <v>36.562443473772923</v>
      </c>
      <c r="J142" s="11">
        <f t="shared" si="102"/>
        <v>1.2045537890962874</v>
      </c>
      <c r="K142" s="4">
        <f t="shared" si="82"/>
        <v>979.46077221014014</v>
      </c>
      <c r="L142" s="4">
        <f t="shared" si="100"/>
        <v>279.0697135532447</v>
      </c>
      <c r="M142" s="161">
        <f t="shared" si="108"/>
        <v>0.18389613427231871</v>
      </c>
      <c r="N142" s="390"/>
      <c r="O142" s="391"/>
      <c r="P142" s="391"/>
      <c r="Q142" s="391"/>
      <c r="R142" s="401">
        <f t="shared" si="103"/>
        <v>850.66156404424021</v>
      </c>
      <c r="S142" s="400">
        <f t="shared" si="109"/>
        <v>3.7340309965457074E-4</v>
      </c>
      <c r="T142" s="400">
        <f t="shared" si="88"/>
        <v>3.9180884022453067E-5</v>
      </c>
      <c r="U142" s="400">
        <f t="shared" si="112"/>
        <v>3.1194092621189497E-4</v>
      </c>
      <c r="V142" s="20">
        <f t="shared" si="104"/>
        <v>1.0791399010495603E-2</v>
      </c>
      <c r="W142" s="20">
        <f t="shared" si="90"/>
        <v>1.9453372491020212E-3</v>
      </c>
      <c r="X142" s="389"/>
      <c r="Y142" s="389"/>
      <c r="Z142" s="25">
        <f t="shared" si="110"/>
        <v>9.892873824308813</v>
      </c>
      <c r="AA142" s="392">
        <f t="shared" si="111"/>
        <v>330337.56640073378</v>
      </c>
      <c r="AB142" s="14">
        <f t="shared" si="105"/>
        <v>0</v>
      </c>
      <c r="AC142" s="387"/>
      <c r="AD142" s="388"/>
      <c r="AE142" s="388"/>
      <c r="AF142" s="388"/>
      <c r="AG142" s="388"/>
      <c r="AH142" s="388"/>
      <c r="AI142" s="388"/>
      <c r="AJ142" s="388"/>
    </row>
    <row r="143" spans="1:36">
      <c r="A143">
        <f t="shared" si="74"/>
        <v>11430</v>
      </c>
      <c r="B143" s="4">
        <f t="shared" si="75"/>
        <v>5350.6571486836337</v>
      </c>
      <c r="D143" s="22">
        <f t="shared" si="106"/>
        <v>3484.7560975609758</v>
      </c>
      <c r="E143" s="22"/>
      <c r="F143" s="22"/>
      <c r="G143" s="4">
        <f t="shared" si="107"/>
        <v>366.30624132209016</v>
      </c>
      <c r="H143" s="21">
        <f t="shared" si="113"/>
        <v>36892781.040173657</v>
      </c>
      <c r="I143" s="2">
        <f t="shared" si="80"/>
        <v>36.892781040173659</v>
      </c>
      <c r="J143" s="11">
        <f t="shared" si="102"/>
        <v>1.207911830985096</v>
      </c>
      <c r="K143" s="4">
        <f t="shared" si="82"/>
        <v>979.61124692809938</v>
      </c>
      <c r="L143" s="4">
        <f t="shared" si="100"/>
        <v>280.80824289130419</v>
      </c>
      <c r="M143" s="161">
        <f t="shared" si="108"/>
        <v>0.18298888126226789</v>
      </c>
      <c r="N143" s="390"/>
      <c r="O143" s="391"/>
      <c r="P143" s="391"/>
      <c r="Q143" s="391"/>
      <c r="R143" s="401">
        <f t="shared" si="103"/>
        <v>851.73806699669422</v>
      </c>
      <c r="S143" s="400">
        <f t="shared" si="109"/>
        <v>3.7340309965457074E-4</v>
      </c>
      <c r="T143" s="400">
        <f t="shared" si="88"/>
        <v>3.9461310879535595E-5</v>
      </c>
      <c r="U143" s="400">
        <f t="shared" si="112"/>
        <v>3.122954653199065E-4</v>
      </c>
      <c r="V143" s="20">
        <f t="shared" si="104"/>
        <v>1.0789741380769951E-2</v>
      </c>
      <c r="W143" s="20">
        <f t="shared" si="90"/>
        <v>1.933293350941621E-3</v>
      </c>
      <c r="X143" s="389"/>
      <c r="Y143" s="389"/>
      <c r="Z143" s="25">
        <f t="shared" si="110"/>
        <v>9.8822315778326146</v>
      </c>
      <c r="AA143" s="392">
        <f t="shared" si="111"/>
        <v>330106.92066674994</v>
      </c>
      <c r="AB143" s="14">
        <f t="shared" si="105"/>
        <v>0</v>
      </c>
      <c r="AC143" s="387"/>
      <c r="AD143" s="388"/>
      <c r="AE143" s="388"/>
      <c r="AF143" s="388"/>
      <c r="AG143" s="388"/>
      <c r="AH143" s="388"/>
      <c r="AI143" s="388"/>
      <c r="AJ143" s="388"/>
    </row>
    <row r="144" spans="1:36">
      <c r="A144">
        <f t="shared" si="74"/>
        <v>11259.999999999998</v>
      </c>
      <c r="B144" s="4">
        <f t="shared" si="75"/>
        <v>5398.5334243423358</v>
      </c>
      <c r="D144" s="22">
        <f t="shared" si="106"/>
        <v>3432.9268292682923</v>
      </c>
      <c r="E144" s="22"/>
      <c r="F144" s="22"/>
      <c r="G144" s="4">
        <f t="shared" si="107"/>
        <v>366.30624132209016</v>
      </c>
      <c r="H144" s="21">
        <f t="shared" si="113"/>
        <v>37222887.960840404</v>
      </c>
      <c r="I144" s="2">
        <f t="shared" si="80"/>
        <v>37.222887960840403</v>
      </c>
      <c r="J144" s="11">
        <f t="shared" si="102"/>
        <v>1.2112866840296097</v>
      </c>
      <c r="K144" s="4">
        <f t="shared" si="82"/>
        <v>979.76161658276772</v>
      </c>
      <c r="L144" s="4">
        <f t="shared" si="100"/>
        <v>282.53146074311525</v>
      </c>
      <c r="M144" s="161">
        <f t="shared" si="108"/>
        <v>0.18209886602330289</v>
      </c>
      <c r="N144" s="390"/>
      <c r="O144" s="391"/>
      <c r="P144" s="391"/>
      <c r="Q144" s="391"/>
      <c r="R144" s="401">
        <f t="shared" si="103"/>
        <v>852.79679584711619</v>
      </c>
      <c r="S144" s="400">
        <f t="shared" si="109"/>
        <v>3.7340309965457074E-4</v>
      </c>
      <c r="T144" s="400">
        <f t="shared" si="88"/>
        <v>3.9743693099977675E-5</v>
      </c>
      <c r="U144" s="400">
        <f t="shared" si="112"/>
        <v>3.126441000829711E-4</v>
      </c>
      <c r="V144" s="20">
        <f t="shared" si="104"/>
        <v>1.0788085417055997E-2</v>
      </c>
      <c r="W144" s="20">
        <f t="shared" si="90"/>
        <v>1.9215017946796467E-3</v>
      </c>
      <c r="X144" s="389"/>
      <c r="Y144" s="389"/>
      <c r="Z144" s="25">
        <f t="shared" si="110"/>
        <v>9.8717866243013308</v>
      </c>
      <c r="AA144" s="392">
        <f t="shared" si="111"/>
        <v>329880.36171492643</v>
      </c>
      <c r="AB144" s="14">
        <f t="shared" si="105"/>
        <v>0</v>
      </c>
      <c r="AC144" s="387"/>
      <c r="AD144" s="388"/>
      <c r="AE144" s="388"/>
      <c r="AF144" s="388"/>
      <c r="AG144" s="388"/>
      <c r="AH144" s="388"/>
      <c r="AI144" s="388"/>
      <c r="AJ144" s="388"/>
    </row>
    <row r="145" spans="1:36">
      <c r="A145">
        <f t="shared" si="74"/>
        <v>11089.999999999998</v>
      </c>
      <c r="B145" s="4">
        <f t="shared" si="75"/>
        <v>5446.3768415598743</v>
      </c>
      <c r="D145" s="22">
        <f t="shared" si="106"/>
        <v>3381.0975609756097</v>
      </c>
      <c r="E145" s="22"/>
      <c r="F145" s="22"/>
      <c r="G145" s="4">
        <f t="shared" si="107"/>
        <v>366.30624132209016</v>
      </c>
      <c r="H145" s="21">
        <f t="shared" si="113"/>
        <v>37552768.322555333</v>
      </c>
      <c r="I145" s="2">
        <f t="shared" si="80"/>
        <v>37.55276832255533</v>
      </c>
      <c r="J145" s="11">
        <f t="shared" si="102"/>
        <v>1.2146781415172632</v>
      </c>
      <c r="K145" s="4">
        <f t="shared" si="82"/>
        <v>979.91188303574825</v>
      </c>
      <c r="L145" s="4">
        <f t="shared" si="100"/>
        <v>284.23950248927423</v>
      </c>
      <c r="M145" s="161">
        <f t="shared" si="108"/>
        <v>0.18122564221094797</v>
      </c>
      <c r="N145" s="390"/>
      <c r="O145" s="391"/>
      <c r="P145" s="391"/>
      <c r="Q145" s="391"/>
      <c r="R145" s="401">
        <f t="shared" si="103"/>
        <v>853.83820910279451</v>
      </c>
      <c r="S145" s="400">
        <f t="shared" si="109"/>
        <v>3.7340309965457074E-4</v>
      </c>
      <c r="T145" s="400">
        <f t="shared" si="88"/>
        <v>4.0028029712162395E-5</v>
      </c>
      <c r="U145" s="400">
        <f t="shared" si="112"/>
        <v>3.1298698850713814E-4</v>
      </c>
      <c r="V145" s="20">
        <f t="shared" si="104"/>
        <v>1.0786431097562442E-2</v>
      </c>
      <c r="W145" s="20">
        <f t="shared" si="90"/>
        <v>1.9099551755366721E-3</v>
      </c>
      <c r="X145" s="389"/>
      <c r="Y145" s="389"/>
      <c r="Z145" s="25">
        <f t="shared" si="110"/>
        <v>9.8615331953512548</v>
      </c>
      <c r="AA145" s="392">
        <f t="shared" si="111"/>
        <v>329657.77122383507</v>
      </c>
      <c r="AB145" s="14">
        <f t="shared" si="105"/>
        <v>0</v>
      </c>
      <c r="AC145" s="387"/>
      <c r="AD145" s="388"/>
      <c r="AE145" s="388"/>
      <c r="AF145" s="388"/>
      <c r="AG145" s="388"/>
      <c r="AH145" s="388"/>
      <c r="AI145" s="388"/>
      <c r="AJ145" s="388"/>
    </row>
    <row r="146" spans="1:36">
      <c r="A146">
        <f t="shared" si="74"/>
        <v>10919.999999999998</v>
      </c>
      <c r="B146" s="4">
        <f t="shared" si="75"/>
        <v>5494.1879758925552</v>
      </c>
      <c r="D146" s="22">
        <f t="shared" si="106"/>
        <v>3329.2682926829266</v>
      </c>
      <c r="E146" s="22"/>
      <c r="F146" s="22"/>
      <c r="G146" s="4">
        <f t="shared" si="107"/>
        <v>366.30624132209016</v>
      </c>
      <c r="H146" s="21">
        <f t="shared" si="113"/>
        <v>37882426.093779169</v>
      </c>
      <c r="I146" s="2">
        <f t="shared" si="80"/>
        <v>37.882426093779166</v>
      </c>
      <c r="J146" s="11">
        <f t="shared" si="102"/>
        <v>1.2180859973331426</v>
      </c>
      <c r="K146" s="4">
        <f t="shared" si="82"/>
        <v>980.0620480947465</v>
      </c>
      <c r="L146" s="4">
        <f t="shared" si="100"/>
        <v>285.93250337884513</v>
      </c>
      <c r="M146" s="161">
        <f t="shared" si="108"/>
        <v>0.18036877812509988</v>
      </c>
      <c r="N146" s="390"/>
      <c r="O146" s="391"/>
      <c r="P146" s="391"/>
      <c r="Q146" s="391"/>
      <c r="R146" s="401">
        <f t="shared" si="103"/>
        <v>854.86275025380746</v>
      </c>
      <c r="S146" s="400">
        <f t="shared" si="109"/>
        <v>3.7340309965457074E-4</v>
      </c>
      <c r="T146" s="400">
        <f t="shared" si="88"/>
        <v>4.0314319750824499E-5</v>
      </c>
      <c r="U146" s="400">
        <f t="shared" si="112"/>
        <v>3.1332428341615168E-4</v>
      </c>
      <c r="V146" s="20">
        <f t="shared" si="104"/>
        <v>1.0784778401118073E-2</v>
      </c>
      <c r="W146" s="20">
        <f t="shared" si="90"/>
        <v>1.898646367433314E-3</v>
      </c>
      <c r="X146" s="389"/>
      <c r="Y146" s="389"/>
      <c r="Z146" s="25">
        <f t="shared" si="110"/>
        <v>9.8514657395721308</v>
      </c>
      <c r="AA146" s="392">
        <f t="shared" si="111"/>
        <v>329439.03532203502</v>
      </c>
      <c r="AB146" s="14">
        <f t="shared" si="105"/>
        <v>0</v>
      </c>
      <c r="AC146" s="387"/>
      <c r="AD146" s="388"/>
      <c r="AE146" s="388"/>
      <c r="AF146" s="388"/>
      <c r="AG146" s="388"/>
      <c r="AH146" s="388"/>
      <c r="AI146" s="388"/>
      <c r="AJ146" s="388"/>
    </row>
    <row r="147" spans="1:36">
      <c r="A147">
        <f t="shared" si="74"/>
        <v>10750</v>
      </c>
      <c r="B147" s="4">
        <f t="shared" si="75"/>
        <v>5541.9673863816097</v>
      </c>
      <c r="D147" s="22">
        <f t="shared" si="106"/>
        <v>3277.439024390244</v>
      </c>
      <c r="E147" s="22"/>
      <c r="F147" s="22"/>
      <c r="G147" s="4">
        <f t="shared" si="107"/>
        <v>366.30624132209016</v>
      </c>
      <c r="H147" s="21">
        <f t="shared" si="113"/>
        <v>38211865.129101202</v>
      </c>
      <c r="I147" s="2">
        <f t="shared" si="80"/>
        <v>38.211865129101199</v>
      </c>
      <c r="J147" s="11">
        <f t="shared" si="102"/>
        <v>1.2215100459445543</v>
      </c>
      <c r="K147" s="4">
        <f t="shared" si="82"/>
        <v>980.21211351559748</v>
      </c>
      <c r="L147" s="4">
        <f t="shared" si="100"/>
        <v>287.61059852036902</v>
      </c>
      <c r="M147" s="161">
        <f t="shared" si="108"/>
        <v>0.17952785610428013</v>
      </c>
      <c r="N147" s="390"/>
      <c r="O147" s="391"/>
      <c r="P147" s="391"/>
      <c r="Q147" s="391"/>
      <c r="R147" s="401">
        <f t="shared" si="103"/>
        <v>855.87084839392764</v>
      </c>
      <c r="S147" s="400">
        <f t="shared" si="109"/>
        <v>3.7340309965457074E-4</v>
      </c>
      <c r="T147" s="400">
        <f t="shared" si="88"/>
        <v>4.0602562256931276E-5</v>
      </c>
      <c r="U147" s="400">
        <f t="shared" si="112"/>
        <v>3.1365613266522022E-4</v>
      </c>
      <c r="V147" s="20">
        <f t="shared" si="104"/>
        <v>1.078312730714848E-2</v>
      </c>
      <c r="W147" s="20">
        <f t="shared" si="90"/>
        <v>1.8875685098680749E-3</v>
      </c>
      <c r="X147" s="389"/>
      <c r="Y147" s="389"/>
      <c r="Z147" s="25">
        <f t="shared" si="110"/>
        <v>9.8415789122968196</v>
      </c>
      <c r="AA147" s="392">
        <f t="shared" si="111"/>
        <v>329224.0443785945</v>
      </c>
      <c r="AB147" s="14">
        <f t="shared" si="105"/>
        <v>0</v>
      </c>
      <c r="AC147" s="387"/>
      <c r="AD147" s="388"/>
      <c r="AE147" s="388"/>
      <c r="AF147" s="388"/>
      <c r="AG147" s="388"/>
      <c r="AH147" s="388"/>
      <c r="AI147" s="388"/>
      <c r="AJ147" s="388"/>
    </row>
    <row r="148" spans="1:36">
      <c r="A148">
        <f t="shared" si="74"/>
        <v>10579.999999999998</v>
      </c>
      <c r="B148" s="4">
        <f t="shared" si="75"/>
        <v>5589.7156161682078</v>
      </c>
      <c r="D148" s="22">
        <f t="shared" si="106"/>
        <v>3225.6097560975609</v>
      </c>
      <c r="E148" s="22"/>
      <c r="F148" s="22"/>
      <c r="G148" s="4">
        <f t="shared" si="107"/>
        <v>366.30624132209016</v>
      </c>
      <c r="H148" s="21">
        <f t="shared" si="113"/>
        <v>38541089.173479795</v>
      </c>
      <c r="I148" s="2">
        <f t="shared" si="80"/>
        <v>38.541089173479797</v>
      </c>
      <c r="J148" s="11">
        <f t="shared" si="102"/>
        <v>1.2249500823861823</v>
      </c>
      <c r="K148" s="4">
        <f t="shared" si="82"/>
        <v>980.36208100419708</v>
      </c>
      <c r="L148" s="4">
        <f t="shared" si="100"/>
        <v>289.27392287203082</v>
      </c>
      <c r="M148" s="161">
        <f t="shared" si="108"/>
        <v>0.17870247195017858</v>
      </c>
      <c r="N148" s="390"/>
      <c r="O148" s="391"/>
      <c r="P148" s="391"/>
      <c r="Q148" s="391"/>
      <c r="R148" s="401">
        <f t="shared" si="103"/>
        <v>856.86291881048294</v>
      </c>
      <c r="S148" s="400">
        <f t="shared" si="109"/>
        <v>3.7340309965457074E-4</v>
      </c>
      <c r="T148" s="400">
        <f t="shared" si="88"/>
        <v>4.089275627756225E-5</v>
      </c>
      <c r="U148" s="400">
        <f t="shared" si="112"/>
        <v>3.1398267934409658E-4</v>
      </c>
      <c r="V148" s="20">
        <f t="shared" si="104"/>
        <v>1.0781477795653863E-2</v>
      </c>
      <c r="W148" s="20">
        <f t="shared" si="90"/>
        <v>1.876714995535632E-3</v>
      </c>
      <c r="X148" s="389"/>
      <c r="Y148" s="389"/>
      <c r="Z148" s="25">
        <f t="shared" si="110"/>
        <v>9.8318675659669488</v>
      </c>
      <c r="AA148" s="392">
        <f t="shared" si="111"/>
        <v>329012.69280541164</v>
      </c>
      <c r="AB148" s="14">
        <f t="shared" si="105"/>
        <v>0</v>
      </c>
      <c r="AC148" s="387"/>
      <c r="AD148" s="388"/>
      <c r="AE148" s="388"/>
      <c r="AF148" s="388"/>
      <c r="AG148" s="388"/>
      <c r="AH148" s="388"/>
      <c r="AI148" s="388"/>
      <c r="AJ148" s="388"/>
    </row>
    <row r="149" spans="1:36">
      <c r="A149">
        <f t="shared" si="74"/>
        <v>10410</v>
      </c>
      <c r="B149" s="4">
        <f t="shared" si="75"/>
        <v>5637.433193079798</v>
      </c>
      <c r="D149" s="22">
        <f t="shared" si="106"/>
        <v>3173.7804878048782</v>
      </c>
      <c r="E149" s="22"/>
      <c r="F149" s="22"/>
      <c r="G149" s="4">
        <f t="shared" si="107"/>
        <v>366.30624132209016</v>
      </c>
      <c r="H149" s="21">
        <f t="shared" si="113"/>
        <v>38870101.866285205</v>
      </c>
      <c r="I149" s="2">
        <f t="shared" si="80"/>
        <v>38.870101866285204</v>
      </c>
      <c r="J149" s="11">
        <f t="shared" si="102"/>
        <v>1.2284059022458114</v>
      </c>
      <c r="K149" s="4">
        <f t="shared" si="82"/>
        <v>980.51195221834405</v>
      </c>
      <c r="L149" s="4">
        <f t="shared" si="100"/>
        <v>290.92261123108267</v>
      </c>
      <c r="M149" s="161">
        <f t="shared" si="108"/>
        <v>0.17789223438071131</v>
      </c>
      <c r="N149" s="390"/>
      <c r="O149" s="391"/>
      <c r="P149" s="391"/>
      <c r="Q149" s="391"/>
      <c r="R149" s="401">
        <f t="shared" si="103"/>
        <v>857.83936354499792</v>
      </c>
      <c r="S149" s="400">
        <f t="shared" si="109"/>
        <v>3.7340309965457074E-4</v>
      </c>
      <c r="T149" s="400">
        <f t="shared" si="88"/>
        <v>4.1184900865788221E-5</v>
      </c>
      <c r="U149" s="400">
        <f t="shared" si="112"/>
        <v>3.1430406197009887E-4</v>
      </c>
      <c r="V149" s="20">
        <f t="shared" si="104"/>
        <v>1.0779829847187884E-2</v>
      </c>
      <c r="W149" s="20">
        <f t="shared" si="90"/>
        <v>1.8660794586369894E-3</v>
      </c>
      <c r="X149" s="389"/>
      <c r="Y149" s="389"/>
      <c r="Z149" s="25">
        <f t="shared" si="110"/>
        <v>9.8223267410367487</v>
      </c>
      <c r="AA149" s="392">
        <f t="shared" si="111"/>
        <v>328804.87887057452</v>
      </c>
      <c r="AB149" s="14">
        <f t="shared" si="105"/>
        <v>0</v>
      </c>
      <c r="AC149" s="387"/>
      <c r="AD149" s="388"/>
      <c r="AE149" s="388"/>
      <c r="AF149" s="388"/>
      <c r="AG149" s="388"/>
      <c r="AH149" s="388"/>
      <c r="AI149" s="388"/>
      <c r="AJ149" s="388"/>
    </row>
    <row r="150" spans="1:36">
      <c r="A150">
        <f t="shared" ref="A150:A213" si="114">D150*3.28</f>
        <v>10239.999999999998</v>
      </c>
      <c r="B150" s="4">
        <f t="shared" ref="B150:B213" si="115">H150/6895</f>
        <v>5685.1206301893808</v>
      </c>
      <c r="D150" s="22">
        <f t="shared" si="106"/>
        <v>3121.9512195121947</v>
      </c>
      <c r="E150" s="22"/>
      <c r="F150" s="22"/>
      <c r="G150" s="4">
        <f t="shared" si="107"/>
        <v>366.30624132209016</v>
      </c>
      <c r="H150" s="21">
        <f t="shared" si="113"/>
        <v>39198906.745155782</v>
      </c>
      <c r="I150" s="2">
        <f t="shared" ref="I150:I213" si="116">Pi/1000000</f>
        <v>39.198906745155782</v>
      </c>
      <c r="J150" s="11">
        <f t="shared" si="102"/>
        <v>1.2318773016505826</v>
      </c>
      <c r="K150" s="4">
        <f t="shared" ref="K150:K213" si="117">(-0.002516*(T-273)^2-0.1853*(T-273)+1002)*(1+Pi/1000000*(0.00000002*(T-273)^2-0.00000224*(T-273)+0.000508))*(1+Cbrine)</f>
        <v>980.66172876949656</v>
      </c>
      <c r="L150" s="4">
        <f t="shared" si="100"/>
        <v>292.55679822261988</v>
      </c>
      <c r="M150" s="161">
        <f t="shared" si="108"/>
        <v>0.17709676450993433</v>
      </c>
      <c r="N150" s="390"/>
      <c r="O150" s="391"/>
      <c r="P150" s="391"/>
      <c r="Q150" s="391"/>
      <c r="R150" s="401">
        <f t="shared" ref="R150:R213" si="118">fi*rhoi+(1-fi)*rhow</f>
        <v>858.80057192631148</v>
      </c>
      <c r="S150" s="400">
        <f t="shared" si="109"/>
        <v>3.7340309965457074E-4</v>
      </c>
      <c r="T150" s="400">
        <f t="shared" ref="T150:T213" si="119">0.001*(0.0167214+0.0000392728*(T-273)+0.000000122474*(T-273)^2+0.000000856087*(Pi*0.000145)+0.000000000469295*(Pi*0.000145)^2)</f>
        <v>4.1478995080549811E-5</v>
      </c>
      <c r="U150" s="400">
        <f t="shared" si="112"/>
        <v>3.1462041467165454E-4</v>
      </c>
      <c r="V150" s="20">
        <f t="shared" ref="V150:V213" si="120">mw/rhow</f>
        <v>1.0778183442837477E-2</v>
      </c>
      <c r="W150" s="20">
        <f t="shared" ref="W150:W213" si="121">mg/rhoi</f>
        <v>1.8556557638365054E-3</v>
      </c>
      <c r="X150" s="389"/>
      <c r="Y150" s="389"/>
      <c r="Z150" s="25">
        <f t="shared" si="110"/>
        <v>9.8129516573800792</v>
      </c>
      <c r="AA150" s="392">
        <f t="shared" si="111"/>
        <v>328600.50452203851</v>
      </c>
      <c r="AB150" s="14">
        <f t="shared" si="105"/>
        <v>0</v>
      </c>
      <c r="AC150" s="387"/>
      <c r="AD150" s="388"/>
      <c r="AE150" s="388"/>
      <c r="AF150" s="388"/>
      <c r="AG150" s="388"/>
      <c r="AH150" s="388"/>
      <c r="AI150" s="388"/>
      <c r="AJ150" s="388"/>
    </row>
    <row r="151" spans="1:36">
      <c r="A151">
        <f t="shared" si="114"/>
        <v>10069.999999999998</v>
      </c>
      <c r="B151" s="4">
        <f t="shared" si="115"/>
        <v>5732.7784263492131</v>
      </c>
      <c r="D151" s="22">
        <f t="shared" si="106"/>
        <v>3070.1219512195121</v>
      </c>
      <c r="E151" s="22"/>
      <c r="F151" s="22"/>
      <c r="G151" s="4">
        <f t="shared" si="107"/>
        <v>366.30624132209016</v>
      </c>
      <c r="H151" s="21">
        <f t="shared" si="113"/>
        <v>39527507.249677822</v>
      </c>
      <c r="I151" s="2">
        <f t="shared" si="116"/>
        <v>39.527507249677825</v>
      </c>
      <c r="J151" s="11">
        <f t="shared" si="102"/>
        <v>1.2353640772537677</v>
      </c>
      <c r="K151" s="4">
        <f t="shared" si="117"/>
        <v>980.81141222444819</v>
      </c>
      <c r="L151" s="4">
        <f t="shared" ref="L151:L214" si="122">Pi/(Z*Rgas*T)</f>
        <v>294.17661828779381</v>
      </c>
      <c r="M151" s="161">
        <f t="shared" si="108"/>
        <v>0.17631569535326769</v>
      </c>
      <c r="N151" s="390"/>
      <c r="O151" s="391"/>
      <c r="P151" s="391"/>
      <c r="Q151" s="391"/>
      <c r="R151" s="401">
        <f t="shared" si="118"/>
        <v>859.74692107775945</v>
      </c>
      <c r="S151" s="400">
        <f t="shared" si="109"/>
        <v>3.7340309965457074E-4</v>
      </c>
      <c r="T151" s="400">
        <f t="shared" si="119"/>
        <v>4.1775037986535682E-5</v>
      </c>
      <c r="U151" s="400">
        <f t="shared" si="112"/>
        <v>3.1493186736291485E-4</v>
      </c>
      <c r="V151" s="20">
        <f t="shared" si="120"/>
        <v>1.0776538564203604E-2</v>
      </c>
      <c r="W151" s="20">
        <f t="shared" si="121"/>
        <v>1.84543799582417E-3</v>
      </c>
      <c r="X151" s="389"/>
      <c r="Y151" s="389"/>
      <c r="Z151" s="25">
        <f t="shared" si="110"/>
        <v>9.8037377061682953</v>
      </c>
      <c r="AA151" s="392">
        <f t="shared" si="111"/>
        <v>328399.4752209569</v>
      </c>
      <c r="AB151" s="14">
        <f t="shared" si="105"/>
        <v>0</v>
      </c>
      <c r="AC151" s="387"/>
      <c r="AD151" s="388"/>
      <c r="AE151" s="388"/>
      <c r="AF151" s="388"/>
      <c r="AG151" s="388"/>
      <c r="AH151" s="388"/>
      <c r="AI151" s="388"/>
      <c r="AJ151" s="388"/>
    </row>
    <row r="152" spans="1:36">
      <c r="A152">
        <f t="shared" si="114"/>
        <v>9899.9999999999982</v>
      </c>
      <c r="B152" s="4">
        <f t="shared" si="115"/>
        <v>5780.4070667003307</v>
      </c>
      <c r="D152" s="22">
        <f t="shared" si="106"/>
        <v>3018.292682926829</v>
      </c>
      <c r="E152" s="22"/>
      <c r="F152" s="22"/>
      <c r="G152" s="4">
        <f t="shared" si="107"/>
        <v>366.30624132209016</v>
      </c>
      <c r="H152" s="21">
        <f t="shared" si="113"/>
        <v>39855906.724898778</v>
      </c>
      <c r="I152" s="2">
        <f t="shared" si="116"/>
        <v>39.85590672489878</v>
      </c>
      <c r="J152" s="11">
        <f t="shared" si="102"/>
        <v>1.2388660262220266</v>
      </c>
      <c r="K152" s="4">
        <f t="shared" si="117"/>
        <v>980.96100410692827</v>
      </c>
      <c r="L152" s="4">
        <f t="shared" si="122"/>
        <v>295.78220567154455</v>
      </c>
      <c r="M152" s="161">
        <f t="shared" si="108"/>
        <v>0.17554867135658289</v>
      </c>
      <c r="N152" s="390"/>
      <c r="O152" s="391"/>
      <c r="P152" s="391"/>
      <c r="Q152" s="391"/>
      <c r="R152" s="401">
        <f t="shared" si="118"/>
        <v>860.67877639989672</v>
      </c>
      <c r="S152" s="400">
        <f t="shared" si="109"/>
        <v>3.7340309965457074E-4</v>
      </c>
      <c r="T152" s="400">
        <f t="shared" si="119"/>
        <v>4.2073028654060876E-5</v>
      </c>
      <c r="U152" s="400">
        <f t="shared" si="112"/>
        <v>3.1523854590994894E-4</v>
      </c>
      <c r="V152" s="20">
        <f t="shared" si="120"/>
        <v>1.077489519338286E-2</v>
      </c>
      <c r="W152" s="20">
        <f t="shared" si="121"/>
        <v>1.8354204494445212E-3</v>
      </c>
      <c r="X152" s="389"/>
      <c r="Y152" s="389"/>
      <c r="Z152" s="25">
        <f t="shared" si="110"/>
        <v>9.7946804421888913</v>
      </c>
      <c r="AA152" s="392">
        <f t="shared" si="111"/>
        <v>328201.69978405035</v>
      </c>
      <c r="AB152" s="14">
        <f t="shared" si="105"/>
        <v>0</v>
      </c>
      <c r="AC152" s="387"/>
      <c r="AD152" s="388"/>
      <c r="AE152" s="388"/>
      <c r="AF152" s="388"/>
      <c r="AG152" s="388"/>
      <c r="AH152" s="388"/>
      <c r="AI152" s="388"/>
      <c r="AJ152" s="388"/>
    </row>
    <row r="153" spans="1:36">
      <c r="A153">
        <f t="shared" si="114"/>
        <v>9730</v>
      </c>
      <c r="B153" s="4">
        <f t="shared" si="115"/>
        <v>5828.0070231592208</v>
      </c>
      <c r="D153" s="22">
        <f t="shared" si="106"/>
        <v>2966.4634146341464</v>
      </c>
      <c r="E153" s="22"/>
      <c r="F153" s="22"/>
      <c r="G153" s="4">
        <f t="shared" si="107"/>
        <v>366.30624132209016</v>
      </c>
      <c r="H153" s="21">
        <f t="shared" si="113"/>
        <v>40184108.424682826</v>
      </c>
      <c r="I153" s="2">
        <f t="shared" si="116"/>
        <v>40.184108424682826</v>
      </c>
      <c r="J153" s="11">
        <f t="shared" si="102"/>
        <v>1.2423829462231364</v>
      </c>
      <c r="K153" s="4">
        <f t="shared" si="117"/>
        <v>981.11050589913066</v>
      </c>
      <c r="L153" s="4">
        <f t="shared" si="122"/>
        <v>297.37369440992535</v>
      </c>
      <c r="M153" s="161">
        <f t="shared" si="108"/>
        <v>0.17479534794780507</v>
      </c>
      <c r="N153" s="390"/>
      <c r="O153" s="391"/>
      <c r="P153" s="391"/>
      <c r="Q153" s="391"/>
      <c r="R153" s="401">
        <f t="shared" si="118"/>
        <v>861.59649203015226</v>
      </c>
      <c r="S153" s="400">
        <f t="shared" si="109"/>
        <v>3.7340309965457074E-4</v>
      </c>
      <c r="T153" s="400">
        <f t="shared" si="119"/>
        <v>4.2372966158945146E-5</v>
      </c>
      <c r="U153" s="400">
        <f t="shared" si="112"/>
        <v>3.1554057228899452E-4</v>
      </c>
      <c r="V153" s="20">
        <f t="shared" si="120"/>
        <v>1.0773253312949902E-2</v>
      </c>
      <c r="W153" s="20">
        <f t="shared" si="121"/>
        <v>1.8255976203564238E-3</v>
      </c>
      <c r="X153" s="389"/>
      <c r="Y153" s="389"/>
      <c r="Z153" s="25">
        <f t="shared" si="110"/>
        <v>9.7857755765771337</v>
      </c>
      <c r="AA153" s="392">
        <f t="shared" si="111"/>
        <v>328007.09023444826</v>
      </c>
      <c r="AB153" s="14">
        <f t="shared" si="105"/>
        <v>0</v>
      </c>
      <c r="AC153" s="387"/>
      <c r="AD153" s="388"/>
      <c r="AE153" s="388"/>
      <c r="AF153" s="388"/>
      <c r="AG153" s="388"/>
      <c r="AH153" s="388"/>
      <c r="AI153" s="388"/>
      <c r="AJ153" s="388"/>
    </row>
    <row r="154" spans="1:36">
      <c r="A154">
        <f t="shared" si="114"/>
        <v>9559.9999999999982</v>
      </c>
      <c r="B154" s="4">
        <f t="shared" si="115"/>
        <v>5875.5787548828539</v>
      </c>
      <c r="D154" s="22">
        <f t="shared" si="106"/>
        <v>2914.6341463414633</v>
      </c>
      <c r="E154" s="22"/>
      <c r="F154" s="22"/>
      <c r="G154" s="4">
        <f t="shared" si="107"/>
        <v>366.30624132209016</v>
      </c>
      <c r="H154" s="21">
        <f t="shared" si="113"/>
        <v>40512115.514917277</v>
      </c>
      <c r="I154" s="2">
        <f t="shared" si="116"/>
        <v>40.512115514917276</v>
      </c>
      <c r="J154" s="11">
        <f t="shared" ref="J154:J185" si="123">1+BB*H154+CCC*H154^2+DD*H154^3</f>
        <v>1.2459146354141655</v>
      </c>
      <c r="K154" s="4">
        <f t="shared" si="117"/>
        <v>981.25991904317425</v>
      </c>
      <c r="L154" s="4">
        <f t="shared" si="122"/>
        <v>298.95121831708792</v>
      </c>
      <c r="M154" s="161">
        <f t="shared" si="108"/>
        <v>0.17405539110976748</v>
      </c>
      <c r="N154" s="390"/>
      <c r="O154" s="391"/>
      <c r="P154" s="391"/>
      <c r="Q154" s="391"/>
      <c r="R154" s="401">
        <f t="shared" si="118"/>
        <v>862.50041128069802</v>
      </c>
      <c r="S154" s="400">
        <f t="shared" si="109"/>
        <v>3.7340309965457074E-4</v>
      </c>
      <c r="T154" s="400">
        <f t="shared" si="119"/>
        <v>4.2674849582391775E-5</v>
      </c>
      <c r="U154" s="400">
        <f t="shared" si="112"/>
        <v>3.1583806473720863E-4</v>
      </c>
      <c r="V154" s="20">
        <f t="shared" si="120"/>
        <v>1.0771612905940682E-2</v>
      </c>
      <c r="W154" s="20">
        <f t="shared" si="121"/>
        <v>1.8159641961904894E-3</v>
      </c>
      <c r="X154" s="389"/>
      <c r="Y154" s="389"/>
      <c r="Z154" s="25">
        <f t="shared" si="110"/>
        <v>9.7770189699348045</v>
      </c>
      <c r="AA154" s="392">
        <f t="shared" si="111"/>
        <v>327815.56166046683</v>
      </c>
      <c r="AB154" s="14">
        <f t="shared" ref="AB154:AB185" si="124">IF(AND(0&lt;D154, D154&lt;=TVD),rho*g*lt/N,0)</f>
        <v>0</v>
      </c>
      <c r="AC154" s="387"/>
      <c r="AD154" s="388"/>
      <c r="AE154" s="388"/>
      <c r="AF154" s="388"/>
      <c r="AG154" s="388"/>
      <c r="AH154" s="388"/>
      <c r="AI154" s="388"/>
      <c r="AJ154" s="388"/>
    </row>
    <row r="155" spans="1:36">
      <c r="A155">
        <f t="shared" si="114"/>
        <v>9390</v>
      </c>
      <c r="B155" s="4">
        <f t="shared" si="115"/>
        <v>5923.1227087132338</v>
      </c>
      <c r="D155" s="22">
        <f t="shared" si="106"/>
        <v>2862.8048780487807</v>
      </c>
      <c r="E155" s="22"/>
      <c r="F155" s="22"/>
      <c r="G155" s="4">
        <f t="shared" si="107"/>
        <v>366.30624132209016</v>
      </c>
      <c r="H155" s="21">
        <f t="shared" si="113"/>
        <v>40839931.076577745</v>
      </c>
      <c r="I155" s="2">
        <f t="shared" si="116"/>
        <v>40.839931076577749</v>
      </c>
      <c r="J155" s="11">
        <f t="shared" si="123"/>
        <v>1.2494608924300761</v>
      </c>
      <c r="K155" s="4">
        <f t="shared" si="117"/>
        <v>981.40924494249862</v>
      </c>
      <c r="L155" s="4">
        <f t="shared" si="122"/>
        <v>300.51491097199232</v>
      </c>
      <c r="M155" s="161">
        <f t="shared" ref="M155:M186" si="125">mg/rhoi/(mg/rhoi+(mw-ml)/rhow)</f>
        <v>0.17332847697313464</v>
      </c>
      <c r="N155" s="390"/>
      <c r="O155" s="391"/>
      <c r="P155" s="391"/>
      <c r="Q155" s="391"/>
      <c r="R155" s="401">
        <f t="shared" si="118"/>
        <v>863.3908670557538</v>
      </c>
      <c r="S155" s="400">
        <f t="shared" si="109"/>
        <v>3.7340309965457074E-4</v>
      </c>
      <c r="T155" s="400">
        <f t="shared" si="119"/>
        <v>4.2978678010866703E-5</v>
      </c>
      <c r="U155" s="400">
        <f t="shared" si="112"/>
        <v>3.1613113789633865E-4</v>
      </c>
      <c r="V155" s="20">
        <f t="shared" si="120"/>
        <v>1.0769973955836388E-2</v>
      </c>
      <c r="W155" s="20">
        <f t="shared" si="121"/>
        <v>1.8065150481732814E-3</v>
      </c>
      <c r="X155" s="389"/>
      <c r="Y155" s="389"/>
      <c r="Z155" s="25">
        <f t="shared" si="110"/>
        <v>9.7684066258121174</v>
      </c>
      <c r="AA155" s="392">
        <f t="shared" ref="AA155:AA186" si="126">0.1*(lt/N)*rho^0.8*va^1.8*mu^0.2/dti^1.2*IF(D155&lt;0,1.2,1)*(1-Kfr)</f>
        <v>327627.03208183951</v>
      </c>
      <c r="AB155" s="14">
        <f t="shared" si="124"/>
        <v>0</v>
      </c>
      <c r="AC155" s="387"/>
      <c r="AD155" s="388"/>
      <c r="AE155" s="388"/>
      <c r="AF155" s="388"/>
      <c r="AG155" s="388"/>
      <c r="AH155" s="388"/>
      <c r="AI155" s="388"/>
      <c r="AJ155" s="388"/>
    </row>
    <row r="156" spans="1:36">
      <c r="A156">
        <f t="shared" si="114"/>
        <v>9219.9999999999982</v>
      </c>
      <c r="B156" s="4">
        <f t="shared" si="115"/>
        <v>5970.639319602551</v>
      </c>
      <c r="D156" s="22">
        <f t="shared" si="106"/>
        <v>2810.9756097560971</v>
      </c>
      <c r="E156" s="22"/>
      <c r="F156" s="22"/>
      <c r="G156" s="4">
        <f t="shared" si="107"/>
        <v>366.30624132209016</v>
      </c>
      <c r="H156" s="21">
        <f t="shared" ref="H156:H187" si="127">H155-AB155+AA155</f>
        <v>41167558.108659588</v>
      </c>
      <c r="I156" s="2">
        <f t="shared" si="116"/>
        <v>41.167558108659591</v>
      </c>
      <c r="J156" s="11">
        <f t="shared" si="123"/>
        <v>1.2530215163727332</v>
      </c>
      <c r="K156" s="4">
        <f t="shared" si="117"/>
        <v>981.55848496320061</v>
      </c>
      <c r="L156" s="4">
        <f t="shared" si="122"/>
        <v>302.06490570489933</v>
      </c>
      <c r="M156" s="161">
        <f t="shared" si="125"/>
        <v>0.17261429142829138</v>
      </c>
      <c r="N156" s="390"/>
      <c r="O156" s="391"/>
      <c r="P156" s="391"/>
      <c r="Q156" s="391"/>
      <c r="R156" s="401">
        <f t="shared" si="118"/>
        <v>864.26818224945544</v>
      </c>
      <c r="S156" s="400">
        <f t="shared" si="109"/>
        <v>3.7340309965457074E-4</v>
      </c>
      <c r="T156" s="400">
        <f t="shared" si="119"/>
        <v>4.328445053597846E-5</v>
      </c>
      <c r="U156" s="400">
        <f t="shared" si="112"/>
        <v>3.1641990294970017E-4</v>
      </c>
      <c r="V156" s="20">
        <f t="shared" si="120"/>
        <v>1.0768336446548095E-2</v>
      </c>
      <c r="W156" s="20">
        <f t="shared" si="121"/>
        <v>1.7972452231896359E-3</v>
      </c>
      <c r="X156" s="389"/>
      <c r="Y156" s="389"/>
      <c r="Z156" s="25">
        <f t="shared" si="110"/>
        <v>9.759934684530414</v>
      </c>
      <c r="AA156" s="392">
        <f t="shared" si="126"/>
        <v>327441.42232293461</v>
      </c>
      <c r="AB156" s="14">
        <f t="shared" si="124"/>
        <v>0</v>
      </c>
      <c r="AC156" s="387"/>
      <c r="AD156" s="388"/>
      <c r="AE156" s="388"/>
      <c r="AF156" s="388"/>
      <c r="AG156" s="388"/>
      <c r="AH156" s="388"/>
      <c r="AI156" s="388"/>
      <c r="AJ156" s="388"/>
    </row>
    <row r="157" spans="1:36">
      <c r="A157">
        <f t="shared" si="114"/>
        <v>9049.9999999999982</v>
      </c>
      <c r="B157" s="4">
        <f t="shared" si="115"/>
        <v>6018.1290110199452</v>
      </c>
      <c r="D157" s="22">
        <f t="shared" si="106"/>
        <v>2759.1463414634145</v>
      </c>
      <c r="E157" s="22"/>
      <c r="F157" s="22"/>
      <c r="G157" s="4">
        <f t="shared" si="107"/>
        <v>366.30624132209016</v>
      </c>
      <c r="H157" s="21">
        <f t="shared" si="127"/>
        <v>41494999.530982524</v>
      </c>
      <c r="I157" s="2">
        <f t="shared" si="116"/>
        <v>41.494999530982525</v>
      </c>
      <c r="J157" s="11">
        <f t="shared" si="123"/>
        <v>1.2565963068003065</v>
      </c>
      <c r="K157" s="4">
        <f t="shared" si="117"/>
        <v>981.70764043531051</v>
      </c>
      <c r="L157" s="4">
        <f t="shared" si="122"/>
        <v>303.6013355836979</v>
      </c>
      <c r="M157" s="161">
        <f t="shared" si="125"/>
        <v>0.17191252975515903</v>
      </c>
      <c r="N157" s="390"/>
      <c r="O157" s="391"/>
      <c r="P157" s="391"/>
      <c r="Q157" s="391"/>
      <c r="R157" s="401">
        <f t="shared" si="118"/>
        <v>865.13267012534664</v>
      </c>
      <c r="S157" s="400">
        <f t="shared" si="109"/>
        <v>3.7340309965457074E-4</v>
      </c>
      <c r="T157" s="400">
        <f t="shared" si="119"/>
        <v>4.3592166254358674E-5</v>
      </c>
      <c r="U157" s="400">
        <f t="shared" si="112"/>
        <v>3.1670446775283002E-4</v>
      </c>
      <c r="V157" s="20">
        <f t="shared" si="120"/>
        <v>1.0766700362402097E-2</v>
      </c>
      <c r="W157" s="20">
        <f t="shared" si="121"/>
        <v>1.7881499362564356E-3</v>
      </c>
      <c r="X157" s="389"/>
      <c r="Y157" s="389"/>
      <c r="Z157" s="25">
        <f t="shared" si="110"/>
        <v>9.7515994173250231</v>
      </c>
      <c r="AA157" s="392">
        <f t="shared" si="126"/>
        <v>327258.6558925428</v>
      </c>
      <c r="AB157" s="14">
        <f t="shared" si="124"/>
        <v>0</v>
      </c>
      <c r="AC157" s="387"/>
      <c r="AD157" s="388"/>
      <c r="AE157" s="388"/>
      <c r="AF157" s="388"/>
      <c r="AG157" s="388"/>
      <c r="AH157" s="388"/>
      <c r="AI157" s="388"/>
      <c r="AJ157" s="388"/>
    </row>
    <row r="158" spans="1:36">
      <c r="A158">
        <f t="shared" si="114"/>
        <v>8879.9999999999982</v>
      </c>
      <c r="B158" s="4">
        <f t="shared" si="115"/>
        <v>6065.592195340837</v>
      </c>
      <c r="D158" s="22">
        <f t="shared" si="106"/>
        <v>2707.3170731707314</v>
      </c>
      <c r="E158" s="22"/>
      <c r="F158" s="22"/>
      <c r="G158" s="4">
        <f t="shared" si="107"/>
        <v>366.30624132209016</v>
      </c>
      <c r="H158" s="21">
        <f t="shared" si="127"/>
        <v>41822258.186875068</v>
      </c>
      <c r="I158" s="2">
        <f t="shared" si="116"/>
        <v>41.822258186875068</v>
      </c>
      <c r="J158" s="11">
        <f t="shared" si="123"/>
        <v>1.2601850637170451</v>
      </c>
      <c r="K158" s="4">
        <f t="shared" si="117"/>
        <v>981.85671265401606</v>
      </c>
      <c r="L158" s="4">
        <f t="shared" si="122"/>
        <v>305.12433340012001</v>
      </c>
      <c r="M158" s="161">
        <f t="shared" si="125"/>
        <v>0.17122289626996876</v>
      </c>
      <c r="N158" s="390"/>
      <c r="O158" s="391"/>
      <c r="P158" s="391"/>
      <c r="Q158" s="391"/>
      <c r="R158" s="401">
        <f t="shared" si="118"/>
        <v>865.98463467849706</v>
      </c>
      <c r="S158" s="400">
        <f t="shared" si="109"/>
        <v>3.7340309965457074E-4</v>
      </c>
      <c r="T158" s="400">
        <f t="shared" si="119"/>
        <v>4.3901824267543548E-5</v>
      </c>
      <c r="U158" s="400">
        <f t="shared" si="112"/>
        <v>3.1698493695815535E-4</v>
      </c>
      <c r="V158" s="20">
        <f t="shared" si="120"/>
        <v>1.0765065688125824E-2</v>
      </c>
      <c r="W158" s="20">
        <f t="shared" si="121"/>
        <v>1.7792245633830022E-3</v>
      </c>
      <c r="X158" s="389"/>
      <c r="Y158" s="389"/>
      <c r="Z158" s="25">
        <f t="shared" si="110"/>
        <v>9.743397220788836</v>
      </c>
      <c r="AA158" s="392">
        <f t="shared" si="126"/>
        <v>327078.65886983124</v>
      </c>
      <c r="AB158" s="14">
        <f t="shared" si="124"/>
        <v>0</v>
      </c>
      <c r="AC158" s="387"/>
      <c r="AD158" s="388"/>
      <c r="AE158" s="388"/>
      <c r="AF158" s="388"/>
      <c r="AG158" s="388"/>
      <c r="AH158" s="388"/>
      <c r="AI158" s="388"/>
      <c r="AJ158" s="388"/>
    </row>
    <row r="159" spans="1:36">
      <c r="A159">
        <f t="shared" si="114"/>
        <v>8710</v>
      </c>
      <c r="B159" s="4">
        <f t="shared" si="115"/>
        <v>6113.0292742197098</v>
      </c>
      <c r="D159" s="22">
        <f t="shared" si="106"/>
        <v>2655.4878048780488</v>
      </c>
      <c r="E159" s="22"/>
      <c r="F159" s="22"/>
      <c r="G159" s="4">
        <f t="shared" si="107"/>
        <v>366.30624132209016</v>
      </c>
      <c r="H159" s="21">
        <f t="shared" si="127"/>
        <v>42149336.8457449</v>
      </c>
      <c r="I159" s="2">
        <f t="shared" si="116"/>
        <v>42.149336845744898</v>
      </c>
      <c r="J159" s="11">
        <f t="shared" si="123"/>
        <v>1.263787587563413</v>
      </c>
      <c r="K159" s="4">
        <f t="shared" si="117"/>
        <v>982.00570288083202</v>
      </c>
      <c r="L159" s="4">
        <f t="shared" si="122"/>
        <v>306.63403165588505</v>
      </c>
      <c r="M159" s="161">
        <f t="shared" si="125"/>
        <v>0.17054510398808084</v>
      </c>
      <c r="N159" s="390"/>
      <c r="O159" s="391"/>
      <c r="P159" s="391"/>
      <c r="Q159" s="391"/>
      <c r="R159" s="401">
        <f t="shared" si="118"/>
        <v>866.82437098116952</v>
      </c>
      <c r="S159" s="400">
        <f t="shared" si="109"/>
        <v>3.7340309965457074E-4</v>
      </c>
      <c r="T159" s="400">
        <f t="shared" si="119"/>
        <v>4.4213423681856131E-5</v>
      </c>
      <c r="U159" s="400">
        <f t="shared" si="112"/>
        <v>3.1726141213400146E-4</v>
      </c>
      <c r="V159" s="20">
        <f t="shared" si="120"/>
        <v>1.0763432408834412E-2</v>
      </c>
      <c r="W159" s="20">
        <f t="shared" si="121"/>
        <v>1.77046463479501E-3</v>
      </c>
      <c r="X159" s="389"/>
      <c r="Y159" s="389"/>
      <c r="Z159" s="25">
        <f t="shared" si="110"/>
        <v>9.7353246115987631</v>
      </c>
      <c r="AA159" s="392">
        <f t="shared" si="126"/>
        <v>326901.35979610484</v>
      </c>
      <c r="AB159" s="14">
        <f t="shared" si="124"/>
        <v>0</v>
      </c>
      <c r="AC159" s="387"/>
      <c r="AD159" s="388"/>
      <c r="AE159" s="388"/>
      <c r="AF159" s="388"/>
      <c r="AG159" s="388"/>
      <c r="AH159" s="388"/>
      <c r="AI159" s="388"/>
      <c r="AJ159" s="388"/>
    </row>
    <row r="160" spans="1:36">
      <c r="A160">
        <f t="shared" si="114"/>
        <v>8539.9999999999982</v>
      </c>
      <c r="B160" s="4">
        <f t="shared" si="115"/>
        <v>6160.4406389472088</v>
      </c>
      <c r="D160" s="22">
        <f t="shared" si="106"/>
        <v>2603.6585365853657</v>
      </c>
      <c r="E160" s="22"/>
      <c r="F160" s="22"/>
      <c r="G160" s="4">
        <f t="shared" si="107"/>
        <v>366.30624132209016</v>
      </c>
      <c r="H160" s="21">
        <f t="shared" si="127"/>
        <v>42476238.205541007</v>
      </c>
      <c r="I160" s="2">
        <f t="shared" si="116"/>
        <v>42.476238205541009</v>
      </c>
      <c r="J160" s="11">
        <f t="shared" si="123"/>
        <v>1.2674036792065648</v>
      </c>
      <c r="K160" s="4">
        <f t="shared" si="117"/>
        <v>982.15461234472286</v>
      </c>
      <c r="L160" s="4">
        <f t="shared" si="122"/>
        <v>308.13056254881866</v>
      </c>
      <c r="M160" s="161">
        <f t="shared" si="125"/>
        <v>0.16987887430199552</v>
      </c>
      <c r="N160" s="390"/>
      <c r="O160" s="391"/>
      <c r="P160" s="391"/>
      <c r="Q160" s="391"/>
      <c r="R160" s="401">
        <f t="shared" si="118"/>
        <v>867.65216551292247</v>
      </c>
      <c r="S160" s="400">
        <f t="shared" si="109"/>
        <v>3.7340309965457074E-4</v>
      </c>
      <c r="T160" s="400">
        <f t="shared" si="119"/>
        <v>4.4526963608289767E-5</v>
      </c>
      <c r="U160" s="400">
        <f t="shared" si="112"/>
        <v>3.1753399187823861E-4</v>
      </c>
      <c r="V160" s="20">
        <f t="shared" si="120"/>
        <v>1.076180051001779E-2</v>
      </c>
      <c r="W160" s="20">
        <f t="shared" si="121"/>
        <v>1.7618658285003656E-3</v>
      </c>
      <c r="X160" s="389"/>
      <c r="Y160" s="389"/>
      <c r="Z160" s="25">
        <f t="shared" si="110"/>
        <v>9.727378221508193</v>
      </c>
      <c r="AA160" s="392">
        <f t="shared" si="126"/>
        <v>326726.68957202125</v>
      </c>
      <c r="AB160" s="14">
        <f t="shared" si="124"/>
        <v>0</v>
      </c>
      <c r="AC160" s="387"/>
      <c r="AD160" s="388"/>
      <c r="AE160" s="388"/>
      <c r="AF160" s="388"/>
      <c r="AG160" s="388"/>
      <c r="AH160" s="388"/>
      <c r="AI160" s="388"/>
      <c r="AJ160" s="388"/>
    </row>
    <row r="161" spans="1:36">
      <c r="A161">
        <f t="shared" si="114"/>
        <v>8369.9999999999982</v>
      </c>
      <c r="B161" s="4">
        <f t="shared" si="115"/>
        <v>6207.8266707923176</v>
      </c>
      <c r="D161" s="22">
        <f t="shared" si="106"/>
        <v>2551.8292682926826</v>
      </c>
      <c r="E161" s="22"/>
      <c r="F161" s="22"/>
      <c r="G161" s="4">
        <f t="shared" si="107"/>
        <v>366.30624132209016</v>
      </c>
      <c r="H161" s="21">
        <f t="shared" si="127"/>
        <v>42802964.895113029</v>
      </c>
      <c r="I161" s="2">
        <f t="shared" si="116"/>
        <v>42.802964895113028</v>
      </c>
      <c r="J161" s="11">
        <f t="shared" si="123"/>
        <v>1.2710331399311532</v>
      </c>
      <c r="K161" s="4">
        <f t="shared" si="117"/>
        <v>982.30344224317719</v>
      </c>
      <c r="L161" s="4">
        <f t="shared" si="122"/>
        <v>309.61405795898224</v>
      </c>
      <c r="M161" s="161">
        <f t="shared" si="125"/>
        <v>0.16922393667375221</v>
      </c>
      <c r="N161" s="390"/>
      <c r="O161" s="391"/>
      <c r="P161" s="391"/>
      <c r="Q161" s="391"/>
      <c r="R161" s="401">
        <f t="shared" si="118"/>
        <v>868.46829647596314</v>
      </c>
      <c r="S161" s="400">
        <f t="shared" si="109"/>
        <v>3.7340309965457074E-4</v>
      </c>
      <c r="T161" s="400">
        <f t="shared" si="119"/>
        <v>4.4842443162392479E-5</v>
      </c>
      <c r="U161" s="400">
        <f t="shared" si="112"/>
        <v>3.1780277192685187E-4</v>
      </c>
      <c r="V161" s="20">
        <f t="shared" si="120"/>
        <v>1.0760169977528326E-2</v>
      </c>
      <c r="W161" s="20">
        <f t="shared" si="121"/>
        <v>1.7534239641769742E-3</v>
      </c>
      <c r="X161" s="389"/>
      <c r="Y161" s="389"/>
      <c r="Z161" s="25">
        <f t="shared" si="110"/>
        <v>9.7195547925899053</v>
      </c>
      <c r="AA161" s="392">
        <f t="shared" si="126"/>
        <v>326554.58135994751</v>
      </c>
      <c r="AB161" s="14">
        <f t="shared" si="124"/>
        <v>0</v>
      </c>
      <c r="AC161" s="387"/>
      <c r="AD161" s="388"/>
      <c r="AE161" s="388"/>
      <c r="AF161" s="388"/>
      <c r="AG161" s="388"/>
      <c r="AH161" s="388"/>
      <c r="AI161" s="388"/>
      <c r="AJ161" s="388"/>
    </row>
    <row r="162" spans="1:36">
      <c r="A162">
        <f t="shared" si="114"/>
        <v>8199.9999999999982</v>
      </c>
      <c r="B162" s="4">
        <f t="shared" si="115"/>
        <v>6255.187741330381</v>
      </c>
      <c r="D162" s="22">
        <f t="shared" si="106"/>
        <v>2499.9999999999995</v>
      </c>
      <c r="E162" s="22"/>
      <c r="F162" s="22"/>
      <c r="G162" s="4">
        <f t="shared" si="107"/>
        <v>366.30624132209016</v>
      </c>
      <c r="H162" s="21">
        <f t="shared" si="127"/>
        <v>43129519.476472974</v>
      </c>
      <c r="I162" s="2">
        <f t="shared" si="116"/>
        <v>43.129519476472971</v>
      </c>
      <c r="J162" s="11">
        <f t="shared" si="123"/>
        <v>1.2746757714304509</v>
      </c>
      <c r="K162" s="4">
        <f t="shared" si="117"/>
        <v>982.45219374323744</v>
      </c>
      <c r="L162" s="4">
        <f t="shared" si="122"/>
        <v>311.08464943484984</v>
      </c>
      <c r="M162" s="161">
        <f t="shared" si="125"/>
        <v>0.16858002834096394</v>
      </c>
      <c r="N162" s="390"/>
      <c r="O162" s="391"/>
      <c r="P162" s="391"/>
      <c r="Q162" s="391"/>
      <c r="R162" s="401">
        <f t="shared" si="118"/>
        <v>869.27303409652609</v>
      </c>
      <c r="S162" s="400">
        <f t="shared" si="109"/>
        <v>3.7340309965457074E-4</v>
      </c>
      <c r="T162" s="400">
        <f t="shared" si="119"/>
        <v>4.5159861464152603E-5</v>
      </c>
      <c r="U162" s="400">
        <f t="shared" si="112"/>
        <v>3.1806784525770026E-4</v>
      </c>
      <c r="V162" s="20">
        <f t="shared" si="120"/>
        <v>1.075854079756898E-2</v>
      </c>
      <c r="W162" s="20">
        <f t="shared" si="121"/>
        <v>1.7451349973636482E-3</v>
      </c>
      <c r="X162" s="389"/>
      <c r="Y162" s="389"/>
      <c r="Z162" s="25">
        <f t="shared" si="110"/>
        <v>9.7118511727148302</v>
      </c>
      <c r="AA162" s="392">
        <f t="shared" si="126"/>
        <v>326384.97049115557</v>
      </c>
      <c r="AB162" s="14">
        <f t="shared" si="124"/>
        <v>0</v>
      </c>
      <c r="AC162" s="387"/>
      <c r="AD162" s="388"/>
      <c r="AE162" s="388"/>
      <c r="AF162" s="388"/>
      <c r="AG162" s="388"/>
      <c r="AH162" s="388"/>
      <c r="AI162" s="388"/>
      <c r="AJ162" s="388"/>
    </row>
    <row r="163" spans="1:36">
      <c r="A163">
        <f t="shared" si="114"/>
        <v>8029.9999999999991</v>
      </c>
      <c r="B163" s="4">
        <f t="shared" si="115"/>
        <v>6302.5242127576694</v>
      </c>
      <c r="D163" s="22">
        <f t="shared" si="106"/>
        <v>2448.1707317073169</v>
      </c>
      <c r="E163" s="22"/>
      <c r="F163" s="22"/>
      <c r="G163" s="4">
        <f t="shared" si="107"/>
        <v>366.30624132209016</v>
      </c>
      <c r="H163" s="21">
        <f t="shared" si="127"/>
        <v>43455904.44696413</v>
      </c>
      <c r="I163" s="2">
        <f t="shared" si="116"/>
        <v>43.455904446964126</v>
      </c>
      <c r="J163" s="11">
        <f t="shared" si="123"/>
        <v>1.2783313757977752</v>
      </c>
      <c r="K163" s="4">
        <f t="shared" si="117"/>
        <v>982.60086798248869</v>
      </c>
      <c r="L163" s="4">
        <f t="shared" si="122"/>
        <v>312.54246817956442</v>
      </c>
      <c r="M163" s="161">
        <f t="shared" si="125"/>
        <v>0.16794689403577773</v>
      </c>
      <c r="N163" s="390"/>
      <c r="O163" s="391"/>
      <c r="P163" s="391"/>
      <c r="Q163" s="391"/>
      <c r="R163" s="401">
        <f t="shared" si="118"/>
        <v>870.06664091300422</v>
      </c>
      <c r="S163" s="400">
        <f t="shared" si="109"/>
        <v>3.7340309965457074E-4</v>
      </c>
      <c r="T163" s="400">
        <f t="shared" si="119"/>
        <v>4.5479217637885594E-5</v>
      </c>
      <c r="U163" s="400">
        <f t="shared" si="112"/>
        <v>3.1832930218971358E-4</v>
      </c>
      <c r="V163" s="20">
        <f t="shared" si="120"/>
        <v>1.0756912956681951E-2</v>
      </c>
      <c r="W163" s="20">
        <f t="shared" si="121"/>
        <v>1.7369950139366518E-3</v>
      </c>
      <c r="X163" s="389"/>
      <c r="Y163" s="389"/>
      <c r="Z163" s="25">
        <f t="shared" si="110"/>
        <v>9.7042643112530609</v>
      </c>
      <c r="AA163" s="392">
        <f t="shared" si="126"/>
        <v>326217.79437757452</v>
      </c>
      <c r="AB163" s="14">
        <f t="shared" si="124"/>
        <v>0</v>
      </c>
      <c r="AC163" s="387"/>
      <c r="AD163" s="388"/>
      <c r="AE163" s="388"/>
      <c r="AF163" s="388"/>
      <c r="AG163" s="388"/>
      <c r="AH163" s="388"/>
      <c r="AI163" s="388"/>
      <c r="AJ163" s="388"/>
    </row>
    <row r="164" spans="1:36">
      <c r="A164">
        <f t="shared" si="114"/>
        <v>7859.9999999999982</v>
      </c>
      <c r="B164" s="4">
        <f t="shared" si="115"/>
        <v>6349.8364381931406</v>
      </c>
      <c r="D164" s="22">
        <f t="shared" si="106"/>
        <v>2396.3414634146338</v>
      </c>
      <c r="E164" s="22"/>
      <c r="F164" s="22"/>
      <c r="G164" s="4">
        <f t="shared" si="107"/>
        <v>364.77777777777777</v>
      </c>
      <c r="H164" s="21">
        <f t="shared" si="127"/>
        <v>43782122.241341703</v>
      </c>
      <c r="I164" s="2">
        <f t="shared" si="116"/>
        <v>43.782122241341703</v>
      </c>
      <c r="J164" s="11">
        <f t="shared" si="123"/>
        <v>1.2819997555182059</v>
      </c>
      <c r="K164" s="4">
        <f t="shared" si="117"/>
        <v>983.67078829920763</v>
      </c>
      <c r="L164" s="4">
        <f t="shared" si="122"/>
        <v>315.30329170779709</v>
      </c>
      <c r="M164" s="161">
        <f t="shared" si="125"/>
        <v>0.16687275348500732</v>
      </c>
      <c r="N164" s="390"/>
      <c r="O164" s="391"/>
      <c r="P164" s="391"/>
      <c r="Q164" s="391"/>
      <c r="R164" s="401">
        <f t="shared" si="118"/>
        <v>872.13846380311782</v>
      </c>
      <c r="S164" s="400">
        <f t="shared" si="109"/>
        <v>3.8037775467864802E-4</v>
      </c>
      <c r="T164" s="400">
        <f t="shared" si="119"/>
        <v>4.5705836587748461E-5</v>
      </c>
      <c r="U164" s="400">
        <f t="shared" si="112"/>
        <v>3.2453013019271074E-4</v>
      </c>
      <c r="V164" s="20">
        <f t="shared" si="120"/>
        <v>1.0745212863668687E-2</v>
      </c>
      <c r="W164" s="20">
        <f t="shared" si="121"/>
        <v>1.7217857318612103E-3</v>
      </c>
      <c r="X164" s="389"/>
      <c r="Y164" s="389"/>
      <c r="Z164" s="25">
        <f t="shared" si="110"/>
        <v>9.6833632698074581</v>
      </c>
      <c r="AA164" s="392">
        <f t="shared" si="126"/>
        <v>326831.69094071997</v>
      </c>
      <c r="AB164" s="14">
        <f t="shared" si="124"/>
        <v>442982.52460243733</v>
      </c>
      <c r="AC164" s="387"/>
      <c r="AD164" s="388"/>
      <c r="AE164" s="388"/>
      <c r="AF164" s="388"/>
      <c r="AG164" s="388"/>
      <c r="AH164" s="388"/>
      <c r="AI164" s="388"/>
      <c r="AJ164" s="388"/>
    </row>
    <row r="165" spans="1:36">
      <c r="A165">
        <f t="shared" si="114"/>
        <v>7689.9999999999991</v>
      </c>
      <c r="B165" s="4">
        <f t="shared" si="115"/>
        <v>6332.9907770384325</v>
      </c>
      <c r="D165" s="22">
        <f t="shared" si="106"/>
        <v>2344.5121951219512</v>
      </c>
      <c r="E165" s="22"/>
      <c r="F165" s="22"/>
      <c r="G165" s="4">
        <f t="shared" si="107"/>
        <v>362.88888888888891</v>
      </c>
      <c r="H165" s="21">
        <f t="shared" si="127"/>
        <v>43665971.40767999</v>
      </c>
      <c r="I165" s="2">
        <f t="shared" si="116"/>
        <v>43.66597140767999</v>
      </c>
      <c r="J165" s="11">
        <f t="shared" si="123"/>
        <v>1.2806919516938902</v>
      </c>
      <c r="K165" s="4">
        <f t="shared" si="117"/>
        <v>984.74549376699042</v>
      </c>
      <c r="L165" s="4">
        <f t="shared" si="122"/>
        <v>316.42645516953206</v>
      </c>
      <c r="M165" s="161">
        <f t="shared" si="125"/>
        <v>0.16653048929163908</v>
      </c>
      <c r="N165" s="390"/>
      <c r="O165" s="391"/>
      <c r="P165" s="391"/>
      <c r="Q165" s="391"/>
      <c r="R165" s="401">
        <f t="shared" si="118"/>
        <v>873.44999726643789</v>
      </c>
      <c r="S165" s="400">
        <f t="shared" si="109"/>
        <v>3.8921914791956191E-4</v>
      </c>
      <c r="T165" s="400">
        <f t="shared" si="119"/>
        <v>4.5474989750523806E-5</v>
      </c>
      <c r="U165" s="400">
        <f t="shared" si="112"/>
        <v>3.3197526506852939E-4</v>
      </c>
      <c r="V165" s="20">
        <f t="shared" si="120"/>
        <v>1.0733486037711962E-2</v>
      </c>
      <c r="W165" s="20">
        <f t="shared" si="121"/>
        <v>1.7156742111859651E-3</v>
      </c>
      <c r="X165" s="389"/>
      <c r="Y165" s="389"/>
      <c r="Z165" s="25">
        <f t="shared" si="110"/>
        <v>9.6695078747621697</v>
      </c>
      <c r="AA165" s="392">
        <f t="shared" si="126"/>
        <v>327866.50511433324</v>
      </c>
      <c r="AB165" s="14">
        <f t="shared" si="124"/>
        <v>443648.68763594067</v>
      </c>
      <c r="AC165" s="387"/>
      <c r="AD165" s="388"/>
      <c r="AE165" s="388"/>
      <c r="AF165" s="388"/>
      <c r="AG165" s="388"/>
      <c r="AH165" s="388"/>
      <c r="AI165" s="388"/>
      <c r="AJ165" s="388"/>
    </row>
    <row r="166" spans="1:36">
      <c r="A166">
        <f t="shared" si="114"/>
        <v>7519.9999999999991</v>
      </c>
      <c r="B166" s="4">
        <f t="shared" si="115"/>
        <v>6316.1985823289888</v>
      </c>
      <c r="D166" s="22">
        <f t="shared" si="106"/>
        <v>2292.6829268292681</v>
      </c>
      <c r="E166" s="22"/>
      <c r="F166" s="22"/>
      <c r="G166" s="4">
        <f t="shared" si="107"/>
        <v>361</v>
      </c>
      <c r="H166" s="21">
        <f t="shared" si="127"/>
        <v>43550189.225158378</v>
      </c>
      <c r="I166" s="2">
        <f t="shared" si="116"/>
        <v>43.550189225158377</v>
      </c>
      <c r="J166" s="11">
        <f t="shared" si="123"/>
        <v>1.2793901299611188</v>
      </c>
      <c r="K166" s="4">
        <f t="shared" si="117"/>
        <v>985.808231765242</v>
      </c>
      <c r="L166" s="4">
        <f t="shared" si="122"/>
        <v>317.56151095899548</v>
      </c>
      <c r="M166" s="161">
        <f t="shared" si="125"/>
        <v>0.16618349637263594</v>
      </c>
      <c r="N166" s="390"/>
      <c r="O166" s="391"/>
      <c r="P166" s="391"/>
      <c r="Q166" s="391"/>
      <c r="R166" s="401">
        <f t="shared" si="118"/>
        <v>874.75665526211128</v>
      </c>
      <c r="S166" s="400">
        <f t="shared" si="109"/>
        <v>3.9831380888747633E-4</v>
      </c>
      <c r="T166" s="400">
        <f t="shared" si="119"/>
        <v>4.5245645677235444E-5</v>
      </c>
      <c r="U166" s="400">
        <f t="shared" si="112"/>
        <v>3.3963970706733402E-4</v>
      </c>
      <c r="V166" s="20">
        <f t="shared" si="120"/>
        <v>1.0721914939907724E-2</v>
      </c>
      <c r="W166" s="20">
        <f t="shared" si="121"/>
        <v>1.7095419001878255E-3</v>
      </c>
      <c r="X166" s="389"/>
      <c r="Y166" s="389"/>
      <c r="Z166" s="25">
        <f t="shared" si="110"/>
        <v>9.6557572885858942</v>
      </c>
      <c r="AA166" s="392">
        <f t="shared" si="126"/>
        <v>328917.14215208654</v>
      </c>
      <c r="AB166" s="14">
        <f t="shared" si="124"/>
        <v>444312.37428862118</v>
      </c>
      <c r="AC166" s="387"/>
      <c r="AD166" s="388"/>
      <c r="AE166" s="388"/>
      <c r="AF166" s="388"/>
      <c r="AG166" s="388"/>
      <c r="AH166" s="388"/>
      <c r="AI166" s="388"/>
      <c r="AJ166" s="388"/>
    </row>
    <row r="167" spans="1:36">
      <c r="A167">
        <f t="shared" si="114"/>
        <v>7349.9999999999982</v>
      </c>
      <c r="B167" s="4">
        <f t="shared" si="115"/>
        <v>6299.4625080524793</v>
      </c>
      <c r="D167" s="22">
        <f t="shared" si="106"/>
        <v>2240.853658536585</v>
      </c>
      <c r="E167" s="22"/>
      <c r="F167" s="22"/>
      <c r="G167" s="4">
        <f t="shared" si="107"/>
        <v>359.11111111111109</v>
      </c>
      <c r="H167" s="21">
        <f t="shared" si="127"/>
        <v>43434793.993021846</v>
      </c>
      <c r="I167" s="2">
        <f t="shared" si="116"/>
        <v>43.434793993021849</v>
      </c>
      <c r="J167" s="11">
        <f t="shared" si="123"/>
        <v>1.2780944871435995</v>
      </c>
      <c r="K167" s="4">
        <f t="shared" si="117"/>
        <v>986.8589937357641</v>
      </c>
      <c r="L167" s="4">
        <f t="shared" si="122"/>
        <v>318.70873970093248</v>
      </c>
      <c r="M167" s="161">
        <f t="shared" si="125"/>
        <v>0.16583172671300889</v>
      </c>
      <c r="N167" s="390"/>
      <c r="O167" s="391"/>
      <c r="P167" s="391"/>
      <c r="Q167" s="391"/>
      <c r="R167" s="401">
        <f t="shared" si="118"/>
        <v>876.0584834054323</v>
      </c>
      <c r="S167" s="400">
        <f t="shared" si="109"/>
        <v>4.0767037525195918E-4</v>
      </c>
      <c r="T167" s="400">
        <f t="shared" si="119"/>
        <v>4.5017819797439114E-5</v>
      </c>
      <c r="U167" s="400">
        <f t="shared" si="112"/>
        <v>3.4753107578405085E-4</v>
      </c>
      <c r="V167" s="20">
        <f t="shared" si="120"/>
        <v>1.0710498739070987E-2</v>
      </c>
      <c r="W167" s="20">
        <f t="shared" si="121"/>
        <v>1.7033882076179843E-3</v>
      </c>
      <c r="X167" s="389"/>
      <c r="Y167" s="389"/>
      <c r="Z167" s="25">
        <f t="shared" si="110"/>
        <v>9.6421104064462995</v>
      </c>
      <c r="AA167" s="392">
        <f t="shared" si="126"/>
        <v>329983.77603828133</v>
      </c>
      <c r="AB167" s="14">
        <f t="shared" si="124"/>
        <v>444973.60772971046</v>
      </c>
      <c r="AC167" s="387"/>
      <c r="AD167" s="388"/>
      <c r="AE167" s="388"/>
      <c r="AF167" s="388"/>
      <c r="AG167" s="388"/>
      <c r="AH167" s="388"/>
      <c r="AI167" s="388"/>
      <c r="AJ167" s="388"/>
    </row>
    <row r="168" spans="1:36">
      <c r="A168">
        <f t="shared" si="114"/>
        <v>7179.9999999999982</v>
      </c>
      <c r="B168" s="4">
        <f t="shared" si="115"/>
        <v>6282.7852300696759</v>
      </c>
      <c r="D168" s="22">
        <f t="shared" si="106"/>
        <v>2189.024390243902</v>
      </c>
      <c r="E168" s="22"/>
      <c r="F168" s="22"/>
      <c r="G168" s="4">
        <f t="shared" si="107"/>
        <v>357.22222222222217</v>
      </c>
      <c r="H168" s="21">
        <f t="shared" si="127"/>
        <v>43319804.161330417</v>
      </c>
      <c r="I168" s="2">
        <f t="shared" si="116"/>
        <v>43.319804161330417</v>
      </c>
      <c r="J168" s="11">
        <f t="shared" si="123"/>
        <v>1.2768052204766343</v>
      </c>
      <c r="K168" s="4">
        <f t="shared" si="117"/>
        <v>987.89777038001364</v>
      </c>
      <c r="L168" s="4">
        <f t="shared" si="122"/>
        <v>319.86842966380925</v>
      </c>
      <c r="M168" s="161">
        <f t="shared" si="125"/>
        <v>0.16547513137411873</v>
      </c>
      <c r="N168" s="390"/>
      <c r="O168" s="391"/>
      <c r="P168" s="391"/>
      <c r="Q168" s="391"/>
      <c r="R168" s="401">
        <f t="shared" si="118"/>
        <v>877.35552746323378</v>
      </c>
      <c r="S168" s="400">
        <f t="shared" si="109"/>
        <v>4.1729782692674064E-4</v>
      </c>
      <c r="T168" s="400">
        <f t="shared" si="119"/>
        <v>4.4791527530246189E-5</v>
      </c>
      <c r="U168" s="400">
        <f t="shared" si="112"/>
        <v>3.5565729809641891E-4</v>
      </c>
      <c r="V168" s="20">
        <f t="shared" si="120"/>
        <v>1.0699236626459748E-2</v>
      </c>
      <c r="W168" s="20">
        <f t="shared" si="121"/>
        <v>1.697212536548059E-3</v>
      </c>
      <c r="X168" s="389"/>
      <c r="Y168" s="389"/>
      <c r="Z168" s="25">
        <f t="shared" si="110"/>
        <v>9.6285661365315214</v>
      </c>
      <c r="AA168" s="392">
        <f t="shared" si="126"/>
        <v>331066.58541014214</v>
      </c>
      <c r="AB168" s="14">
        <f t="shared" si="124"/>
        <v>445632.41120541078</v>
      </c>
      <c r="AC168" s="387"/>
      <c r="AD168" s="388"/>
      <c r="AE168" s="388"/>
      <c r="AF168" s="388"/>
      <c r="AG168" s="388"/>
      <c r="AH168" s="388"/>
      <c r="AI168" s="388"/>
      <c r="AJ168" s="388"/>
    </row>
    <row r="169" spans="1:36">
      <c r="A169">
        <f t="shared" si="114"/>
        <v>7009.9999999999991</v>
      </c>
      <c r="B169" s="4">
        <f t="shared" si="115"/>
        <v>6266.1694467781217</v>
      </c>
      <c r="D169" s="22">
        <f t="shared" si="106"/>
        <v>2137.1951219512193</v>
      </c>
      <c r="E169" s="22"/>
      <c r="F169" s="22"/>
      <c r="G169" s="4">
        <f t="shared" si="107"/>
        <v>355.33333333333331</v>
      </c>
      <c r="H169" s="21">
        <f t="shared" si="127"/>
        <v>43205238.335535146</v>
      </c>
      <c r="I169" s="2">
        <f t="shared" si="116"/>
        <v>43.205238335535149</v>
      </c>
      <c r="J169" s="11">
        <f t="shared" si="123"/>
        <v>1.2755225276437174</v>
      </c>
      <c r="K169" s="4">
        <f t="shared" si="117"/>
        <v>988.92455169410596</v>
      </c>
      <c r="L169" s="4">
        <f t="shared" si="122"/>
        <v>321.040876992194</v>
      </c>
      <c r="M169" s="161">
        <f t="shared" si="125"/>
        <v>0.16511366049873041</v>
      </c>
      <c r="N169" s="390"/>
      <c r="O169" s="391"/>
      <c r="P169" s="391"/>
      <c r="Q169" s="391"/>
      <c r="R169" s="401">
        <f t="shared" si="118"/>
        <v>878.64783337672998</v>
      </c>
      <c r="S169" s="400">
        <f t="shared" si="109"/>
        <v>4.2720550153872011E-4</v>
      </c>
      <c r="T169" s="400">
        <f t="shared" si="119"/>
        <v>4.4566784288518732E-5</v>
      </c>
      <c r="U169" s="400">
        <f t="shared" si="112"/>
        <v>3.6402662228500064E-4</v>
      </c>
      <c r="V169" s="20">
        <f t="shared" si="120"/>
        <v>1.0688127815151261E-2</v>
      </c>
      <c r="W169" s="20">
        <f t="shared" si="121"/>
        <v>1.6910142844039082E-3</v>
      </c>
      <c r="X169" s="389"/>
      <c r="Y169" s="389"/>
      <c r="Z169" s="25">
        <f t="shared" si="110"/>
        <v>9.6151233995919672</v>
      </c>
      <c r="AA169" s="392">
        <f t="shared" si="126"/>
        <v>332165.75365682901</v>
      </c>
      <c r="AB169" s="14">
        <f t="shared" si="124"/>
        <v>446288.80805049761</v>
      </c>
      <c r="AC169" s="387"/>
      <c r="AD169" s="388"/>
      <c r="AE169" s="388"/>
      <c r="AF169" s="388"/>
      <c r="AG169" s="388"/>
      <c r="AH169" s="388"/>
      <c r="AI169" s="388"/>
      <c r="AJ169" s="388"/>
    </row>
    <row r="170" spans="1:36">
      <c r="A170">
        <f t="shared" si="114"/>
        <v>6839.9999999999982</v>
      </c>
      <c r="B170" s="4">
        <f t="shared" si="115"/>
        <v>6249.6178797884659</v>
      </c>
      <c r="D170" s="22">
        <f t="shared" si="106"/>
        <v>2085.3658536585363</v>
      </c>
      <c r="E170" s="22"/>
      <c r="F170" s="22"/>
      <c r="G170" s="4">
        <f t="shared" si="107"/>
        <v>353.44444444444446</v>
      </c>
      <c r="H170" s="21">
        <f t="shared" si="127"/>
        <v>43091115.281141475</v>
      </c>
      <c r="I170" s="2">
        <f t="shared" si="116"/>
        <v>43.091115281141477</v>
      </c>
      <c r="J170" s="11">
        <f t="shared" si="123"/>
        <v>1.2742466068143943</v>
      </c>
      <c r="K170" s="4">
        <f t="shared" si="117"/>
        <v>989.93932700424068</v>
      </c>
      <c r="L170" s="4">
        <f t="shared" si="122"/>
        <v>322.22638594676141</v>
      </c>
      <c r="M170" s="161">
        <f t="shared" si="125"/>
        <v>0.16474726331670106</v>
      </c>
      <c r="N170" s="390"/>
      <c r="O170" s="391"/>
      <c r="P170" s="391"/>
      <c r="Q170" s="391"/>
      <c r="R170" s="401">
        <f t="shared" si="118"/>
        <v>879.93544728387519</v>
      </c>
      <c r="S170" s="400">
        <f t="shared" si="109"/>
        <v>4.3740311068334958E-4</v>
      </c>
      <c r="T170" s="400">
        <f t="shared" si="119"/>
        <v>4.4343605483173703E-5</v>
      </c>
      <c r="U170" s="400">
        <f t="shared" si="112"/>
        <v>3.7264763288100399E-4</v>
      </c>
      <c r="V170" s="20">
        <f t="shared" si="120"/>
        <v>1.0677171539425554E-2</v>
      </c>
      <c r="W170" s="20">
        <f t="shared" si="121"/>
        <v>1.6847928430077544E-3</v>
      </c>
      <c r="X170" s="389"/>
      <c r="Y170" s="389"/>
      <c r="Z170" s="25">
        <f t="shared" si="110"/>
        <v>9.6017811284942045</v>
      </c>
      <c r="AA170" s="392">
        <f t="shared" si="126"/>
        <v>333281.46902182285</v>
      </c>
      <c r="AB170" s="14">
        <f t="shared" si="124"/>
        <v>446942.8216996757</v>
      </c>
      <c r="AC170" s="387"/>
      <c r="AD170" s="388"/>
      <c r="AE170" s="388"/>
      <c r="AF170" s="388"/>
      <c r="AG170" s="388"/>
      <c r="AH170" s="388"/>
      <c r="AI170" s="388"/>
      <c r="AJ170" s="388"/>
    </row>
    <row r="171" spans="1:36">
      <c r="A171">
        <f t="shared" si="114"/>
        <v>6669.9999999999991</v>
      </c>
      <c r="B171" s="4">
        <f t="shared" si="115"/>
        <v>6233.1332746140124</v>
      </c>
      <c r="D171" s="22">
        <f t="shared" si="106"/>
        <v>2033.5365853658536</v>
      </c>
      <c r="E171" s="22"/>
      <c r="F171" s="22"/>
      <c r="G171" s="4">
        <f t="shared" si="107"/>
        <v>351.55555555555554</v>
      </c>
      <c r="H171" s="21">
        <f t="shared" si="127"/>
        <v>42977453.928463615</v>
      </c>
      <c r="I171" s="2">
        <f t="shared" si="116"/>
        <v>42.977453928463618</v>
      </c>
      <c r="J171" s="11">
        <f t="shared" si="123"/>
        <v>1.272977656683439</v>
      </c>
      <c r="K171" s="4">
        <f t="shared" si="117"/>
        <v>990.94208500255388</v>
      </c>
      <c r="L171" s="4">
        <f t="shared" si="122"/>
        <v>323.4252691522085</v>
      </c>
      <c r="M171" s="161">
        <f t="shared" si="125"/>
        <v>0.16437588815133591</v>
      </c>
      <c r="N171" s="390"/>
      <c r="O171" s="391"/>
      <c r="P171" s="391"/>
      <c r="Q171" s="391"/>
      <c r="R171" s="401">
        <f t="shared" si="118"/>
        <v>881.21841554120158</v>
      </c>
      <c r="S171" s="400">
        <f t="shared" si="109"/>
        <v>4.4790075701084983E-4</v>
      </c>
      <c r="T171" s="400">
        <f t="shared" si="119"/>
        <v>4.4122006527601351E-5</v>
      </c>
      <c r="U171" s="400">
        <f t="shared" si="112"/>
        <v>3.8152926628352916E-4</v>
      </c>
      <c r="V171" s="20">
        <f t="shared" si="120"/>
        <v>1.0666367054155869E-2</v>
      </c>
      <c r="W171" s="20">
        <f t="shared" si="121"/>
        <v>1.6785475986289397E-3</v>
      </c>
      <c r="X171" s="389"/>
      <c r="Y171" s="389"/>
      <c r="Z171" s="25">
        <f t="shared" si="110"/>
        <v>9.5885382677869266</v>
      </c>
      <c r="AA171" s="392">
        <f t="shared" si="126"/>
        <v>334413.92470881302</v>
      </c>
      <c r="AB171" s="14">
        <f t="shared" si="124"/>
        <v>447594.47569867136</v>
      </c>
      <c r="AC171" s="387"/>
      <c r="AD171" s="388"/>
      <c r="AE171" s="388"/>
      <c r="AF171" s="388"/>
      <c r="AG171" s="388"/>
      <c r="AH171" s="388"/>
      <c r="AI171" s="388"/>
      <c r="AJ171" s="388"/>
    </row>
    <row r="172" spans="1:36">
      <c r="A172">
        <f t="shared" si="114"/>
        <v>6499.9999999999991</v>
      </c>
      <c r="B172" s="4">
        <f t="shared" si="115"/>
        <v>6216.7184013740043</v>
      </c>
      <c r="D172" s="22">
        <f t="shared" si="106"/>
        <v>1981.7073170731705</v>
      </c>
      <c r="E172" s="22"/>
      <c r="F172" s="22"/>
      <c r="G172" s="4">
        <f t="shared" si="107"/>
        <v>349.66666666666663</v>
      </c>
      <c r="H172" s="21">
        <f t="shared" si="127"/>
        <v>42864273.377473757</v>
      </c>
      <c r="I172" s="2">
        <f t="shared" si="116"/>
        <v>42.864273377473758</v>
      </c>
      <c r="J172" s="11">
        <f t="shared" si="123"/>
        <v>1.2717158765114229</v>
      </c>
      <c r="K172" s="4">
        <f t="shared" si="117"/>
        <v>991.93281378340237</v>
      </c>
      <c r="L172" s="4">
        <f t="shared" si="122"/>
        <v>324.63784785338152</v>
      </c>
      <c r="M172" s="161">
        <f t="shared" si="125"/>
        <v>0.16399948242644755</v>
      </c>
      <c r="N172" s="390"/>
      <c r="O172" s="391"/>
      <c r="P172" s="391"/>
      <c r="Q172" s="391"/>
      <c r="R172" s="401">
        <f t="shared" si="118"/>
        <v>882.49678474510495</v>
      </c>
      <c r="S172" s="400">
        <f t="shared" si="109"/>
        <v>4.5870895219047377E-4</v>
      </c>
      <c r="T172" s="400">
        <f t="shared" si="119"/>
        <v>4.3902002842202874E-5</v>
      </c>
      <c r="U172" s="400">
        <f t="shared" si="112"/>
        <v>3.9068082719046372E-4</v>
      </c>
      <c r="V172" s="20">
        <f t="shared" si="120"/>
        <v>1.065571363420564E-2</v>
      </c>
      <c r="W172" s="20">
        <f t="shared" si="121"/>
        <v>1.6722779320436627E-3</v>
      </c>
      <c r="X172" s="389"/>
      <c r="Y172" s="389"/>
      <c r="Z172" s="25">
        <f t="shared" si="110"/>
        <v>9.575393773278968</v>
      </c>
      <c r="AA172" s="392">
        <f t="shared" si="126"/>
        <v>335563.31899120612</v>
      </c>
      <c r="AB172" s="14">
        <f t="shared" si="124"/>
        <v>448243.79371504416</v>
      </c>
      <c r="AC172" s="387"/>
      <c r="AD172" s="388"/>
      <c r="AE172" s="388"/>
      <c r="AF172" s="388"/>
      <c r="AG172" s="388"/>
      <c r="AH172" s="388"/>
      <c r="AI172" s="388"/>
      <c r="AJ172" s="388"/>
    </row>
    <row r="173" spans="1:36">
      <c r="A173">
        <f t="shared" si="114"/>
        <v>6329.9999999999982</v>
      </c>
      <c r="B173" s="4">
        <f t="shared" si="115"/>
        <v>6200.3760555112285</v>
      </c>
      <c r="D173" s="22">
        <f t="shared" si="106"/>
        <v>1929.8780487804875</v>
      </c>
      <c r="E173" s="22"/>
      <c r="F173" s="22"/>
      <c r="G173" s="4">
        <f t="shared" si="107"/>
        <v>347.77777777777777</v>
      </c>
      <c r="H173" s="21">
        <f t="shared" si="127"/>
        <v>42751592.902749918</v>
      </c>
      <c r="I173" s="2">
        <f t="shared" si="116"/>
        <v>42.75159290274992</v>
      </c>
      <c r="J173" s="11">
        <f t="shared" si="123"/>
        <v>1.2704614661667322</v>
      </c>
      <c r="K173" s="4">
        <f t="shared" si="117"/>
        <v>992.91150088008931</v>
      </c>
      <c r="L173" s="4">
        <f t="shared" si="122"/>
        <v>325.86445217993128</v>
      </c>
      <c r="M173" s="161">
        <f t="shared" si="125"/>
        <v>0.16361799267415367</v>
      </c>
      <c r="N173" s="390"/>
      <c r="O173" s="391"/>
      <c r="P173" s="391"/>
      <c r="Q173" s="391"/>
      <c r="R173" s="401">
        <f t="shared" si="118"/>
        <v>883.7706017525511</v>
      </c>
      <c r="S173" s="400">
        <f t="shared" si="109"/>
        <v>4.6983863580300723E-4</v>
      </c>
      <c r="T173" s="400">
        <f t="shared" si="119"/>
        <v>4.3683609859052718E-5</v>
      </c>
      <c r="U173" s="400">
        <f t="shared" si="112"/>
        <v>4.0011200589005553E-4</v>
      </c>
      <c r="V173" s="20">
        <f t="shared" si="120"/>
        <v>1.0645210573831634E-2</v>
      </c>
      <c r="W173" s="20">
        <f t="shared" si="121"/>
        <v>1.6659832186040214E-3</v>
      </c>
      <c r="X173" s="389"/>
      <c r="Y173" s="389"/>
      <c r="Z173" s="25">
        <f t="shared" si="110"/>
        <v>9.5623466116293354</v>
      </c>
      <c r="AA173" s="392">
        <f t="shared" si="126"/>
        <v>336729.85532539524</v>
      </c>
      <c r="AB173" s="14">
        <f t="shared" si="124"/>
        <v>448890.79954870441</v>
      </c>
      <c r="AC173" s="387"/>
      <c r="AD173" s="388"/>
      <c r="AE173" s="388"/>
      <c r="AF173" s="388"/>
      <c r="AG173" s="388"/>
      <c r="AH173" s="388"/>
      <c r="AI173" s="388"/>
      <c r="AJ173" s="388"/>
    </row>
    <row r="174" spans="1:36">
      <c r="A174">
        <f t="shared" si="114"/>
        <v>6159.9999999999982</v>
      </c>
      <c r="B174" s="4">
        <f t="shared" si="115"/>
        <v>6184.1090585245256</v>
      </c>
      <c r="D174" s="22">
        <f t="shared" si="106"/>
        <v>1878.0487804878044</v>
      </c>
      <c r="E174" s="22"/>
      <c r="F174" s="22"/>
      <c r="G174" s="4">
        <f t="shared" si="107"/>
        <v>345.88888888888886</v>
      </c>
      <c r="H174" s="21">
        <f t="shared" si="127"/>
        <v>42639431.958526604</v>
      </c>
      <c r="I174" s="2">
        <f t="shared" si="116"/>
        <v>42.6394319585266</v>
      </c>
      <c r="J174" s="11">
        <f t="shared" si="123"/>
        <v>1.2692146261691075</v>
      </c>
      <c r="K174" s="4">
        <f t="shared" si="117"/>
        <v>993.87813330203767</v>
      </c>
      <c r="L174" s="4">
        <f t="shared" si="122"/>
        <v>327.10542141982438</v>
      </c>
      <c r="M174" s="161">
        <f t="shared" si="125"/>
        <v>0.1632313645434513</v>
      </c>
      <c r="N174" s="390"/>
      <c r="O174" s="391"/>
      <c r="P174" s="391"/>
      <c r="Q174" s="391"/>
      <c r="R174" s="401">
        <f t="shared" si="118"/>
        <v>885.03991370116648</v>
      </c>
      <c r="S174" s="400">
        <f t="shared" si="109"/>
        <v>4.8130119521485888E-4</v>
      </c>
      <c r="T174" s="400">
        <f t="shared" si="119"/>
        <v>4.3466843026691194E-5</v>
      </c>
      <c r="U174" s="400">
        <f t="shared" si="112"/>
        <v>4.0983289646318624E-4</v>
      </c>
      <c r="V174" s="20">
        <f t="shared" si="120"/>
        <v>1.0634857186092892E-2</v>
      </c>
      <c r="W174" s="20">
        <f t="shared" si="121"/>
        <v>1.6596628283167192E-3</v>
      </c>
      <c r="X174" s="389"/>
      <c r="Y174" s="389"/>
      <c r="Z174" s="25">
        <f t="shared" si="110"/>
        <v>9.5493957599492685</v>
      </c>
      <c r="AA174" s="392">
        <f t="shared" si="126"/>
        <v>337913.74246793916</v>
      </c>
      <c r="AB174" s="14">
        <f t="shared" si="124"/>
        <v>449535.51714211697</v>
      </c>
      <c r="AC174" s="387"/>
      <c r="AD174" s="388"/>
      <c r="AE174" s="388"/>
      <c r="AF174" s="388"/>
      <c r="AG174" s="388"/>
      <c r="AH174" s="388"/>
      <c r="AI174" s="388"/>
      <c r="AJ174" s="388"/>
    </row>
    <row r="175" spans="1:36">
      <c r="A175">
        <f t="shared" si="114"/>
        <v>5989.9999999999991</v>
      </c>
      <c r="B175" s="4">
        <f t="shared" si="115"/>
        <v>6167.9202587168129</v>
      </c>
      <c r="D175" s="22">
        <f t="shared" si="106"/>
        <v>1826.2195121951218</v>
      </c>
      <c r="E175" s="22"/>
      <c r="F175" s="22"/>
      <c r="G175" s="4">
        <f t="shared" si="107"/>
        <v>344</v>
      </c>
      <c r="H175" s="21">
        <f t="shared" si="127"/>
        <v>42527810.183852427</v>
      </c>
      <c r="I175" s="2">
        <f t="shared" si="116"/>
        <v>42.527810183852424</v>
      </c>
      <c r="J175" s="11">
        <f t="shared" si="123"/>
        <v>1.2679755577347798</v>
      </c>
      <c r="K175" s="4">
        <f t="shared" si="117"/>
        <v>994.83269757241771</v>
      </c>
      <c r="L175" s="4">
        <f t="shared" si="122"/>
        <v>328.36110430205275</v>
      </c>
      <c r="M175" s="161">
        <f t="shared" si="125"/>
        <v>0.16283954280960561</v>
      </c>
      <c r="N175" s="390"/>
      <c r="O175" s="391"/>
      <c r="P175" s="391"/>
      <c r="Q175" s="391"/>
      <c r="R175" s="401">
        <f t="shared" si="118"/>
        <v>886.30476802868202</v>
      </c>
      <c r="S175" s="400">
        <f t="shared" si="109"/>
        <v>4.9310848649042631E-4</v>
      </c>
      <c r="T175" s="400">
        <f t="shared" si="119"/>
        <v>4.3251717815053413E-5</v>
      </c>
      <c r="U175" s="400">
        <f t="shared" si="112"/>
        <v>4.1985401594952203E-4</v>
      </c>
      <c r="V175" s="20">
        <f t="shared" si="120"/>
        <v>1.0624652802265128E-2</v>
      </c>
      <c r="W175" s="20">
        <f t="shared" si="121"/>
        <v>1.6533161259318016E-3</v>
      </c>
      <c r="X175" s="389"/>
      <c r="Y175" s="389"/>
      <c r="Z175" s="25">
        <f t="shared" si="110"/>
        <v>9.5365402054162978</v>
      </c>
      <c r="AA175" s="392">
        <f t="shared" si="126"/>
        <v>339115.19459677988</v>
      </c>
      <c r="AB175" s="14">
        <f t="shared" si="124"/>
        <v>450177.97059017816</v>
      </c>
      <c r="AC175" s="387"/>
      <c r="AD175" s="388"/>
      <c r="AE175" s="388"/>
      <c r="AF175" s="388"/>
      <c r="AG175" s="388"/>
      <c r="AH175" s="388"/>
      <c r="AI175" s="388"/>
      <c r="AJ175" s="388"/>
    </row>
    <row r="176" spans="1:36">
      <c r="A176">
        <f t="shared" si="114"/>
        <v>5819.9999999999982</v>
      </c>
      <c r="B176" s="4">
        <f t="shared" si="115"/>
        <v>6151.81253195925</v>
      </c>
      <c r="D176" s="22">
        <f t="shared" si="106"/>
        <v>1774.3902439024387</v>
      </c>
      <c r="E176" s="22"/>
      <c r="F176" s="22"/>
      <c r="G176" s="4">
        <f t="shared" si="107"/>
        <v>342.11111111111109</v>
      </c>
      <c r="H176" s="21">
        <f t="shared" si="127"/>
        <v>42416747.407859027</v>
      </c>
      <c r="I176" s="2">
        <f t="shared" si="116"/>
        <v>42.416747407859027</v>
      </c>
      <c r="J176" s="11">
        <f t="shared" si="123"/>
        <v>1.266744462823272</v>
      </c>
      <c r="K176" s="4">
        <f t="shared" si="117"/>
        <v>995.77517976623733</v>
      </c>
      <c r="L176" s="4">
        <f t="shared" si="122"/>
        <v>329.63185928890141</v>
      </c>
      <c r="M176" s="161">
        <f t="shared" si="125"/>
        <v>0.16244247138439144</v>
      </c>
      <c r="N176" s="390"/>
      <c r="O176" s="391"/>
      <c r="P176" s="391"/>
      <c r="Q176" s="391"/>
      <c r="R176" s="401">
        <f t="shared" si="118"/>
        <v>887.56521249169407</v>
      </c>
      <c r="S176" s="400">
        <f t="shared" si="109"/>
        <v>5.0527285640312579E-4</v>
      </c>
      <c r="T176" s="400">
        <f t="shared" si="119"/>
        <v>4.3038249720539952E-5</v>
      </c>
      <c r="U176" s="400">
        <f t="shared" si="112"/>
        <v>4.3018632453421438E-4</v>
      </c>
      <c r="V176" s="20">
        <f t="shared" si="120"/>
        <v>1.0614596771260216E-2</v>
      </c>
      <c r="W176" s="20">
        <f t="shared" si="121"/>
        <v>1.6469424710417754E-3</v>
      </c>
      <c r="X176" s="389"/>
      <c r="Y176" s="389"/>
      <c r="Z176" s="25">
        <f t="shared" si="110"/>
        <v>9.52377894490035</v>
      </c>
      <c r="AA176" s="392">
        <f t="shared" si="126"/>
        <v>340334.43143667286</v>
      </c>
      <c r="AB176" s="14">
        <f t="shared" si="124"/>
        <v>450818.18414974457</v>
      </c>
      <c r="AC176" s="387"/>
      <c r="AD176" s="388"/>
      <c r="AE176" s="388"/>
      <c r="AF176" s="388"/>
      <c r="AG176" s="388"/>
      <c r="AH176" s="388"/>
      <c r="AI176" s="388"/>
      <c r="AJ176" s="388"/>
    </row>
    <row r="177" spans="1:36">
      <c r="A177">
        <f t="shared" si="114"/>
        <v>5649.9999999999982</v>
      </c>
      <c r="B177" s="4">
        <f t="shared" si="115"/>
        <v>6135.7887824722202</v>
      </c>
      <c r="D177" s="22">
        <f t="shared" si="106"/>
        <v>1722.5609756097556</v>
      </c>
      <c r="E177" s="22"/>
      <c r="F177" s="22"/>
      <c r="G177" s="4">
        <f t="shared" si="107"/>
        <v>340.22222222222223</v>
      </c>
      <c r="H177" s="21">
        <f t="shared" si="127"/>
        <v>42306263.655145958</v>
      </c>
      <c r="I177" s="2">
        <f t="shared" si="116"/>
        <v>42.306263655145955</v>
      </c>
      <c r="J177" s="11">
        <f t="shared" si="123"/>
        <v>1.265521544185948</v>
      </c>
      <c r="K177" s="4">
        <f t="shared" si="117"/>
        <v>996.70556554890504</v>
      </c>
      <c r="L177" s="4">
        <f t="shared" si="122"/>
        <v>330.91805487814867</v>
      </c>
      <c r="M177" s="161">
        <f t="shared" si="125"/>
        <v>0.16204009332722985</v>
      </c>
      <c r="N177" s="390"/>
      <c r="O177" s="391"/>
      <c r="P177" s="391"/>
      <c r="Q177" s="391"/>
      <c r="R177" s="401">
        <f t="shared" si="118"/>
        <v>888.82129518371164</v>
      </c>
      <c r="S177" s="400">
        <f t="shared" si="109"/>
        <v>5.1780716560923879E-4</v>
      </c>
      <c r="T177" s="400">
        <f t="shared" si="119"/>
        <v>4.2826454271236702E-5</v>
      </c>
      <c r="U177" s="400">
        <f t="shared" si="112"/>
        <v>4.4084124681539492E-4</v>
      </c>
      <c r="V177" s="20">
        <f t="shared" si="120"/>
        <v>1.0604688459050389E-2</v>
      </c>
      <c r="W177" s="20">
        <f t="shared" si="121"/>
        <v>1.6405412181914952E-3</v>
      </c>
      <c r="X177" s="389"/>
      <c r="Y177" s="389"/>
      <c r="Z177" s="25">
        <f t="shared" si="110"/>
        <v>9.5111109846018529</v>
      </c>
      <c r="AA177" s="392">
        <f t="shared" si="126"/>
        <v>341571.67838897859</v>
      </c>
      <c r="AB177" s="14">
        <f t="shared" si="124"/>
        <v>451456.18224879995</v>
      </c>
      <c r="AC177" s="387"/>
      <c r="AD177" s="388"/>
      <c r="AE177" s="388"/>
      <c r="AF177" s="388"/>
      <c r="AG177" s="388"/>
      <c r="AH177" s="388"/>
      <c r="AI177" s="388"/>
      <c r="AJ177" s="388"/>
    </row>
    <row r="178" spans="1:36">
      <c r="A178">
        <f t="shared" si="114"/>
        <v>5479.9999999999991</v>
      </c>
      <c r="B178" s="4">
        <f t="shared" si="115"/>
        <v>6119.8519436238048</v>
      </c>
      <c r="D178" s="22">
        <f t="shared" si="106"/>
        <v>1670.731707317073</v>
      </c>
      <c r="E178" s="22"/>
      <c r="F178" s="22"/>
      <c r="G178" s="4">
        <f t="shared" si="107"/>
        <v>338.33333333333331</v>
      </c>
      <c r="H178" s="21">
        <f t="shared" si="127"/>
        <v>42196379.151286133</v>
      </c>
      <c r="I178" s="2">
        <f t="shared" si="116"/>
        <v>42.196379151286131</v>
      </c>
      <c r="J178" s="11">
        <f t="shared" si="123"/>
        <v>1.2643070054163852</v>
      </c>
      <c r="K178" s="4">
        <f t="shared" si="117"/>
        <v>997.62384021527214</v>
      </c>
      <c r="L178" s="4">
        <f t="shared" si="122"/>
        <v>332.2200699155909</v>
      </c>
      <c r="M178" s="161">
        <f t="shared" si="125"/>
        <v>0.16163235085725977</v>
      </c>
      <c r="N178" s="390"/>
      <c r="O178" s="391"/>
      <c r="P178" s="391"/>
      <c r="Q178" s="391"/>
      <c r="R178" s="401">
        <f t="shared" si="118"/>
        <v>890.07306455245055</v>
      </c>
      <c r="S178" s="400">
        <f t="shared" si="109"/>
        <v>5.3072481305292143E-4</v>
      </c>
      <c r="T178" s="400">
        <f t="shared" si="119"/>
        <v>4.2616347032289298E-5</v>
      </c>
      <c r="U178" s="400">
        <f t="shared" si="112"/>
        <v>4.518306942166757E-4</v>
      </c>
      <c r="V178" s="20">
        <f t="shared" si="120"/>
        <v>1.0594927248096809E-2</v>
      </c>
      <c r="W178" s="20">
        <f t="shared" si="121"/>
        <v>1.6341117169991928E-3</v>
      </c>
      <c r="X178" s="389"/>
      <c r="Y178" s="389"/>
      <c r="Z178" s="25">
        <f t="shared" si="110"/>
        <v>9.4985353397019114</v>
      </c>
      <c r="AA178" s="392">
        <f t="shared" si="126"/>
        <v>342827.16666598018</v>
      </c>
      <c r="AB178" s="14">
        <f t="shared" si="124"/>
        <v>452091.98949523864</v>
      </c>
      <c r="AC178" s="387"/>
      <c r="AD178" s="388"/>
      <c r="AE178" s="388"/>
      <c r="AF178" s="388"/>
      <c r="AG178" s="388"/>
      <c r="AH178" s="388"/>
      <c r="AI178" s="388"/>
      <c r="AJ178" s="388"/>
    </row>
    <row r="179" spans="1:36">
      <c r="A179">
        <f t="shared" si="114"/>
        <v>5310</v>
      </c>
      <c r="B179" s="4">
        <f t="shared" si="115"/>
        <v>6104.0049787464641</v>
      </c>
      <c r="D179" s="22">
        <f t="shared" si="106"/>
        <v>1618.9024390243903</v>
      </c>
      <c r="E179" s="22"/>
      <c r="F179" s="22"/>
      <c r="G179" s="4">
        <f t="shared" si="107"/>
        <v>336.44444444444446</v>
      </c>
      <c r="H179" s="21">
        <f t="shared" si="127"/>
        <v>42087114.328456871</v>
      </c>
      <c r="I179" s="2">
        <f t="shared" si="116"/>
        <v>42.08711432845687</v>
      </c>
      <c r="J179" s="11">
        <f t="shared" si="123"/>
        <v>1.2631010510026619</v>
      </c>
      <c r="K179" s="4">
        <f t="shared" si="117"/>
        <v>998.52998872916464</v>
      </c>
      <c r="L179" s="4">
        <f t="shared" si="122"/>
        <v>333.53829391829993</v>
      </c>
      <c r="M179" s="161">
        <f t="shared" si="125"/>
        <v>0.16121918536638769</v>
      </c>
      <c r="N179" s="390"/>
      <c r="O179" s="391"/>
      <c r="P179" s="391"/>
      <c r="Q179" s="391"/>
      <c r="R179" s="401">
        <f t="shared" si="118"/>
        <v>891.32056941634357</v>
      </c>
      <c r="S179" s="400">
        <f t="shared" si="109"/>
        <v>5.4403976167514219E-4</v>
      </c>
      <c r="T179" s="400">
        <f t="shared" si="119"/>
        <v>4.2407943611440005E-5</v>
      </c>
      <c r="U179" s="400">
        <f t="shared" si="112"/>
        <v>4.6316708861305212E-4</v>
      </c>
      <c r="V179" s="20">
        <f t="shared" si="120"/>
        <v>1.0585312536782149E-2</v>
      </c>
      <c r="W179" s="20">
        <f t="shared" si="121"/>
        <v>1.6276533122890455E-3</v>
      </c>
      <c r="X179" s="389"/>
      <c r="Y179" s="389"/>
      <c r="Z179" s="25">
        <f t="shared" si="110"/>
        <v>9.4860510340245394</v>
      </c>
      <c r="AA179" s="392">
        <f t="shared" si="126"/>
        <v>344101.13342991774</v>
      </c>
      <c r="AB179" s="14">
        <f t="shared" si="124"/>
        <v>452725.63068525254</v>
      </c>
      <c r="AC179" s="387"/>
      <c r="AD179" s="388"/>
      <c r="AE179" s="388"/>
      <c r="AF179" s="388"/>
      <c r="AG179" s="388"/>
      <c r="AH179" s="388"/>
      <c r="AI179" s="388"/>
      <c r="AJ179" s="388"/>
    </row>
    <row r="180" spans="1:36">
      <c r="A180">
        <f t="shared" si="114"/>
        <v>5139.9999999999982</v>
      </c>
      <c r="B180" s="4">
        <f t="shared" si="115"/>
        <v>6088.2508819726654</v>
      </c>
      <c r="D180" s="22">
        <f t="shared" si="106"/>
        <v>1567.0731707317068</v>
      </c>
      <c r="E180" s="22"/>
      <c r="F180" s="22"/>
      <c r="G180" s="4">
        <f t="shared" si="107"/>
        <v>334.55555555555554</v>
      </c>
      <c r="H180" s="21">
        <f t="shared" si="127"/>
        <v>41978489.831201531</v>
      </c>
      <c r="I180" s="2">
        <f t="shared" si="116"/>
        <v>41.978489831201529</v>
      </c>
      <c r="J180" s="11">
        <f t="shared" si="123"/>
        <v>1.2619038863816352</v>
      </c>
      <c r="K180" s="4">
        <f t="shared" si="117"/>
        <v>999.42399576341461</v>
      </c>
      <c r="L180" s="4">
        <f t="shared" si="122"/>
        <v>334.87312740904417</v>
      </c>
      <c r="M180" s="161">
        <f t="shared" si="125"/>
        <v>0.1608005374333594</v>
      </c>
      <c r="N180" s="390"/>
      <c r="O180" s="391"/>
      <c r="P180" s="391"/>
      <c r="Q180" s="391"/>
      <c r="R180" s="401">
        <f t="shared" si="118"/>
        <v>892.56385898022609</v>
      </c>
      <c r="S180" s="400">
        <f t="shared" si="109"/>
        <v>5.5776656550403576E-4</v>
      </c>
      <c r="T180" s="400">
        <f t="shared" si="119"/>
        <v>4.2201259664733493E-5</v>
      </c>
      <c r="U180" s="400">
        <f t="shared" si="112"/>
        <v>4.7486338724308163E-4</v>
      </c>
      <c r="V180" s="20">
        <f t="shared" si="120"/>
        <v>1.0575843738846805E-2</v>
      </c>
      <c r="W180" s="20">
        <f t="shared" si="121"/>
        <v>1.6211653442356688E-3</v>
      </c>
      <c r="X180" s="389"/>
      <c r="Y180" s="389"/>
      <c r="Z180" s="25">
        <f t="shared" si="110"/>
        <v>9.4736570997109908</v>
      </c>
      <c r="AA180" s="392">
        <f t="shared" si="126"/>
        <v>345393.82193690306</v>
      </c>
      <c r="AB180" s="14">
        <f t="shared" si="124"/>
        <v>453357.1308112978</v>
      </c>
      <c r="AC180" s="387"/>
      <c r="AD180" s="388"/>
      <c r="AE180" s="388"/>
      <c r="AF180" s="388"/>
      <c r="AG180" s="388"/>
      <c r="AH180" s="388"/>
      <c r="AI180" s="388"/>
      <c r="AJ180" s="388"/>
    </row>
    <row r="181" spans="1:36">
      <c r="A181">
        <f t="shared" si="114"/>
        <v>4969.9999999999991</v>
      </c>
      <c r="B181" s="4">
        <f t="shared" si="115"/>
        <v>6072.5926790902304</v>
      </c>
      <c r="D181" s="22">
        <f t="shared" si="106"/>
        <v>1515.2439024390242</v>
      </c>
      <c r="E181" s="22"/>
      <c r="F181" s="22"/>
      <c r="G181" s="4">
        <f t="shared" si="107"/>
        <v>332.66666666666669</v>
      </c>
      <c r="H181" s="21">
        <f t="shared" si="127"/>
        <v>41870526.52232714</v>
      </c>
      <c r="I181" s="2">
        <f t="shared" si="116"/>
        <v>41.87052652232714</v>
      </c>
      <c r="J181" s="11">
        <f t="shared" si="123"/>
        <v>1.2607157179953115</v>
      </c>
      <c r="K181" s="4">
        <f t="shared" si="117"/>
        <v>1000.3058457403997</v>
      </c>
      <c r="L181" s="4">
        <f t="shared" si="122"/>
        <v>336.22498226231789</v>
      </c>
      <c r="M181" s="161">
        <f t="shared" si="125"/>
        <v>0.16037634683889829</v>
      </c>
      <c r="N181" s="390"/>
      <c r="O181" s="391"/>
      <c r="P181" s="391"/>
      <c r="Q181" s="391"/>
      <c r="R181" s="401">
        <f t="shared" si="118"/>
        <v>893.80298285016374</v>
      </c>
      <c r="S181" s="400">
        <f t="shared" si="109"/>
        <v>5.7192039820924061E-4</v>
      </c>
      <c r="T181" s="400">
        <f t="shared" si="119"/>
        <v>4.1996310902399565E-5</v>
      </c>
      <c r="U181" s="400">
        <f t="shared" si="112"/>
        <v>4.8693310898503199E-4</v>
      </c>
      <c r="V181" s="20">
        <f t="shared" si="120"/>
        <v>1.0566520282828415E-2</v>
      </c>
      <c r="W181" s="20">
        <f t="shared" si="121"/>
        <v>1.6146471485209484E-3</v>
      </c>
      <c r="X181" s="389"/>
      <c r="Y181" s="389"/>
      <c r="Z181" s="25">
        <f t="shared" si="110"/>
        <v>9.4613525769062399</v>
      </c>
      <c r="AA181" s="392">
        <f t="shared" si="126"/>
        <v>346705.48168592405</v>
      </c>
      <c r="AB181" s="14">
        <f t="shared" si="124"/>
        <v>453986.51506962581</v>
      </c>
      <c r="AC181" s="387"/>
      <c r="AD181" s="388"/>
      <c r="AE181" s="388"/>
      <c r="AF181" s="388"/>
      <c r="AG181" s="388"/>
      <c r="AH181" s="388"/>
      <c r="AI181" s="388"/>
      <c r="AJ181" s="388"/>
    </row>
    <row r="182" spans="1:36">
      <c r="A182">
        <f t="shared" si="114"/>
        <v>4800</v>
      </c>
      <c r="B182" s="4">
        <f t="shared" si="115"/>
        <v>6057.0334284181918</v>
      </c>
      <c r="D182" s="22">
        <f t="shared" si="106"/>
        <v>1463.4146341463415</v>
      </c>
      <c r="E182" s="22"/>
      <c r="F182" s="22"/>
      <c r="G182" s="4">
        <f t="shared" si="107"/>
        <v>330.77777777777777</v>
      </c>
      <c r="H182" s="21">
        <f t="shared" si="127"/>
        <v>41763245.488943435</v>
      </c>
      <c r="I182" s="2">
        <f t="shared" si="116"/>
        <v>41.763245488943433</v>
      </c>
      <c r="J182" s="11">
        <f t="shared" si="123"/>
        <v>1.259536753349392</v>
      </c>
      <c r="K182" s="4">
        <f t="shared" si="117"/>
        <v>1001.1755228731046</v>
      </c>
      <c r="L182" s="4">
        <f t="shared" si="122"/>
        <v>337.59428206245093</v>
      </c>
      <c r="M182" s="161">
        <f t="shared" si="125"/>
        <v>0.15994655258195614</v>
      </c>
      <c r="N182" s="390"/>
      <c r="O182" s="391"/>
      <c r="P182" s="391"/>
      <c r="Q182" s="391"/>
      <c r="R182" s="401">
        <f t="shared" si="118"/>
        <v>895.03799104738368</v>
      </c>
      <c r="S182" s="400">
        <f t="shared" si="109"/>
        <v>5.865170832082343E-4</v>
      </c>
      <c r="T182" s="400">
        <f t="shared" si="119"/>
        <v>4.1793113094920051E-5</v>
      </c>
      <c r="U182" s="400">
        <f t="shared" si="112"/>
        <v>4.9939036207985313E-4</v>
      </c>
      <c r="V182" s="20">
        <f t="shared" si="120"/>
        <v>1.0557341611504262E-2</v>
      </c>
      <c r="W182" s="20">
        <f t="shared" si="121"/>
        <v>1.6080980565036076E-3</v>
      </c>
      <c r="X182" s="389"/>
      <c r="Y182" s="389"/>
      <c r="Z182" s="25">
        <f t="shared" si="110"/>
        <v>9.4491365134575886</v>
      </c>
      <c r="AA182" s="392">
        <f t="shared" si="126"/>
        <v>348036.36857312144</v>
      </c>
      <c r="AB182" s="14">
        <f t="shared" si="124"/>
        <v>454613.80886736012</v>
      </c>
      <c r="AC182" s="387"/>
      <c r="AD182" s="388"/>
      <c r="AE182" s="388"/>
      <c r="AF182" s="388"/>
      <c r="AG182" s="388"/>
      <c r="AH182" s="388"/>
      <c r="AI182" s="388"/>
      <c r="AJ182" s="388"/>
    </row>
    <row r="183" spans="1:36">
      <c r="A183">
        <f t="shared" si="114"/>
        <v>4629.9999999999982</v>
      </c>
      <c r="B183" s="4">
        <f t="shared" si="115"/>
        <v>6041.5762217040174</v>
      </c>
      <c r="D183" s="22">
        <f t="shared" si="106"/>
        <v>1411.585365853658</v>
      </c>
      <c r="E183" s="22"/>
      <c r="F183" s="22"/>
      <c r="G183" s="4">
        <f t="shared" si="107"/>
        <v>328.88888888888886</v>
      </c>
      <c r="H183" s="21">
        <f t="shared" si="127"/>
        <v>41656668.048649199</v>
      </c>
      <c r="I183" s="2">
        <f t="shared" si="116"/>
        <v>41.656668048649202</v>
      </c>
      <c r="J183" s="11">
        <f t="shared" si="123"/>
        <v>1.258367201074104</v>
      </c>
      <c r="K183" s="4">
        <f t="shared" si="117"/>
        <v>1002.0330112067107</v>
      </c>
      <c r="L183" s="4">
        <f t="shared" si="122"/>
        <v>338.98146247428571</v>
      </c>
      <c r="M183" s="161">
        <f t="shared" si="125"/>
        <v>0.15951109289712348</v>
      </c>
      <c r="N183" s="390"/>
      <c r="O183" s="391"/>
      <c r="P183" s="391"/>
      <c r="Q183" s="391"/>
      <c r="R183" s="401">
        <f t="shared" si="118"/>
        <v>896.26893402127132</v>
      </c>
      <c r="S183" s="400">
        <f t="shared" si="109"/>
        <v>6.0157312541853601E-4</v>
      </c>
      <c r="T183" s="400">
        <f t="shared" si="119"/>
        <v>4.1591682079288661E-5</v>
      </c>
      <c r="U183" s="400">
        <f t="shared" si="112"/>
        <v>5.1224987338938403E-4</v>
      </c>
      <c r="V183" s="20">
        <f t="shared" si="120"/>
        <v>1.0548307181336281E-2</v>
      </c>
      <c r="W183" s="20">
        <f t="shared" si="121"/>
        <v>1.6015173954019388E-3</v>
      </c>
      <c r="X183" s="389"/>
      <c r="Y183" s="389"/>
      <c r="Z183" s="25">
        <f t="shared" si="110"/>
        <v>9.4370079646255203</v>
      </c>
      <c r="AA183" s="392">
        <f t="shared" si="126"/>
        <v>349386.74505156203</v>
      </c>
      <c r="AB183" s="14">
        <f t="shared" si="124"/>
        <v>455239.03782909701</v>
      </c>
      <c r="AC183" s="387"/>
      <c r="AD183" s="388"/>
      <c r="AE183" s="388"/>
      <c r="AF183" s="388"/>
      <c r="AG183" s="388"/>
      <c r="AH183" s="388"/>
      <c r="AI183" s="388"/>
      <c r="AJ183" s="388"/>
    </row>
    <row r="184" spans="1:36">
      <c r="A184">
        <f t="shared" si="114"/>
        <v>4459.9999999999991</v>
      </c>
      <c r="B184" s="4">
        <f t="shared" si="115"/>
        <v>6026.2241850430264</v>
      </c>
      <c r="D184" s="22">
        <f t="shared" si="106"/>
        <v>1359.7560975609754</v>
      </c>
      <c r="E184" s="22"/>
      <c r="F184" s="22"/>
      <c r="G184" s="4">
        <f t="shared" si="107"/>
        <v>327</v>
      </c>
      <c r="H184" s="21">
        <f t="shared" si="127"/>
        <v>41550815.755871668</v>
      </c>
      <c r="I184" s="2">
        <f t="shared" si="116"/>
        <v>41.550815755871668</v>
      </c>
      <c r="J184" s="11">
        <f t="shared" si="123"/>
        <v>1.2572072709874031</v>
      </c>
      <c r="K184" s="4">
        <f t="shared" si="117"/>
        <v>1002.8782946607321</v>
      </c>
      <c r="L184" s="4">
        <f t="shared" si="122"/>
        <v>340.38697162693836</v>
      </c>
      <c r="M184" s="161">
        <f t="shared" si="125"/>
        <v>0.1590699052732476</v>
      </c>
      <c r="N184" s="390"/>
      <c r="O184" s="391"/>
      <c r="P184" s="391"/>
      <c r="Q184" s="391"/>
      <c r="R184" s="401">
        <f t="shared" si="118"/>
        <v>897.49586266139806</v>
      </c>
      <c r="S184" s="400">
        <f t="shared" si="109"/>
        <v>6.1710574475583226E-4</v>
      </c>
      <c r="T184" s="400">
        <f t="shared" si="119"/>
        <v>4.1392033765471552E-5</v>
      </c>
      <c r="U184" s="400">
        <f t="shared" si="112"/>
        <v>5.2552701928408575E-4</v>
      </c>
      <c r="V184" s="20">
        <f t="shared" si="120"/>
        <v>1.0539416461918194E-2</v>
      </c>
      <c r="W184" s="20">
        <f t="shared" si="121"/>
        <v>1.5949044884901052E-3</v>
      </c>
      <c r="X184" s="389"/>
      <c r="Y184" s="389"/>
      <c r="Z184" s="25">
        <f t="shared" si="110"/>
        <v>9.4249659928067544</v>
      </c>
      <c r="AA184" s="392">
        <f t="shared" si="126"/>
        <v>350756.88029671606</v>
      </c>
      <c r="AB184" s="14">
        <f t="shared" si="124"/>
        <v>455862.22780301503</v>
      </c>
      <c r="AC184" s="387"/>
      <c r="AD184" s="388"/>
      <c r="AE184" s="388"/>
      <c r="AF184" s="388"/>
      <c r="AG184" s="388"/>
      <c r="AH184" s="388"/>
      <c r="AI184" s="388"/>
      <c r="AJ184" s="388"/>
    </row>
    <row r="185" spans="1:36">
      <c r="A185">
        <f t="shared" si="114"/>
        <v>4290</v>
      </c>
      <c r="B185" s="4">
        <f t="shared" si="115"/>
        <v>6010.9804798209379</v>
      </c>
      <c r="D185" s="22">
        <f t="shared" si="106"/>
        <v>1307.9268292682927</v>
      </c>
      <c r="E185" s="22"/>
      <c r="F185" s="22"/>
      <c r="G185" s="4">
        <f t="shared" si="107"/>
        <v>325.11111111111114</v>
      </c>
      <c r="H185" s="21">
        <f t="shared" si="127"/>
        <v>41445710.408365369</v>
      </c>
      <c r="I185" s="2">
        <f t="shared" si="116"/>
        <v>41.445710408365372</v>
      </c>
      <c r="J185" s="11">
        <f t="shared" si="123"/>
        <v>1.2560571741606681</v>
      </c>
      <c r="K185" s="4">
        <f t="shared" si="117"/>
        <v>1003.7113570717031</v>
      </c>
      <c r="L185" s="4">
        <f t="shared" si="122"/>
        <v>341.81127051117869</v>
      </c>
      <c r="M185" s="161">
        <f t="shared" si="125"/>
        <v>0.15862292647330714</v>
      </c>
      <c r="N185" s="390"/>
      <c r="O185" s="391"/>
      <c r="P185" s="391"/>
      <c r="Q185" s="391"/>
      <c r="R185" s="401">
        <f t="shared" si="118"/>
        <v>898.71882830853747</v>
      </c>
      <c r="S185" s="400">
        <f t="shared" si="109"/>
        <v>6.3313291148487348E-4</v>
      </c>
      <c r="T185" s="400">
        <f t="shared" si="119"/>
        <v>4.1194184143077989E-5</v>
      </c>
      <c r="U185" s="400">
        <f t="shared" si="112"/>
        <v>5.3923785826103291E-4</v>
      </c>
      <c r="V185" s="20">
        <f t="shared" si="120"/>
        <v>1.0530668935424512E-2</v>
      </c>
      <c r="W185" s="20">
        <f t="shared" si="121"/>
        <v>1.5882586553084518E-3</v>
      </c>
      <c r="X185" s="389"/>
      <c r="Y185" s="389"/>
      <c r="Z185" s="25">
        <f t="shared" si="110"/>
        <v>9.4130096672696251</v>
      </c>
      <c r="AA185" s="392">
        <f t="shared" si="126"/>
        <v>352147.05037787184</v>
      </c>
      <c r="AB185" s="14">
        <f t="shared" si="124"/>
        <v>456483.40486647061</v>
      </c>
      <c r="AC185" s="387"/>
      <c r="AD185" s="388"/>
      <c r="AE185" s="388"/>
      <c r="AF185" s="388"/>
      <c r="AG185" s="388"/>
      <c r="AH185" s="388"/>
      <c r="AI185" s="388"/>
      <c r="AJ185" s="388"/>
    </row>
    <row r="186" spans="1:36">
      <c r="A186">
        <f t="shared" si="114"/>
        <v>4119.9999999999991</v>
      </c>
      <c r="B186" s="4">
        <f t="shared" si="115"/>
        <v>5995.84830368046</v>
      </c>
      <c r="D186" s="22">
        <f t="shared" si="106"/>
        <v>1256.0975609756097</v>
      </c>
      <c r="E186" s="22"/>
      <c r="F186" s="22"/>
      <c r="G186" s="4">
        <f t="shared" si="107"/>
        <v>323.22222222222223</v>
      </c>
      <c r="H186" s="21">
        <f t="shared" si="127"/>
        <v>41341374.053876773</v>
      </c>
      <c r="I186" s="2">
        <f t="shared" si="116"/>
        <v>41.34137405387677</v>
      </c>
      <c r="J186" s="11">
        <f t="shared" ref="J186:J217" si="128">1+BB*H186+CCC*H186^2+DD*H186^3</f>
        <v>1.2549171229869858</v>
      </c>
      <c r="K186" s="4">
        <f t="shared" si="117"/>
        <v>1004.5321822364371</v>
      </c>
      <c r="L186" s="4">
        <f t="shared" si="122"/>
        <v>343.25483339099355</v>
      </c>
      <c r="M186" s="161">
        <f t="shared" si="125"/>
        <v>0.15817009255559353</v>
      </c>
      <c r="N186" s="390"/>
      <c r="O186" s="391"/>
      <c r="P186" s="391"/>
      <c r="Q186" s="391"/>
      <c r="R186" s="401">
        <f t="shared" si="118"/>
        <v>899.93788276463567</v>
      </c>
      <c r="S186" s="400">
        <f t="shared" si="109"/>
        <v>6.496733835371425E-4</v>
      </c>
      <c r="T186" s="400">
        <f t="shared" si="119"/>
        <v>4.0998149288250134E-5</v>
      </c>
      <c r="U186" s="400">
        <f t="shared" si="112"/>
        <v>5.5339916539969762E-4</v>
      </c>
      <c r="V186" s="20">
        <f t="shared" si="120"/>
        <v>1.0522064096060945E-2</v>
      </c>
      <c r="W186" s="20">
        <f t="shared" si="121"/>
        <v>1.581579211888244E-3</v>
      </c>
      <c r="X186" s="389"/>
      <c r="Y186" s="389"/>
      <c r="Z186" s="25">
        <f t="shared" si="110"/>
        <v>9.4011380639017688</v>
      </c>
      <c r="AA186" s="392">
        <f t="shared" si="126"/>
        <v>353557.53843572573</v>
      </c>
      <c r="AB186" s="14">
        <f t="shared" ref="AB186:AB222" si="129">IF(AND(0&lt;D186, D186&lt;=TVD),rho*g*lt/N,0)</f>
        <v>457102.59533106192</v>
      </c>
      <c r="AC186" s="387"/>
      <c r="AD186" s="388"/>
      <c r="AE186" s="388"/>
      <c r="AF186" s="388"/>
      <c r="AG186" s="388"/>
      <c r="AH186" s="388"/>
      <c r="AI186" s="388"/>
      <c r="AJ186" s="388"/>
    </row>
    <row r="187" spans="1:36">
      <c r="A187">
        <f t="shared" si="114"/>
        <v>3949.9999999999991</v>
      </c>
      <c r="B187" s="4">
        <f t="shared" si="115"/>
        <v>5980.8308915128982</v>
      </c>
      <c r="D187" s="22">
        <f t="shared" ref="D187:D222" si="130">(N-C84)*lt/N-lt+L</f>
        <v>1204.2682926829266</v>
      </c>
      <c r="E187" s="22"/>
      <c r="F187" s="22"/>
      <c r="G187" s="4">
        <f t="shared" ref="G187:G222" si="131">T0+MAX(MIN(D187,TVD),0)*dT</f>
        <v>321.33333333333331</v>
      </c>
      <c r="H187" s="21">
        <f t="shared" si="127"/>
        <v>41237828.996981435</v>
      </c>
      <c r="I187" s="2">
        <f t="shared" si="116"/>
        <v>41.237828996981435</v>
      </c>
      <c r="J187" s="11">
        <f t="shared" si="128"/>
        <v>1.2537873312521464</v>
      </c>
      <c r="K187" s="4">
        <f t="shared" si="117"/>
        <v>1005.3407539558636</v>
      </c>
      <c r="L187" s="4">
        <f t="shared" si="122"/>
        <v>344.71814822992241</v>
      </c>
      <c r="M187" s="161">
        <f t="shared" ref="M187:M223" si="132">mg/rhoi/(mg/rhoi+(mw-ml)/rhow)</f>
        <v>0.15771133889625061</v>
      </c>
      <c r="N187" s="390"/>
      <c r="O187" s="391"/>
      <c r="P187" s="391"/>
      <c r="Q187" s="391"/>
      <c r="R187" s="401">
        <f t="shared" si="118"/>
        <v>901.15307830169559</v>
      </c>
      <c r="S187" s="400">
        <f t="shared" ref="S187:S222" si="133">0.001*(83080000000*T^-4.4259)</f>
        <v>6.66746745917036E-4</v>
      </c>
      <c r="T187" s="400">
        <f t="shared" si="119"/>
        <v>4.0803945370781416E-5</v>
      </c>
      <c r="U187" s="400">
        <f t="shared" si="112"/>
        <v>5.6802846877041738E-4</v>
      </c>
      <c r="V187" s="20">
        <f t="shared" si="120"/>
        <v>1.0513601449515889E-2</v>
      </c>
      <c r="W187" s="20">
        <f t="shared" si="121"/>
        <v>1.5748654709912785E-3</v>
      </c>
      <c r="X187" s="389"/>
      <c r="Y187" s="389"/>
      <c r="Z187" s="25">
        <f t="shared" ref="Z187:Z222" si="134">(Qn+Qw)/(0.25*PI()*dti^2)</f>
        <v>9.3893502649701865</v>
      </c>
      <c r="AA187" s="392">
        <f t="shared" ref="AA187:AA222" si="135">0.1*(lt/N)*rho^0.8*va^1.8*mu^0.2/dti^1.2*IF(D187&lt;0,1.2,1)*(1-Kfr)</f>
        <v>354988.63486639399</v>
      </c>
      <c r="AB187" s="14">
        <f t="shared" si="129"/>
        <v>457719.82574714179</v>
      </c>
      <c r="AC187" s="387"/>
      <c r="AD187" s="388"/>
      <c r="AE187" s="388"/>
      <c r="AF187" s="388"/>
      <c r="AG187" s="388"/>
      <c r="AH187" s="388"/>
      <c r="AI187" s="388"/>
      <c r="AJ187" s="388"/>
    </row>
    <row r="188" spans="1:36">
      <c r="A188">
        <f t="shared" si="114"/>
        <v>3779.9999999999986</v>
      </c>
      <c r="B188" s="4">
        <f t="shared" si="115"/>
        <v>5965.9315164758073</v>
      </c>
      <c r="D188" s="22">
        <f t="shared" si="130"/>
        <v>1152.4390243902435</v>
      </c>
      <c r="E188" s="22"/>
      <c r="F188" s="22"/>
      <c r="G188" s="4">
        <f t="shared" si="131"/>
        <v>319.44444444444446</v>
      </c>
      <c r="H188" s="21">
        <f t="shared" ref="H188:H222" si="136">H187-AB187+AA187</f>
        <v>41135097.806100689</v>
      </c>
      <c r="I188" s="2">
        <f t="shared" si="116"/>
        <v>41.135097806100688</v>
      </c>
      <c r="J188" s="11">
        <f t="shared" si="128"/>
        <v>1.2526680142084654</v>
      </c>
      <c r="K188" s="4">
        <f t="shared" si="117"/>
        <v>1006.1370560794645</v>
      </c>
      <c r="L188" s="4">
        <f t="shared" si="122"/>
        <v>346.20171713278341</v>
      </c>
      <c r="M188" s="161">
        <f t="shared" si="132"/>
        <v>0.15724660021322423</v>
      </c>
      <c r="N188" s="390"/>
      <c r="O188" s="391"/>
      <c r="P188" s="391"/>
      <c r="Q188" s="391"/>
      <c r="R188" s="401">
        <f t="shared" si="118"/>
        <v>902.36446766953713</v>
      </c>
      <c r="S188" s="400">
        <f t="shared" si="133"/>
        <v>6.8437345232662153E-4</v>
      </c>
      <c r="T188" s="400">
        <f t="shared" si="119"/>
        <v>4.0611588661473815E-5</v>
      </c>
      <c r="U188" s="400">
        <f t="shared" ref="U188:U222" si="137">fi*mug+(1-fi)*muw</f>
        <v>5.8314408791834791E-4</v>
      </c>
      <c r="V188" s="20">
        <f t="shared" si="120"/>
        <v>1.0505280512412583E-2</v>
      </c>
      <c r="W188" s="20">
        <f t="shared" si="121"/>
        <v>1.5681167423647936E-3</v>
      </c>
      <c r="X188" s="389"/>
      <c r="Y188" s="389"/>
      <c r="Z188" s="25">
        <f t="shared" si="134"/>
        <v>9.3776453588937194</v>
      </c>
      <c r="AA188" s="392">
        <f t="shared" si="135"/>
        <v>356440.63751210994</v>
      </c>
      <c r="AB188" s="14">
        <f t="shared" si="129"/>
        <v>458335.12290775881</v>
      </c>
      <c r="AC188" s="387"/>
      <c r="AD188" s="388"/>
      <c r="AE188" s="388"/>
      <c r="AF188" s="388"/>
      <c r="AG188" s="388"/>
      <c r="AH188" s="388"/>
      <c r="AI188" s="388"/>
      <c r="AJ188" s="388"/>
    </row>
    <row r="189" spans="1:36">
      <c r="A189">
        <f t="shared" si="114"/>
        <v>3609.9999999999982</v>
      </c>
      <c r="B189" s="4">
        <f t="shared" si="115"/>
        <v>5951.153491037714</v>
      </c>
      <c r="D189" s="22">
        <f t="shared" si="130"/>
        <v>1100.6097560975604</v>
      </c>
      <c r="E189" s="22"/>
      <c r="F189" s="22"/>
      <c r="G189" s="4">
        <f t="shared" si="131"/>
        <v>317.55555555555554</v>
      </c>
      <c r="H189" s="21">
        <f t="shared" si="136"/>
        <v>41033203.320705041</v>
      </c>
      <c r="I189" s="2">
        <f t="shared" si="116"/>
        <v>41.033203320705042</v>
      </c>
      <c r="J189" s="11">
        <f t="shared" si="128"/>
        <v>1.2515593886515572</v>
      </c>
      <c r="K189" s="4">
        <f t="shared" si="117"/>
        <v>1006.9210725503177</v>
      </c>
      <c r="L189" s="4">
        <f t="shared" si="122"/>
        <v>347.70605680343709</v>
      </c>
      <c r="M189" s="161">
        <f t="shared" si="132"/>
        <v>0.1567758105916752</v>
      </c>
      <c r="N189" s="390"/>
      <c r="O189" s="391"/>
      <c r="P189" s="391"/>
      <c r="Q189" s="391"/>
      <c r="R189" s="401">
        <f t="shared" si="118"/>
        <v>903.57210410239657</v>
      </c>
      <c r="S189" s="400">
        <f t="shared" si="133"/>
        <v>7.0257486914797535E-4</v>
      </c>
      <c r="T189" s="400">
        <f t="shared" si="119"/>
        <v>4.0421095539744273E-5</v>
      </c>
      <c r="U189" s="400">
        <f t="shared" si="137"/>
        <v>5.9876517455420834E-4</v>
      </c>
      <c r="V189" s="20">
        <f t="shared" si="120"/>
        <v>1.0497100811761563E-2</v>
      </c>
      <c r="W189" s="20">
        <f t="shared" si="121"/>
        <v>1.5613323330121284E-3</v>
      </c>
      <c r="X189" s="389"/>
      <c r="Y189" s="389"/>
      <c r="Z189" s="25">
        <f t="shared" si="134"/>
        <v>9.3660224400279848</v>
      </c>
      <c r="AA189" s="392">
        <f t="shared" si="135"/>
        <v>357913.85185888188</v>
      </c>
      <c r="AB189" s="14">
        <f t="shared" si="129"/>
        <v>458948.51385201002</v>
      </c>
      <c r="AC189" s="387"/>
      <c r="AD189" s="388"/>
      <c r="AE189" s="388"/>
      <c r="AF189" s="388"/>
      <c r="AG189" s="388"/>
      <c r="AH189" s="388"/>
      <c r="AI189" s="388"/>
      <c r="AJ189" s="388"/>
    </row>
    <row r="190" spans="1:36">
      <c r="A190">
        <f t="shared" si="114"/>
        <v>3439.9999999999991</v>
      </c>
      <c r="B190" s="4">
        <f t="shared" si="115"/>
        <v>5936.5001680510395</v>
      </c>
      <c r="D190" s="22">
        <f t="shared" si="130"/>
        <v>1048.7804878048778</v>
      </c>
      <c r="E190" s="22"/>
      <c r="F190" s="22"/>
      <c r="G190" s="4">
        <f t="shared" si="131"/>
        <v>315.66666666666669</v>
      </c>
      <c r="H190" s="21">
        <f t="shared" si="136"/>
        <v>40932168.658711918</v>
      </c>
      <c r="I190" s="2">
        <f t="shared" si="116"/>
        <v>40.932168658711916</v>
      </c>
      <c r="J190" s="11">
        <f t="shared" si="128"/>
        <v>1.2504616730001845</v>
      </c>
      <c r="K190" s="4">
        <f t="shared" si="117"/>
        <v>1007.6927874507691</v>
      </c>
      <c r="L190" s="4">
        <f t="shared" si="122"/>
        <v>349.23169901926622</v>
      </c>
      <c r="M190" s="161">
        <f t="shared" si="132"/>
        <v>0.15629890351090966</v>
      </c>
      <c r="N190" s="390"/>
      <c r="O190" s="391"/>
      <c r="P190" s="391"/>
      <c r="Q190" s="391"/>
      <c r="R190" s="401">
        <f t="shared" si="118"/>
        <v>904.77604132432498</v>
      </c>
      <c r="S190" s="400">
        <f t="shared" si="133"/>
        <v>7.2137332193167238E-4</v>
      </c>
      <c r="T190" s="400">
        <f t="shared" si="119"/>
        <v>4.0232482501491334E-5</v>
      </c>
      <c r="U190" s="400">
        <f t="shared" si="137"/>
        <v>6.149117555922345E-4</v>
      </c>
      <c r="V190" s="20">
        <f t="shared" si="120"/>
        <v>1.0489061884413012E-2</v>
      </c>
      <c r="W190" s="20">
        <f t="shared" si="121"/>
        <v>1.5545115474795675E-3</v>
      </c>
      <c r="X190" s="389"/>
      <c r="Y190" s="389"/>
      <c r="Z190" s="25">
        <f t="shared" si="134"/>
        <v>9.3544806084628132</v>
      </c>
      <c r="AA190" s="392">
        <f t="shared" si="135"/>
        <v>359408.59124139079</v>
      </c>
      <c r="AB190" s="14">
        <f t="shared" si="129"/>
        <v>459560.02586778218</v>
      </c>
      <c r="AC190" s="387"/>
      <c r="AD190" s="388"/>
      <c r="AE190" s="388"/>
      <c r="AF190" s="388"/>
      <c r="AG190" s="388"/>
      <c r="AH190" s="388"/>
      <c r="AI190" s="388"/>
      <c r="AJ190" s="388"/>
    </row>
    <row r="191" spans="1:36">
      <c r="A191">
        <f t="shared" si="114"/>
        <v>3270</v>
      </c>
      <c r="B191" s="4">
        <f t="shared" si="115"/>
        <v>5921.9749418543179</v>
      </c>
      <c r="D191" s="22">
        <f t="shared" si="130"/>
        <v>996.95121951219517</v>
      </c>
      <c r="E191" s="22"/>
      <c r="F191" s="22"/>
      <c r="G191" s="4">
        <f t="shared" si="131"/>
        <v>313.77777777777777</v>
      </c>
      <c r="H191" s="21">
        <f t="shared" si="136"/>
        <v>40832017.224085525</v>
      </c>
      <c r="I191" s="2">
        <f t="shared" si="116"/>
        <v>40.832017224085526</v>
      </c>
      <c r="J191" s="11">
        <f t="shared" si="128"/>
        <v>1.2493750873793246</v>
      </c>
      <c r="K191" s="4">
        <f t="shared" si="117"/>
        <v>1008.4521850487448</v>
      </c>
      <c r="L191" s="4">
        <f t="shared" si="122"/>
        <v>350.77919112308382</v>
      </c>
      <c r="M191" s="161">
        <f t="shared" si="132"/>
        <v>0.1558158118728816</v>
      </c>
      <c r="N191" s="390"/>
      <c r="O191" s="391"/>
      <c r="P191" s="391"/>
      <c r="Q191" s="391"/>
      <c r="R191" s="401">
        <f t="shared" si="118"/>
        <v>905.97633355334926</v>
      </c>
      <c r="S191" s="400">
        <f t="shared" si="133"/>
        <v>7.4079214455029566E-4</v>
      </c>
      <c r="T191" s="400">
        <f t="shared" si="119"/>
        <v>4.0045766167233254E-5</v>
      </c>
      <c r="U191" s="400">
        <f t="shared" si="137"/>
        <v>6.3160477868555735E-4</v>
      </c>
      <c r="V191" s="20">
        <f t="shared" si="120"/>
        <v>1.0481163276508606E-2</v>
      </c>
      <c r="W191" s="20">
        <f t="shared" si="121"/>
        <v>1.5476536881598173E-3</v>
      </c>
      <c r="X191" s="389"/>
      <c r="Y191" s="389"/>
      <c r="Z191" s="25">
        <f t="shared" si="134"/>
        <v>9.343018969832185</v>
      </c>
      <c r="AA191" s="392">
        <f t="shared" si="135"/>
        <v>360925.17705542874</v>
      </c>
      <c r="AB191" s="14">
        <f t="shared" si="129"/>
        <v>460169.68649386585</v>
      </c>
      <c r="AC191" s="387"/>
      <c r="AD191" s="388"/>
      <c r="AE191" s="388"/>
      <c r="AF191" s="388"/>
      <c r="AG191" s="388"/>
      <c r="AH191" s="388"/>
      <c r="AI191" s="388"/>
      <c r="AJ191" s="388"/>
    </row>
    <row r="192" spans="1:36">
      <c r="A192">
        <f t="shared" si="114"/>
        <v>3099.9999999999995</v>
      </c>
      <c r="B192" s="4">
        <f t="shared" si="115"/>
        <v>5907.5812494049433</v>
      </c>
      <c r="D192" s="22">
        <f t="shared" si="130"/>
        <v>945.12195121951208</v>
      </c>
      <c r="E192" s="22"/>
      <c r="F192" s="22"/>
      <c r="G192" s="4">
        <f t="shared" si="131"/>
        <v>311.88888888888891</v>
      </c>
      <c r="H192" s="21">
        <f t="shared" si="136"/>
        <v>40732772.714647084</v>
      </c>
      <c r="I192" s="2">
        <f t="shared" si="116"/>
        <v>40.732772714647083</v>
      </c>
      <c r="J192" s="11">
        <f t="shared" si="128"/>
        <v>1.2482998537065815</v>
      </c>
      <c r="K192" s="4">
        <f t="shared" si="117"/>
        <v>1009.1992498447263</v>
      </c>
      <c r="L192" s="4">
        <f t="shared" si="122"/>
        <v>352.34909653321557</v>
      </c>
      <c r="M192" s="161">
        <f t="shared" si="132"/>
        <v>0.15532646803232331</v>
      </c>
      <c r="N192" s="390"/>
      <c r="O192" s="391"/>
      <c r="P192" s="391"/>
      <c r="Q192" s="391"/>
      <c r="R192" s="401">
        <f t="shared" si="118"/>
        <v>907.17303550435929</v>
      </c>
      <c r="S192" s="400">
        <f t="shared" si="133"/>
        <v>7.6085573118709574E-4</v>
      </c>
      <c r="T192" s="400">
        <f t="shared" si="119"/>
        <v>3.9860963290529728E-5</v>
      </c>
      <c r="U192" s="400">
        <f t="shared" si="137"/>
        <v>6.4886616041993743E-4</v>
      </c>
      <c r="V192" s="20">
        <f t="shared" si="120"/>
        <v>1.0473404542932437E-2</v>
      </c>
      <c r="W192" s="20">
        <f t="shared" si="121"/>
        <v>1.5407580556125562E-3</v>
      </c>
      <c r="X192" s="389"/>
      <c r="Y192" s="389"/>
      <c r="Z192" s="25">
        <f t="shared" si="134"/>
        <v>9.3316366351367428</v>
      </c>
      <c r="AA192" s="392">
        <f t="shared" si="135"/>
        <v>362463.93897819769</v>
      </c>
      <c r="AB192" s="14">
        <f t="shared" si="129"/>
        <v>460777.52352142154</v>
      </c>
      <c r="AC192" s="387"/>
      <c r="AD192" s="388"/>
      <c r="AE192" s="388"/>
      <c r="AF192" s="388"/>
      <c r="AG192" s="388"/>
      <c r="AH192" s="388"/>
      <c r="AI192" s="388"/>
      <c r="AJ192" s="388"/>
    </row>
    <row r="193" spans="1:36">
      <c r="A193">
        <f t="shared" si="114"/>
        <v>2929.9999999999991</v>
      </c>
      <c r="B193" s="4">
        <f t="shared" si="115"/>
        <v>5893.3225714436339</v>
      </c>
      <c r="D193" s="22">
        <f t="shared" si="130"/>
        <v>893.292682926829</v>
      </c>
      <c r="E193" s="22"/>
      <c r="F193" s="22"/>
      <c r="G193" s="4">
        <f t="shared" si="131"/>
        <v>310</v>
      </c>
      <c r="H193" s="21">
        <f t="shared" si="136"/>
        <v>40634459.130103856</v>
      </c>
      <c r="I193" s="2">
        <f t="shared" si="116"/>
        <v>40.634459130103856</v>
      </c>
      <c r="J193" s="11">
        <f t="shared" si="128"/>
        <v>1.2472361957821003</v>
      </c>
      <c r="K193" s="4">
        <f t="shared" si="117"/>
        <v>1009.9339666193994</v>
      </c>
      <c r="L193" s="4">
        <f t="shared" si="122"/>
        <v>353.94199527253926</v>
      </c>
      <c r="M193" s="161">
        <f t="shared" si="132"/>
        <v>0.15483080382856071</v>
      </c>
      <c r="N193" s="390"/>
      <c r="O193" s="391"/>
      <c r="P193" s="391"/>
      <c r="Q193" s="391"/>
      <c r="R193" s="401">
        <f t="shared" si="118"/>
        <v>908.36620239068282</v>
      </c>
      <c r="S193" s="400">
        <f t="shared" si="133"/>
        <v>7.81589591341667E-4</v>
      </c>
      <c r="T193" s="400">
        <f t="shared" si="119"/>
        <v>3.967809076669945E-5</v>
      </c>
      <c r="U193" s="400">
        <f t="shared" si="137"/>
        <v>6.66718837337991E-4</v>
      </c>
      <c r="V193" s="20">
        <f t="shared" si="120"/>
        <v>1.0465785246760641E-2</v>
      </c>
      <c r="W193" s="20">
        <f t="shared" si="121"/>
        <v>1.5338239489025055E-3</v>
      </c>
      <c r="X193" s="389"/>
      <c r="Y193" s="389"/>
      <c r="Z193" s="25">
        <f t="shared" si="134"/>
        <v>9.320332720578886</v>
      </c>
      <c r="AA193" s="392">
        <f t="shared" si="135"/>
        <v>364025.21519678488</v>
      </c>
      <c r="AB193" s="14">
        <f t="shared" si="129"/>
        <v>461383.56499477982</v>
      </c>
      <c r="AC193" s="387"/>
      <c r="AD193" s="388"/>
      <c r="AE193" s="388"/>
      <c r="AF193" s="388"/>
      <c r="AG193" s="388"/>
      <c r="AH193" s="388"/>
      <c r="AI193" s="388"/>
      <c r="AJ193" s="388"/>
    </row>
    <row r="194" spans="1:36">
      <c r="A194">
        <f t="shared" si="114"/>
        <v>2759.9999999999986</v>
      </c>
      <c r="B194" s="4">
        <f t="shared" si="115"/>
        <v>5879.2024336919303</v>
      </c>
      <c r="D194" s="22">
        <f t="shared" si="130"/>
        <v>841.46341463414592</v>
      </c>
      <c r="E194" s="22"/>
      <c r="F194" s="22"/>
      <c r="G194" s="4">
        <f t="shared" si="131"/>
        <v>308.11111111111109</v>
      </c>
      <c r="H194" s="21">
        <f t="shared" si="136"/>
        <v>40537100.780305862</v>
      </c>
      <c r="I194" s="2">
        <f t="shared" si="116"/>
        <v>40.537100780305863</v>
      </c>
      <c r="J194" s="11">
        <f t="shared" si="128"/>
        <v>1.2461843393821215</v>
      </c>
      <c r="K194" s="4">
        <f t="shared" si="117"/>
        <v>1010.6563204820019</v>
      </c>
      <c r="L194" s="4">
        <f t="shared" si="122"/>
        <v>355.55848451730338</v>
      </c>
      <c r="M194" s="161">
        <f t="shared" si="132"/>
        <v>0.15432875061906992</v>
      </c>
      <c r="N194" s="390"/>
      <c r="O194" s="391"/>
      <c r="P194" s="391"/>
      <c r="Q194" s="391"/>
      <c r="R194" s="401">
        <f t="shared" si="118"/>
        <v>909.55588992431353</v>
      </c>
      <c r="S194" s="400">
        <f t="shared" si="133"/>
        <v>8.0302040804757706E-4</v>
      </c>
      <c r="T194" s="400">
        <f t="shared" si="119"/>
        <v>3.9497165641846679E-5</v>
      </c>
      <c r="U194" s="400">
        <f t="shared" si="137"/>
        <v>6.8518681997847939E-4</v>
      </c>
      <c r="V194" s="20">
        <f t="shared" si="120"/>
        <v>1.0458304958709249E-2</v>
      </c>
      <c r="W194" s="20">
        <f t="shared" si="121"/>
        <v>1.526850665955458E-3</v>
      </c>
      <c r="X194" s="389"/>
      <c r="Y194" s="389"/>
      <c r="Z194" s="25">
        <f t="shared" si="134"/>
        <v>9.3091063474104452</v>
      </c>
      <c r="AA194" s="392">
        <f t="shared" si="135"/>
        <v>365609.3526451668</v>
      </c>
      <c r="AB194" s="14">
        <f t="shared" si="129"/>
        <v>461987.83921155689</v>
      </c>
      <c r="AC194" s="387"/>
      <c r="AD194" s="388"/>
      <c r="AE194" s="388"/>
      <c r="AF194" s="388"/>
      <c r="AG194" s="388"/>
      <c r="AH194" s="388"/>
      <c r="AI194" s="388"/>
      <c r="AJ194" s="388"/>
    </row>
    <row r="195" spans="1:36">
      <c r="A195">
        <f t="shared" si="114"/>
        <v>2589.9999999999982</v>
      </c>
      <c r="B195" s="4">
        <f t="shared" si="115"/>
        <v>5865.2244080840428</v>
      </c>
      <c r="D195" s="22">
        <f t="shared" si="130"/>
        <v>789.63414634146284</v>
      </c>
      <c r="E195" s="22"/>
      <c r="F195" s="22"/>
      <c r="G195" s="4">
        <f t="shared" si="131"/>
        <v>306.22222222222223</v>
      </c>
      <c r="H195" s="21">
        <f t="shared" si="136"/>
        <v>40440722.293739475</v>
      </c>
      <c r="I195" s="2">
        <f t="shared" si="116"/>
        <v>40.440722293739476</v>
      </c>
      <c r="J195" s="11">
        <f t="shared" si="128"/>
        <v>1.2451445123563438</v>
      </c>
      <c r="K195" s="4">
        <f t="shared" si="117"/>
        <v>1011.3662969193874</v>
      </c>
      <c r="L195" s="4">
        <f t="shared" si="122"/>
        <v>357.19917916658642</v>
      </c>
      <c r="M195" s="161">
        <f t="shared" si="132"/>
        <v>0.15382023931483402</v>
      </c>
      <c r="N195" s="390"/>
      <c r="O195" s="391"/>
      <c r="P195" s="391"/>
      <c r="Q195" s="391"/>
      <c r="R195" s="401">
        <f t="shared" si="118"/>
        <v>910.74215431475636</v>
      </c>
      <c r="S195" s="400">
        <f t="shared" si="133"/>
        <v>8.2517609951067244E-4</v>
      </c>
      <c r="T195" s="400">
        <f t="shared" si="119"/>
        <v>3.9318205122210272E-5</v>
      </c>
      <c r="U195" s="400">
        <f t="shared" si="137"/>
        <v>7.0429525012838769E-4</v>
      </c>
      <c r="V195" s="20">
        <f t="shared" si="120"/>
        <v>1.0450963256579869E-2</v>
      </c>
      <c r="W195" s="20">
        <f t="shared" si="121"/>
        <v>1.5198375039327115E-3</v>
      </c>
      <c r="X195" s="389"/>
      <c r="Y195" s="389"/>
      <c r="Z195" s="25">
        <f t="shared" si="134"/>
        <v>9.2979566417929593</v>
      </c>
      <c r="AA195" s="392">
        <f t="shared" si="135"/>
        <v>367216.70725009678</v>
      </c>
      <c r="AB195" s="14">
        <f t="shared" si="129"/>
        <v>462590.37472206831</v>
      </c>
      <c r="AC195" s="387"/>
      <c r="AD195" s="388"/>
      <c r="AE195" s="388"/>
      <c r="AF195" s="388"/>
      <c r="AG195" s="388"/>
      <c r="AH195" s="388"/>
      <c r="AI195" s="388"/>
      <c r="AJ195" s="388"/>
    </row>
    <row r="196" spans="1:36">
      <c r="A196">
        <f t="shared" si="114"/>
        <v>2419.9999999999991</v>
      </c>
      <c r="B196" s="4">
        <f t="shared" si="115"/>
        <v>5851.3921140344455</v>
      </c>
      <c r="D196" s="22">
        <f t="shared" si="130"/>
        <v>737.80487804878021</v>
      </c>
      <c r="E196" s="22"/>
      <c r="F196" s="22"/>
      <c r="G196" s="4">
        <f t="shared" si="131"/>
        <v>304.33333333333331</v>
      </c>
      <c r="H196" s="21">
        <f t="shared" si="136"/>
        <v>40345348.6262675</v>
      </c>
      <c r="I196" s="2">
        <f t="shared" si="116"/>
        <v>40.345348626267501</v>
      </c>
      <c r="J196" s="11">
        <f t="shared" si="128"/>
        <v>1.2441169447292519</v>
      </c>
      <c r="K196" s="4">
        <f t="shared" si="117"/>
        <v>1012.0638818458242</v>
      </c>
      <c r="L196" s="4">
        <f t="shared" si="122"/>
        <v>358.86471243330317</v>
      </c>
      <c r="M196" s="161">
        <f t="shared" si="132"/>
        <v>0.15330520041755763</v>
      </c>
      <c r="N196" s="390"/>
      <c r="O196" s="391"/>
      <c r="P196" s="391"/>
      <c r="Q196" s="391"/>
      <c r="R196" s="401">
        <f t="shared" si="118"/>
        <v>911.9250522664554</v>
      </c>
      <c r="S196" s="400">
        <f t="shared" si="133"/>
        <v>8.4808588439171703E-4</v>
      </c>
      <c r="T196" s="400">
        <f t="shared" si="119"/>
        <v>3.9141226583849512E-5</v>
      </c>
      <c r="U196" s="400">
        <f t="shared" si="137"/>
        <v>7.2407046149976933E-4</v>
      </c>
      <c r="V196" s="20">
        <f t="shared" si="120"/>
        <v>1.0443759724702772E-2</v>
      </c>
      <c r="W196" s="20">
        <f t="shared" si="121"/>
        <v>1.5127837596243348E-3</v>
      </c>
      <c r="X196" s="389"/>
      <c r="Y196" s="389"/>
      <c r="Z196" s="25">
        <f t="shared" si="134"/>
        <v>9.2868827346705647</v>
      </c>
      <c r="AA196" s="392">
        <f t="shared" si="135"/>
        <v>368847.64418624848</v>
      </c>
      <c r="AB196" s="14">
        <f t="shared" si="129"/>
        <v>463191.20032802277</v>
      </c>
      <c r="AC196" s="387"/>
      <c r="AD196" s="388"/>
      <c r="AE196" s="388"/>
      <c r="AF196" s="388"/>
      <c r="AG196" s="388"/>
      <c r="AH196" s="388"/>
      <c r="AI196" s="388"/>
      <c r="AJ196" s="388"/>
    </row>
    <row r="197" spans="1:36">
      <c r="A197">
        <f t="shared" si="114"/>
        <v>2250</v>
      </c>
      <c r="B197" s="4">
        <f t="shared" si="115"/>
        <v>5837.7092197426728</v>
      </c>
      <c r="D197" s="22">
        <f t="shared" si="130"/>
        <v>685.97560975609758</v>
      </c>
      <c r="E197" s="22"/>
      <c r="F197" s="22"/>
      <c r="G197" s="4">
        <f t="shared" si="131"/>
        <v>302.44444444444446</v>
      </c>
      <c r="H197" s="21">
        <f t="shared" si="136"/>
        <v>40251005.070125729</v>
      </c>
      <c r="I197" s="2">
        <f t="shared" si="116"/>
        <v>40.251005070125728</v>
      </c>
      <c r="J197" s="11">
        <f t="shared" si="128"/>
        <v>1.2431018688055802</v>
      </c>
      <c r="K197" s="4">
        <f t="shared" si="117"/>
        <v>1012.7490616535548</v>
      </c>
      <c r="L197" s="4">
        <f t="shared" si="122"/>
        <v>360.55573645770812</v>
      </c>
      <c r="M197" s="161">
        <f t="shared" si="132"/>
        <v>0.15278356405879878</v>
      </c>
      <c r="N197" s="390"/>
      <c r="O197" s="391"/>
      <c r="P197" s="391"/>
      <c r="Q197" s="391"/>
      <c r="R197" s="401">
        <f t="shared" si="118"/>
        <v>913.10464097477416</v>
      </c>
      <c r="S197" s="400">
        <f t="shared" si="133"/>
        <v>8.7178035097331601E-4</v>
      </c>
      <c r="T197" s="400">
        <f t="shared" si="119"/>
        <v>3.8966247582681488E-5</v>
      </c>
      <c r="U197" s="400">
        <f t="shared" si="137"/>
        <v>7.4454004405886194E-4</v>
      </c>
      <c r="V197" s="20">
        <f t="shared" si="120"/>
        <v>1.043669395337688E-2</v>
      </c>
      <c r="W197" s="20">
        <f t="shared" si="121"/>
        <v>1.5056887298617047E-3</v>
      </c>
      <c r="X197" s="389"/>
      <c r="Y197" s="389"/>
      <c r="Z197" s="25">
        <f t="shared" si="134"/>
        <v>9.2758837616554555</v>
      </c>
      <c r="AA197" s="392">
        <f t="shared" si="135"/>
        <v>370502.53814102453</v>
      </c>
      <c r="AB197" s="14">
        <f t="shared" si="129"/>
        <v>463790.3450804798</v>
      </c>
      <c r="AC197" s="387"/>
      <c r="AD197" s="388"/>
      <c r="AE197" s="388"/>
      <c r="AF197" s="388"/>
      <c r="AG197" s="388"/>
      <c r="AH197" s="388"/>
      <c r="AI197" s="388"/>
      <c r="AJ197" s="388"/>
    </row>
    <row r="198" spans="1:36">
      <c r="A198">
        <f t="shared" si="114"/>
        <v>2079.9999999999995</v>
      </c>
      <c r="B198" s="4">
        <f t="shared" si="115"/>
        <v>5824.1794435368056</v>
      </c>
      <c r="D198" s="22">
        <f t="shared" si="130"/>
        <v>634.1463414634145</v>
      </c>
      <c r="E198" s="22"/>
      <c r="F198" s="22"/>
      <c r="G198" s="4">
        <f t="shared" si="131"/>
        <v>300.55555555555554</v>
      </c>
      <c r="H198" s="21">
        <f t="shared" si="136"/>
        <v>40157717.263186276</v>
      </c>
      <c r="I198" s="2">
        <f t="shared" si="116"/>
        <v>40.157717263186278</v>
      </c>
      <c r="J198" s="11">
        <f t="shared" si="128"/>
        <v>1.2420995192800917</v>
      </c>
      <c r="K198" s="4">
        <f t="shared" si="117"/>
        <v>1013.4218232641363</v>
      </c>
      <c r="L198" s="4">
        <f t="shared" si="122"/>
        <v>362.27292294439428</v>
      </c>
      <c r="M198" s="161">
        <f t="shared" si="132"/>
        <v>0.1522552600410777</v>
      </c>
      <c r="N198" s="390"/>
      <c r="O198" s="391"/>
      <c r="P198" s="391"/>
      <c r="Q198" s="391"/>
      <c r="R198" s="401">
        <f t="shared" si="118"/>
        <v>914.28097812049225</v>
      </c>
      <c r="S198" s="400">
        <f t="shared" si="133"/>
        <v>8.9629153046821451E-4</v>
      </c>
      <c r="T198" s="400">
        <f t="shared" si="119"/>
        <v>3.879328586488565E-5</v>
      </c>
      <c r="U198" s="400">
        <f t="shared" si="137"/>
        <v>7.6573291225136698E-4</v>
      </c>
      <c r="V198" s="20">
        <f t="shared" si="120"/>
        <v>1.0429765538306239E-2</v>
      </c>
      <c r="W198" s="20">
        <f t="shared" si="121"/>
        <v>1.4985517119497395E-3</v>
      </c>
      <c r="X198" s="389"/>
      <c r="Y198" s="389"/>
      <c r="Z198" s="25">
        <f t="shared" si="134"/>
        <v>9.2649588629258961</v>
      </c>
      <c r="AA198" s="392">
        <f t="shared" si="135"/>
        <v>372181.77358941967</v>
      </c>
      <c r="AB198" s="14">
        <f t="shared" si="129"/>
        <v>464387.83827705495</v>
      </c>
      <c r="AC198" s="387"/>
      <c r="AD198" s="388"/>
      <c r="AE198" s="388"/>
      <c r="AF198" s="388"/>
      <c r="AG198" s="388"/>
      <c r="AH198" s="388"/>
      <c r="AI198" s="388"/>
      <c r="AJ198" s="388"/>
    </row>
    <row r="199" spans="1:36">
      <c r="A199">
        <f t="shared" si="114"/>
        <v>1909.9999999999989</v>
      </c>
      <c r="B199" s="4">
        <f t="shared" si="115"/>
        <v>5810.8065552572352</v>
      </c>
      <c r="D199" s="22">
        <f t="shared" si="130"/>
        <v>582.31707317073142</v>
      </c>
      <c r="E199" s="22"/>
      <c r="F199" s="22"/>
      <c r="G199" s="4">
        <f t="shared" si="131"/>
        <v>298.66666666666669</v>
      </c>
      <c r="H199" s="21">
        <f t="shared" si="136"/>
        <v>40065511.198498636</v>
      </c>
      <c r="I199" s="2">
        <f t="shared" si="116"/>
        <v>40.065511198498633</v>
      </c>
      <c r="J199" s="11">
        <f t="shared" si="128"/>
        <v>1.2411101333518564</v>
      </c>
      <c r="K199" s="4">
        <f t="shared" si="117"/>
        <v>1014.0821541805847</v>
      </c>
      <c r="L199" s="4">
        <f t="shared" si="122"/>
        <v>364.01696382383801</v>
      </c>
      <c r="M199" s="161">
        <f t="shared" si="132"/>
        <v>0.15172021788102108</v>
      </c>
      <c r="N199" s="390"/>
      <c r="O199" s="391"/>
      <c r="P199" s="391"/>
      <c r="Q199" s="391"/>
      <c r="R199" s="401">
        <f t="shared" si="118"/>
        <v>915.45412186279168</v>
      </c>
      <c r="S199" s="400">
        <f t="shared" si="133"/>
        <v>9.2165297474511786E-4</v>
      </c>
      <c r="T199" s="400">
        <f t="shared" si="119"/>
        <v>3.8622359377691692E-5</v>
      </c>
      <c r="U199" s="400">
        <f t="shared" si="137"/>
        <v>7.8767937738595984E-4</v>
      </c>
      <c r="V199" s="20">
        <f t="shared" si="120"/>
        <v>1.042297408003251E-2</v>
      </c>
      <c r="W199" s="20">
        <f t="shared" si="121"/>
        <v>1.4913720041192398E-3</v>
      </c>
      <c r="X199" s="389"/>
      <c r="Y199" s="389"/>
      <c r="Z199" s="25">
        <f t="shared" si="134"/>
        <v>9.2541071831367798</v>
      </c>
      <c r="AA199" s="392">
        <f t="shared" si="135"/>
        <v>373885.74507939676</v>
      </c>
      <c r="AB199" s="14">
        <f t="shared" si="129"/>
        <v>464983.70945835701</v>
      </c>
      <c r="AC199" s="387"/>
      <c r="AD199" s="388"/>
      <c r="AE199" s="388"/>
      <c r="AF199" s="388"/>
      <c r="AG199" s="388"/>
      <c r="AH199" s="388"/>
      <c r="AI199" s="388"/>
      <c r="AJ199" s="388"/>
    </row>
    <row r="200" spans="1:36">
      <c r="A200">
        <f t="shared" si="114"/>
        <v>1739.9999999999984</v>
      </c>
      <c r="B200" s="4">
        <f t="shared" si="115"/>
        <v>5797.5943776823315</v>
      </c>
      <c r="D200" s="22">
        <f t="shared" si="130"/>
        <v>530.48780487804834</v>
      </c>
      <c r="E200" s="22"/>
      <c r="F200" s="22"/>
      <c r="G200" s="4">
        <f t="shared" si="131"/>
        <v>296.77777777777777</v>
      </c>
      <c r="H200" s="21">
        <f t="shared" si="136"/>
        <v>39974413.234119676</v>
      </c>
      <c r="I200" s="2">
        <f t="shared" si="116"/>
        <v>39.974413234119673</v>
      </c>
      <c r="J200" s="11">
        <f t="shared" si="128"/>
        <v>1.2401339508432208</v>
      </c>
      <c r="K200" s="4">
        <f t="shared" si="117"/>
        <v>1014.7300425403519</v>
      </c>
      <c r="L200" s="4">
        <f t="shared" si="122"/>
        <v>365.78857193959124</v>
      </c>
      <c r="M200" s="161">
        <f t="shared" si="132"/>
        <v>0.15117836685460334</v>
      </c>
      <c r="N200" s="390"/>
      <c r="O200" s="391"/>
      <c r="P200" s="391"/>
      <c r="Q200" s="391"/>
      <c r="R200" s="401">
        <f t="shared" si="118"/>
        <v>916.62413083070419</v>
      </c>
      <c r="S200" s="400">
        <f t="shared" si="133"/>
        <v>9.4789983876834676E-4</v>
      </c>
      <c r="T200" s="400">
        <f t="shared" si="119"/>
        <v>3.8453486280567794E-5</v>
      </c>
      <c r="U200" s="400">
        <f t="shared" si="137"/>
        <v>8.104112244573683E-4</v>
      </c>
      <c r="V200" s="20">
        <f t="shared" si="120"/>
        <v>1.0416319183362945E-2</v>
      </c>
      <c r="W200" s="20">
        <f t="shared" si="121"/>
        <v>1.4841489059997579E-3</v>
      </c>
      <c r="X200" s="389"/>
      <c r="Y200" s="389"/>
      <c r="Z200" s="25">
        <f t="shared" si="134"/>
        <v>9.243327871342597</v>
      </c>
      <c r="AA200" s="392">
        <f t="shared" si="135"/>
        <v>375614.85752821097</v>
      </c>
      <c r="AB200" s="14">
        <f t="shared" si="129"/>
        <v>465577.98840364424</v>
      </c>
      <c r="AC200" s="387"/>
      <c r="AD200" s="388"/>
      <c r="AE200" s="388"/>
      <c r="AF200" s="388"/>
      <c r="AG200" s="388"/>
      <c r="AH200" s="388"/>
      <c r="AI200" s="388"/>
      <c r="AJ200" s="388"/>
    </row>
    <row r="201" spans="1:36">
      <c r="A201">
        <f t="shared" si="114"/>
        <v>1569.999999999998</v>
      </c>
      <c r="B201" s="4">
        <f t="shared" si="115"/>
        <v>5784.546787997715</v>
      </c>
      <c r="D201" s="22">
        <f t="shared" si="130"/>
        <v>478.65853658536525</v>
      </c>
      <c r="E201" s="22"/>
      <c r="F201" s="22"/>
      <c r="G201" s="4">
        <f t="shared" si="131"/>
        <v>294.88888888888886</v>
      </c>
      <c r="H201" s="21">
        <f t="shared" si="136"/>
        <v>39884450.103244245</v>
      </c>
      <c r="I201" s="2">
        <f t="shared" si="116"/>
        <v>39.884450103244248</v>
      </c>
      <c r="J201" s="11">
        <f t="shared" si="128"/>
        <v>1.2391712143236695</v>
      </c>
      <c r="K201" s="4">
        <f t="shared" si="117"/>
        <v>1015.3654771691572</v>
      </c>
      <c r="L201" s="4">
        <f t="shared" si="122"/>
        <v>367.58848176228076</v>
      </c>
      <c r="M201" s="161">
        <f t="shared" si="132"/>
        <v>0.15062963604454427</v>
      </c>
      <c r="N201" s="390"/>
      <c r="O201" s="391"/>
      <c r="P201" s="391"/>
      <c r="Q201" s="391"/>
      <c r="R201" s="401">
        <f t="shared" si="118"/>
        <v>917.79106411299097</v>
      </c>
      <c r="S201" s="400">
        <f t="shared" si="133"/>
        <v>9.7506896806947403E-4</v>
      </c>
      <c r="T201" s="400">
        <f t="shared" si="119"/>
        <v>3.828668495682715E-5</v>
      </c>
      <c r="U201" s="400">
        <f t="shared" si="137"/>
        <v>8.339617937112388E-4</v>
      </c>
      <c r="V201" s="20">
        <f t="shared" si="120"/>
        <v>1.0409800456793423E-2</v>
      </c>
      <c r="W201" s="20">
        <f t="shared" si="121"/>
        <v>1.4768817191133897E-3</v>
      </c>
      <c r="X201" s="389"/>
      <c r="Y201" s="389"/>
      <c r="Z201" s="25">
        <f t="shared" si="134"/>
        <v>9.232620080932854</v>
      </c>
      <c r="AA201" s="392">
        <f t="shared" si="135"/>
        <v>377369.5265301711</v>
      </c>
      <c r="AB201" s="14">
        <f t="shared" si="129"/>
        <v>466170.70512568392</v>
      </c>
      <c r="AC201" s="387"/>
      <c r="AD201" s="388"/>
      <c r="AE201" s="388"/>
      <c r="AF201" s="388"/>
      <c r="AG201" s="388"/>
      <c r="AH201" s="388"/>
      <c r="AI201" s="388"/>
      <c r="AJ201" s="388"/>
    </row>
    <row r="202" spans="1:36">
      <c r="A202">
        <f t="shared" si="114"/>
        <v>1400.0000000000005</v>
      </c>
      <c r="B202" s="4">
        <f t="shared" si="115"/>
        <v>5771.6677193109108</v>
      </c>
      <c r="D202" s="22">
        <f t="shared" si="130"/>
        <v>426.82926829268308</v>
      </c>
      <c r="E202" s="22"/>
      <c r="F202" s="22"/>
      <c r="G202" s="4">
        <f t="shared" si="131"/>
        <v>293</v>
      </c>
      <c r="H202" s="21">
        <f t="shared" si="136"/>
        <v>39795648.924648732</v>
      </c>
      <c r="I202" s="2">
        <f t="shared" si="116"/>
        <v>39.795648924648731</v>
      </c>
      <c r="J202" s="11">
        <f t="shared" si="128"/>
        <v>1.2382221692387883</v>
      </c>
      <c r="K202" s="4">
        <f t="shared" si="117"/>
        <v>1015.9884476357055</v>
      </c>
      <c r="L202" s="4">
        <f t="shared" si="122"/>
        <v>369.41745013163495</v>
      </c>
      <c r="M202" s="161">
        <f t="shared" si="132"/>
        <v>0.15007395438992235</v>
      </c>
      <c r="N202" s="390"/>
      <c r="O202" s="391"/>
      <c r="P202" s="391"/>
      <c r="Q202" s="391"/>
      <c r="R202" s="401">
        <f t="shared" si="118"/>
        <v>918.95498124643302</v>
      </c>
      <c r="S202" s="400">
        <f t="shared" si="133"/>
        <v>1.003198991593059E-3</v>
      </c>
      <c r="T202" s="400">
        <f t="shared" si="119"/>
        <v>3.812197402567111E-5</v>
      </c>
      <c r="U202" s="400">
        <f t="shared" si="137"/>
        <v>8.5836606727588858E-4</v>
      </c>
      <c r="V202" s="20">
        <f t="shared" si="120"/>
        <v>1.0403417511925955E-2</v>
      </c>
      <c r="W202" s="20">
        <f t="shared" si="121"/>
        <v>1.4695697473898739E-3</v>
      </c>
      <c r="X202" s="389"/>
      <c r="Y202" s="389"/>
      <c r="Z202" s="25">
        <f t="shared" si="134"/>
        <v>9.2219829695797042</v>
      </c>
      <c r="AA202" s="392">
        <f t="shared" si="135"/>
        <v>379150.17867632682</v>
      </c>
      <c r="AB202" s="14">
        <f t="shared" si="129"/>
        <v>466761.88986480416</v>
      </c>
      <c r="AC202" s="387"/>
      <c r="AD202" s="388"/>
      <c r="AE202" s="388"/>
      <c r="AF202" s="388"/>
      <c r="AG202" s="388"/>
      <c r="AH202" s="388"/>
      <c r="AI202" s="388"/>
      <c r="AJ202" s="388"/>
    </row>
    <row r="203" spans="1:36">
      <c r="A203">
        <f t="shared" si="114"/>
        <v>1230</v>
      </c>
      <c r="B203" s="4">
        <f t="shared" si="115"/>
        <v>5758.9611622132352</v>
      </c>
      <c r="D203" s="22">
        <f t="shared" si="130"/>
        <v>375</v>
      </c>
      <c r="E203" s="22"/>
      <c r="F203" s="22"/>
      <c r="G203" s="4">
        <f t="shared" si="131"/>
        <v>291.11111111111114</v>
      </c>
      <c r="H203" s="21">
        <f t="shared" si="136"/>
        <v>39708037.213460259</v>
      </c>
      <c r="I203" s="2">
        <f t="shared" si="116"/>
        <v>39.708037213460258</v>
      </c>
      <c r="J203" s="11">
        <f t="shared" si="128"/>
        <v>1.2372870640445488</v>
      </c>
      <c r="K203" s="4">
        <f t="shared" si="117"/>
        <v>1016.5989443073156</v>
      </c>
      <c r="L203" s="4">
        <f t="shared" si="122"/>
        <v>371.27625702781921</v>
      </c>
      <c r="M203" s="161">
        <f t="shared" si="132"/>
        <v>0.1495112507380647</v>
      </c>
      <c r="N203" s="390"/>
      <c r="O203" s="391"/>
      <c r="P203" s="391"/>
      <c r="Q203" s="391"/>
      <c r="R203" s="401">
        <f t="shared" si="118"/>
        <v>920.11594220250913</v>
      </c>
      <c r="S203" s="400">
        <f t="shared" si="133"/>
        <v>1.0323304202839133E-3</v>
      </c>
      <c r="T203" s="400">
        <f t="shared" si="119"/>
        <v>3.7959372354688837E-5</v>
      </c>
      <c r="U203" s="400">
        <f t="shared" si="137"/>
        <v>8.8366076121029486E-4</v>
      </c>
      <c r="V203" s="20">
        <f t="shared" si="120"/>
        <v>1.0397169962880221E-2</v>
      </c>
      <c r="W203" s="20">
        <f t="shared" si="121"/>
        <v>1.4622122977033796E-3</v>
      </c>
      <c r="X203" s="389"/>
      <c r="Y203" s="389"/>
      <c r="Z203" s="25">
        <f t="shared" si="134"/>
        <v>9.2114156991978291</v>
      </c>
      <c r="AA203" s="392">
        <f t="shared" si="135"/>
        <v>380957.25188662013</v>
      </c>
      <c r="AB203" s="14">
        <f t="shared" si="129"/>
        <v>467351.57308212819</v>
      </c>
      <c r="AC203" s="387"/>
      <c r="AD203" s="388"/>
      <c r="AE203" s="388"/>
      <c r="AF203" s="388"/>
      <c r="AG203" s="388"/>
      <c r="AH203" s="388"/>
      <c r="AI203" s="388"/>
      <c r="AJ203" s="388"/>
    </row>
    <row r="204" spans="1:36">
      <c r="A204">
        <f t="shared" si="114"/>
        <v>1059.9999999999993</v>
      </c>
      <c r="B204" s="4">
        <f t="shared" si="115"/>
        <v>5746.4311663908275</v>
      </c>
      <c r="D204" s="22">
        <f t="shared" si="130"/>
        <v>323.17073170731692</v>
      </c>
      <c r="E204" s="22"/>
      <c r="F204" s="22"/>
      <c r="G204" s="4">
        <f t="shared" si="131"/>
        <v>289.22222222222223</v>
      </c>
      <c r="H204" s="21">
        <f t="shared" si="136"/>
        <v>39621642.892264754</v>
      </c>
      <c r="I204" s="2">
        <f t="shared" si="116"/>
        <v>39.621642892264752</v>
      </c>
      <c r="J204" s="11">
        <f t="shared" si="128"/>
        <v>1.2363661503471399</v>
      </c>
      <c r="K204" s="4">
        <f t="shared" si="117"/>
        <v>1017.1969584064964</v>
      </c>
      <c r="L204" s="4">
        <f t="shared" si="122"/>
        <v>373.16570637342818</v>
      </c>
      <c r="M204" s="161">
        <f t="shared" si="132"/>
        <v>0.14894145389877336</v>
      </c>
      <c r="N204" s="390"/>
      <c r="O204" s="391"/>
      <c r="P204" s="391"/>
      <c r="Q204" s="391"/>
      <c r="R204" s="401">
        <f t="shared" si="118"/>
        <v>921.27400737244386</v>
      </c>
      <c r="S204" s="400">
        <f t="shared" si="133"/>
        <v>1.0625057518113062E-3</v>
      </c>
      <c r="T204" s="400">
        <f t="shared" si="119"/>
        <v>3.7798899072833509E-5</v>
      </c>
      <c r="U204" s="400">
        <f t="shared" si="137"/>
        <v>9.0988442334440187E-4</v>
      </c>
      <c r="V204" s="20">
        <f t="shared" si="120"/>
        <v>1.0391057425698512E-2</v>
      </c>
      <c r="W204" s="20">
        <f t="shared" si="121"/>
        <v>1.4548086804313457E-3</v>
      </c>
      <c r="X204" s="389"/>
      <c r="Y204" s="389"/>
      <c r="Z204" s="25">
        <f t="shared" si="134"/>
        <v>9.2009174359162902</v>
      </c>
      <c r="AA204" s="392">
        <f t="shared" si="135"/>
        <v>382791.19575503992</v>
      </c>
      <c r="AB204" s="14">
        <f t="shared" si="129"/>
        <v>467939.7854519792</v>
      </c>
      <c r="AC204" s="387"/>
      <c r="AD204" s="388"/>
      <c r="AE204" s="388"/>
      <c r="AF204" s="388"/>
      <c r="AG204" s="388"/>
      <c r="AH204" s="388"/>
      <c r="AI204" s="388"/>
      <c r="AJ204" s="388"/>
    </row>
    <row r="205" spans="1:36">
      <c r="A205">
        <f t="shared" si="114"/>
        <v>889.99999999999898</v>
      </c>
      <c r="B205" s="4">
        <f t="shared" si="115"/>
        <v>5734.0818422868479</v>
      </c>
      <c r="D205" s="22">
        <f t="shared" si="130"/>
        <v>271.34146341463384</v>
      </c>
      <c r="E205" s="22"/>
      <c r="F205" s="22"/>
      <c r="G205" s="4">
        <f t="shared" si="131"/>
        <v>287.33333333333331</v>
      </c>
      <c r="H205" s="21">
        <f t="shared" si="136"/>
        <v>39536494.302567817</v>
      </c>
      <c r="I205" s="2">
        <f t="shared" si="116"/>
        <v>39.536494302567817</v>
      </c>
      <c r="J205" s="11">
        <f t="shared" si="128"/>
        <v>1.235459683048586</v>
      </c>
      <c r="K205" s="4">
        <f t="shared" si="117"/>
        <v>1017.7824820684947</v>
      </c>
      <c r="L205" s="4">
        <f t="shared" si="122"/>
        <v>375.08662686755821</v>
      </c>
      <c r="M205" s="161">
        <f t="shared" si="132"/>
        <v>0.14836449270094543</v>
      </c>
      <c r="N205" s="390"/>
      <c r="O205" s="391"/>
      <c r="P205" s="391"/>
      <c r="Q205" s="391"/>
      <c r="R205" s="401">
        <f t="shared" si="118"/>
        <v>922.42923755060747</v>
      </c>
      <c r="S205" s="400">
        <f t="shared" si="133"/>
        <v>1.0937695818553932E-3</v>
      </c>
      <c r="T205" s="400">
        <f t="shared" si="119"/>
        <v>3.7640573583896849E-5</v>
      </c>
      <c r="U205" s="400">
        <f t="shared" si="137"/>
        <v>9.3707753731643996E-4</v>
      </c>
      <c r="V205" s="20">
        <f t="shared" si="120"/>
        <v>1.0385079517743598E-2</v>
      </c>
      <c r="W205" s="20">
        <f t="shared" si="121"/>
        <v>1.4473582100357014E-3</v>
      </c>
      <c r="X205" s="389"/>
      <c r="Y205" s="389"/>
      <c r="Z205" s="25">
        <f t="shared" si="134"/>
        <v>9.190487350062309</v>
      </c>
      <c r="AA205" s="392">
        <f t="shared" si="135"/>
        <v>384652.47190836334</v>
      </c>
      <c r="AB205" s="14">
        <f t="shared" si="129"/>
        <v>468526.55785344884</v>
      </c>
      <c r="AC205" s="387"/>
      <c r="AD205" s="388"/>
      <c r="AE205" s="388"/>
      <c r="AF205" s="388"/>
      <c r="AG205" s="388"/>
      <c r="AH205" s="388"/>
      <c r="AI205" s="388"/>
      <c r="AJ205" s="388"/>
    </row>
    <row r="206" spans="1:36">
      <c r="A206">
        <f t="shared" si="114"/>
        <v>719.99999999999841</v>
      </c>
      <c r="B206" s="4">
        <f t="shared" si="115"/>
        <v>5721.9173628169301</v>
      </c>
      <c r="D206" s="22">
        <f t="shared" si="130"/>
        <v>219.51219512195075</v>
      </c>
      <c r="E206" s="22"/>
      <c r="F206" s="22"/>
      <c r="G206" s="4">
        <f t="shared" si="131"/>
        <v>285.44444444444446</v>
      </c>
      <c r="H206" s="21">
        <f t="shared" si="136"/>
        <v>39452620.216622733</v>
      </c>
      <c r="I206" s="2">
        <f t="shared" si="116"/>
        <v>39.452620216622734</v>
      </c>
      <c r="J206" s="11">
        <f t="shared" si="128"/>
        <v>1.2345679204983977</v>
      </c>
      <c r="K206" s="4">
        <f t="shared" si="117"/>
        <v>1018.3555083998541</v>
      </c>
      <c r="L206" s="4">
        <f t="shared" si="122"/>
        <v>377.03987285345187</v>
      </c>
      <c r="M206" s="161">
        <f t="shared" si="132"/>
        <v>0.14778029605164772</v>
      </c>
      <c r="N206" s="390"/>
      <c r="O206" s="391"/>
      <c r="P206" s="391"/>
      <c r="Q206" s="391"/>
      <c r="R206" s="401">
        <f t="shared" si="118"/>
        <v>923.58169391625631</v>
      </c>
      <c r="S206" s="400">
        <f t="shared" si="133"/>
        <v>1.1261687224138073E-3</v>
      </c>
      <c r="T206" s="400">
        <f t="shared" si="119"/>
        <v>3.7484415580504128E-5</v>
      </c>
      <c r="U206" s="400">
        <f t="shared" si="137"/>
        <v>9.652826332431989E-4</v>
      </c>
      <c r="V206" s="20">
        <f t="shared" si="120"/>
        <v>1.0379235857088902E-2</v>
      </c>
      <c r="W206" s="20">
        <f t="shared" si="121"/>
        <v>1.4398602056668074E-3</v>
      </c>
      <c r="X206" s="389"/>
      <c r="Y206" s="389"/>
      <c r="Z206" s="25">
        <f t="shared" si="134"/>
        <v>9.1801246161566645</v>
      </c>
      <c r="AA206" s="392">
        <f t="shared" si="135"/>
        <v>386541.55437909364</v>
      </c>
      <c r="AB206" s="14">
        <f t="shared" si="129"/>
        <v>469111.92136112286</v>
      </c>
      <c r="AC206" s="387"/>
      <c r="AD206" s="388"/>
      <c r="AE206" s="388"/>
      <c r="AF206" s="388"/>
      <c r="AG206" s="388"/>
      <c r="AH206" s="388"/>
      <c r="AI206" s="388"/>
      <c r="AJ206" s="388"/>
    </row>
    <row r="207" spans="1:36">
      <c r="A207">
        <f t="shared" si="114"/>
        <v>549.99999999999795</v>
      </c>
      <c r="B207" s="4">
        <f t="shared" si="115"/>
        <v>5709.9419651400576</v>
      </c>
      <c r="D207" s="22">
        <f t="shared" si="130"/>
        <v>167.68292682926767</v>
      </c>
      <c r="E207" s="22"/>
      <c r="F207" s="22"/>
      <c r="G207" s="4">
        <f t="shared" si="131"/>
        <v>283.55555555555554</v>
      </c>
      <c r="H207" s="21">
        <f t="shared" si="136"/>
        <v>39370049.849640697</v>
      </c>
      <c r="I207" s="2">
        <f t="shared" si="116"/>
        <v>39.370049849640701</v>
      </c>
      <c r="J207" s="11">
        <f t="shared" si="128"/>
        <v>1.2336911246515172</v>
      </c>
      <c r="K207" s="4">
        <f t="shared" si="117"/>
        <v>1018.9160315380187</v>
      </c>
      <c r="L207" s="4">
        <f t="shared" si="122"/>
        <v>379.02632522129062</v>
      </c>
      <c r="M207" s="161">
        <f t="shared" si="132"/>
        <v>0.14718879299770224</v>
      </c>
      <c r="N207" s="390"/>
      <c r="O207" s="391"/>
      <c r="P207" s="391"/>
      <c r="Q207" s="391"/>
      <c r="R207" s="401">
        <f t="shared" si="118"/>
        <v>924.73143801360527</v>
      </c>
      <c r="S207" s="400">
        <f t="shared" si="133"/>
        <v>1.1597523276214515E-3</v>
      </c>
      <c r="T207" s="400">
        <f t="shared" si="119"/>
        <v>3.7330445058653292E-5</v>
      </c>
      <c r="U207" s="400">
        <f t="shared" si="137"/>
        <v>9.9454440549282441E-4</v>
      </c>
      <c r="V207" s="20">
        <f t="shared" si="120"/>
        <v>1.0373526061900397E-2</v>
      </c>
      <c r="W207" s="20">
        <f t="shared" si="121"/>
        <v>1.432313991790413E-3</v>
      </c>
      <c r="X207" s="389"/>
      <c r="Y207" s="389"/>
      <c r="Z207" s="25">
        <f t="shared" si="134"/>
        <v>9.1698284129206016</v>
      </c>
      <c r="AA207" s="392">
        <f t="shared" si="135"/>
        <v>388458.92999322858</v>
      </c>
      <c r="AB207" s="14">
        <f t="shared" si="129"/>
        <v>469695.9072349593</v>
      </c>
      <c r="AC207" s="387"/>
      <c r="AD207" s="388"/>
      <c r="AE207" s="388"/>
      <c r="AF207" s="388"/>
      <c r="AG207" s="388"/>
      <c r="AH207" s="388"/>
      <c r="AI207" s="388"/>
      <c r="AJ207" s="388"/>
    </row>
    <row r="208" spans="1:36">
      <c r="A208">
        <f t="shared" si="114"/>
        <v>380.0000000000004</v>
      </c>
      <c r="B208" s="4">
        <f t="shared" si="115"/>
        <v>5698.1599524871599</v>
      </c>
      <c r="D208" s="22">
        <f t="shared" si="130"/>
        <v>115.8536585365855</v>
      </c>
      <c r="E208" s="22"/>
      <c r="F208" s="22"/>
      <c r="G208" s="4">
        <f t="shared" si="131"/>
        <v>281.66666666666669</v>
      </c>
      <c r="H208" s="21">
        <f t="shared" si="136"/>
        <v>39288812.872398965</v>
      </c>
      <c r="I208" s="2">
        <f t="shared" si="116"/>
        <v>39.288812872398964</v>
      </c>
      <c r="J208" s="11">
        <f t="shared" si="128"/>
        <v>1.2328295612328262</v>
      </c>
      <c r="K208" s="4">
        <f t="shared" si="117"/>
        <v>1019.4640467120165</v>
      </c>
      <c r="L208" s="4">
        <f t="shared" si="122"/>
        <v>381.04689234779318</v>
      </c>
      <c r="M208" s="161">
        <f t="shared" si="132"/>
        <v>0.14658991278984002</v>
      </c>
      <c r="N208" s="390"/>
      <c r="O208" s="391"/>
      <c r="P208" s="391"/>
      <c r="Q208" s="391"/>
      <c r="R208" s="401">
        <f t="shared" si="118"/>
        <v>925.87853173022711</v>
      </c>
      <c r="S208" s="400">
        <f t="shared" si="133"/>
        <v>1.1945720276149057E-3</v>
      </c>
      <c r="T208" s="400">
        <f t="shared" si="119"/>
        <v>3.7178682332823004E-5</v>
      </c>
      <c r="U208" s="400">
        <f t="shared" si="137"/>
        <v>1.0249098380664639E-3</v>
      </c>
      <c r="V208" s="20">
        <f t="shared" si="120"/>
        <v>1.0367949749809631E-2</v>
      </c>
      <c r="W208" s="20">
        <f t="shared" si="121"/>
        <v>1.4247188988379168E-3</v>
      </c>
      <c r="X208" s="389"/>
      <c r="Y208" s="389"/>
      <c r="Z208" s="25">
        <f t="shared" si="134"/>
        <v>9.1595979232938998</v>
      </c>
      <c r="AA208" s="392">
        <f t="shared" si="135"/>
        <v>390405.09877353511</v>
      </c>
      <c r="AB208" s="14">
        <f t="shared" si="129"/>
        <v>470278.54690931656</v>
      </c>
      <c r="AC208" s="387"/>
      <c r="AD208" s="388"/>
      <c r="AE208" s="388"/>
      <c r="AF208" s="388"/>
      <c r="AG208" s="388"/>
      <c r="AH208" s="388"/>
      <c r="AI208" s="388"/>
      <c r="AJ208" s="388"/>
    </row>
    <row r="209" spans="1:36">
      <c r="A209">
        <f t="shared" si="114"/>
        <v>209.99999999999991</v>
      </c>
      <c r="B209" s="4">
        <f t="shared" si="115"/>
        <v>5686.575696049772</v>
      </c>
      <c r="D209" s="22">
        <f t="shared" si="130"/>
        <v>64.024390243902417</v>
      </c>
      <c r="E209" s="22"/>
      <c r="F209" s="22"/>
      <c r="G209" s="4">
        <f t="shared" si="131"/>
        <v>279.77777777777777</v>
      </c>
      <c r="H209" s="21">
        <f t="shared" si="136"/>
        <v>39208939.424263179</v>
      </c>
      <c r="I209" s="2">
        <f t="shared" si="116"/>
        <v>39.208939424263178</v>
      </c>
      <c r="J209" s="11">
        <f t="shared" si="128"/>
        <v>1.2319834999084993</v>
      </c>
      <c r="K209" s="4">
        <f t="shared" si="117"/>
        <v>1019.9995503042628</v>
      </c>
      <c r="L209" s="4">
        <f t="shared" si="122"/>
        <v>383.10251107436841</v>
      </c>
      <c r="M209" s="161">
        <f t="shared" si="132"/>
        <v>0.14598358494947808</v>
      </c>
      <c r="N209" s="390"/>
      <c r="O209" s="391"/>
      <c r="P209" s="391"/>
      <c r="Q209" s="391"/>
      <c r="R209" s="401">
        <f t="shared" si="118"/>
        <v>927.02303727377443</v>
      </c>
      <c r="S209" s="400">
        <f t="shared" si="133"/>
        <v>1.2306820710141224E-3</v>
      </c>
      <c r="T209" s="400">
        <f t="shared" si="119"/>
        <v>3.7029148051675175E-5</v>
      </c>
      <c r="U209" s="400">
        <f t="shared" si="137"/>
        <v>1.0564283381346413E-3</v>
      </c>
      <c r="V209" s="20">
        <f t="shared" si="120"/>
        <v>1.0362506537277235E-2</v>
      </c>
      <c r="W209" s="20">
        <f t="shared" si="121"/>
        <v>1.4170742638801774E-3</v>
      </c>
      <c r="X209" s="389"/>
      <c r="Y209" s="389"/>
      <c r="Z209" s="25">
        <f t="shared" si="134"/>
        <v>9.1494323344638619</v>
      </c>
      <c r="AA209" s="392">
        <f t="shared" si="135"/>
        <v>392380.57435902953</v>
      </c>
      <c r="AB209" s="14">
        <f t="shared" si="129"/>
        <v>470859.87198113062</v>
      </c>
      <c r="AC209" s="387"/>
      <c r="AD209" s="388"/>
      <c r="AE209" s="388"/>
      <c r="AF209" s="388"/>
      <c r="AG209" s="388"/>
      <c r="AH209" s="388"/>
      <c r="AI209" s="388"/>
      <c r="AJ209" s="388"/>
    </row>
    <row r="210" spans="1:36">
      <c r="A210">
        <f t="shared" si="114"/>
        <v>39.999999999999417</v>
      </c>
      <c r="B210" s="4">
        <f t="shared" si="115"/>
        <v>5675.1936369312662</v>
      </c>
      <c r="D210" s="22">
        <f t="shared" si="130"/>
        <v>12.195121951219335</v>
      </c>
      <c r="E210" s="22"/>
      <c r="F210" s="22"/>
      <c r="G210" s="4">
        <f t="shared" si="131"/>
        <v>277.88888888888891</v>
      </c>
      <c r="H210" s="21">
        <f t="shared" si="136"/>
        <v>39130460.12664108</v>
      </c>
      <c r="I210" s="2">
        <f t="shared" si="116"/>
        <v>39.130460126641083</v>
      </c>
      <c r="J210" s="11">
        <f t="shared" si="128"/>
        <v>1.2311532144645012</v>
      </c>
      <c r="K210" s="4">
        <f t="shared" si="117"/>
        <v>1020.5225399135257</v>
      </c>
      <c r="L210" s="4">
        <f t="shared" si="122"/>
        <v>385.19414772566319</v>
      </c>
      <c r="M210" s="161">
        <f t="shared" si="132"/>
        <v>0.14536973933817499</v>
      </c>
      <c r="N210" s="390"/>
      <c r="O210" s="391"/>
      <c r="P210" s="391"/>
      <c r="Q210" s="391"/>
      <c r="R210" s="401">
        <f t="shared" si="118"/>
        <v>928.1650171470344</v>
      </c>
      <c r="S210" s="400">
        <f t="shared" si="133"/>
        <v>1.2681394766393792E-3</v>
      </c>
      <c r="T210" s="400">
        <f t="shared" si="119"/>
        <v>3.6881863214379508E-5</v>
      </c>
      <c r="U210" s="400">
        <f t="shared" si="137"/>
        <v>1.0891518783176435E-3</v>
      </c>
      <c r="V210" s="20">
        <f t="shared" si="120"/>
        <v>1.0357196038946279E-2</v>
      </c>
      <c r="W210" s="20">
        <f t="shared" si="121"/>
        <v>1.4093794313251166E-3</v>
      </c>
      <c r="X210" s="389"/>
      <c r="Y210" s="389"/>
      <c r="Z210" s="25">
        <f t="shared" si="134"/>
        <v>9.1393308379048985</v>
      </c>
      <c r="AA210" s="392">
        <f t="shared" si="135"/>
        <v>394385.88444141508</v>
      </c>
      <c r="AB210" s="14">
        <f t="shared" si="129"/>
        <v>471439.91419724375</v>
      </c>
      <c r="AC210" s="387"/>
      <c r="AD210" s="388"/>
      <c r="AE210" s="388"/>
      <c r="AF210" s="388"/>
      <c r="AG210" s="388"/>
      <c r="AH210" s="388"/>
      <c r="AI210" s="388"/>
      <c r="AJ210" s="388"/>
    </row>
    <row r="211" spans="1:36">
      <c r="A211">
        <f t="shared" si="114"/>
        <v>-130.00000000000108</v>
      </c>
      <c r="B211" s="4">
        <f t="shared" si="115"/>
        <v>5664.0182881631981</v>
      </c>
      <c r="D211" s="22">
        <f t="shared" si="130"/>
        <v>-39.634146341463747</v>
      </c>
      <c r="E211" s="22"/>
      <c r="F211" s="22"/>
      <c r="G211" s="4">
        <f t="shared" si="131"/>
        <v>277.44444444444446</v>
      </c>
      <c r="H211" s="21">
        <f t="shared" si="136"/>
        <v>39053406.096885249</v>
      </c>
      <c r="I211" s="2">
        <f t="shared" si="116"/>
        <v>39.053406096885247</v>
      </c>
      <c r="J211" s="11">
        <f t="shared" si="128"/>
        <v>1.2303389829925306</v>
      </c>
      <c r="K211" s="4">
        <f t="shared" si="117"/>
        <v>1020.6144390897862</v>
      </c>
      <c r="L211" s="4">
        <f t="shared" si="122"/>
        <v>385.3063008167378</v>
      </c>
      <c r="M211" s="161">
        <f t="shared" si="132"/>
        <v>0.14534476065003929</v>
      </c>
      <c r="N211" s="390"/>
      <c r="O211" s="391"/>
      <c r="P211" s="391"/>
      <c r="Q211" s="391"/>
      <c r="R211" s="401">
        <f t="shared" si="118"/>
        <v>928.27572979346792</v>
      </c>
      <c r="S211" s="400">
        <f t="shared" si="133"/>
        <v>1.2771552230200938E-3</v>
      </c>
      <c r="T211" s="400">
        <f t="shared" si="119"/>
        <v>3.6794893538872098E-5</v>
      </c>
      <c r="U211" s="400">
        <f t="shared" si="137"/>
        <v>1.0968753478118418E-3</v>
      </c>
      <c r="V211" s="20">
        <f t="shared" si="120"/>
        <v>1.0356263446041562E-2</v>
      </c>
      <c r="W211" s="20">
        <f t="shared" si="121"/>
        <v>1.4089691959892679E-3</v>
      </c>
      <c r="X211" s="389"/>
      <c r="Y211" s="389"/>
      <c r="Z211" s="25">
        <f t="shared" si="134"/>
        <v>9.1382878367717293</v>
      </c>
      <c r="AA211" s="392">
        <f t="shared" si="135"/>
        <v>473880.23706068966</v>
      </c>
      <c r="AB211" s="14">
        <f t="shared" si="129"/>
        <v>0</v>
      </c>
      <c r="AC211" s="387"/>
      <c r="AD211" s="388"/>
      <c r="AE211" s="388"/>
      <c r="AF211" s="388"/>
      <c r="AG211" s="388"/>
      <c r="AH211" s="388"/>
      <c r="AI211" s="388"/>
      <c r="AJ211" s="388"/>
    </row>
    <row r="212" spans="1:36">
      <c r="A212">
        <f t="shared" si="114"/>
        <v>-300.00000000000159</v>
      </c>
      <c r="B212" s="4">
        <f t="shared" si="115"/>
        <v>5732.746386359092</v>
      </c>
      <c r="D212" s="22">
        <f t="shared" si="130"/>
        <v>-91.463414634146829</v>
      </c>
      <c r="E212" s="22"/>
      <c r="F212" s="22"/>
      <c r="G212" s="4">
        <f t="shared" si="131"/>
        <v>277.44444444444446</v>
      </c>
      <c r="H212" s="21">
        <f t="shared" si="136"/>
        <v>39527286.333945937</v>
      </c>
      <c r="I212" s="2">
        <f t="shared" si="116"/>
        <v>39.527286333945938</v>
      </c>
      <c r="J212" s="11">
        <f t="shared" si="128"/>
        <v>1.2353617272778452</v>
      </c>
      <c r="K212" s="4">
        <f t="shared" si="117"/>
        <v>1020.8509058591724</v>
      </c>
      <c r="L212" s="4">
        <f t="shared" si="122"/>
        <v>388.3960779078576</v>
      </c>
      <c r="M212" s="161">
        <f t="shared" si="132"/>
        <v>0.14438403847898876</v>
      </c>
      <c r="N212" s="390"/>
      <c r="O212" s="391"/>
      <c r="P212" s="391"/>
      <c r="Q212" s="391"/>
      <c r="R212" s="401">
        <f t="shared" si="118"/>
        <v>929.53452364402756</v>
      </c>
      <c r="S212" s="400">
        <f t="shared" si="133"/>
        <v>1.2771552230200938E-3</v>
      </c>
      <c r="T212" s="400">
        <f t="shared" si="119"/>
        <v>3.7221140566730539E-5</v>
      </c>
      <c r="U212" s="400">
        <f t="shared" si="137"/>
        <v>1.0981285327477377E-3</v>
      </c>
      <c r="V212" s="20">
        <f t="shared" si="120"/>
        <v>1.0353864552975059E-2</v>
      </c>
      <c r="W212" s="20">
        <f t="shared" si="121"/>
        <v>1.397760532999386E-3</v>
      </c>
      <c r="X212" s="389"/>
      <c r="Y212" s="389"/>
      <c r="Z212" s="25">
        <f t="shared" si="134"/>
        <v>9.1277185800658298</v>
      </c>
      <c r="AA212" s="392">
        <f t="shared" si="135"/>
        <v>473515.21159017517</v>
      </c>
      <c r="AB212" s="14">
        <f t="shared" si="129"/>
        <v>0</v>
      </c>
      <c r="AC212" s="387"/>
      <c r="AD212" s="388"/>
      <c r="AE212" s="388"/>
      <c r="AF212" s="388"/>
      <c r="AG212" s="388"/>
      <c r="AH212" s="388"/>
      <c r="AI212" s="388"/>
      <c r="AJ212" s="388"/>
    </row>
    <row r="213" spans="1:36">
      <c r="A213">
        <f t="shared" si="114"/>
        <v>-470.0000000000021</v>
      </c>
      <c r="B213" s="4">
        <f t="shared" si="115"/>
        <v>5801.4215439501259</v>
      </c>
      <c r="D213" s="22">
        <f t="shared" si="130"/>
        <v>-143.29268292682991</v>
      </c>
      <c r="E213" s="22"/>
      <c r="F213" s="22"/>
      <c r="G213" s="4">
        <f t="shared" si="131"/>
        <v>277.44444444444446</v>
      </c>
      <c r="H213" s="21">
        <f t="shared" si="136"/>
        <v>40000801.545536116</v>
      </c>
      <c r="I213" s="2">
        <f t="shared" si="116"/>
        <v>40.000801545536113</v>
      </c>
      <c r="J213" s="11">
        <f t="shared" si="128"/>
        <v>1.2404165866873622</v>
      </c>
      <c r="K213" s="4">
        <f t="shared" si="117"/>
        <v>1021.0871904804399</v>
      </c>
      <c r="L213" s="4">
        <f t="shared" si="122"/>
        <v>391.4471245672292</v>
      </c>
      <c r="M213" s="161">
        <f t="shared" si="132"/>
        <v>0.14344850393289552</v>
      </c>
      <c r="N213" s="390"/>
      <c r="O213" s="391"/>
      <c r="P213" s="391"/>
      <c r="Q213" s="391"/>
      <c r="R213" s="401">
        <f t="shared" si="118"/>
        <v>930.7662650089801</v>
      </c>
      <c r="S213" s="400">
        <f t="shared" si="133"/>
        <v>1.2771552230200938E-3</v>
      </c>
      <c r="T213" s="400">
        <f t="shared" si="119"/>
        <v>3.7651485624894053E-5</v>
      </c>
      <c r="U213" s="400">
        <f t="shared" si="137"/>
        <v>1.0993502662715198E-3</v>
      </c>
      <c r="V213" s="20">
        <f t="shared" si="120"/>
        <v>1.0351468617557045E-2</v>
      </c>
      <c r="W213" s="20">
        <f t="shared" si="121"/>
        <v>1.3868660025834988E-3</v>
      </c>
      <c r="X213" s="389"/>
      <c r="Y213" s="389"/>
      <c r="Z213" s="25">
        <f t="shared" si="134"/>
        <v>9.1173956135788696</v>
      </c>
      <c r="AA213" s="392">
        <f t="shared" si="135"/>
        <v>473157.80601836555</v>
      </c>
      <c r="AB213" s="14">
        <f t="shared" si="129"/>
        <v>0</v>
      </c>
      <c r="AC213" s="387"/>
      <c r="AD213" s="388"/>
      <c r="AE213" s="388"/>
      <c r="AF213" s="388"/>
      <c r="AG213" s="388"/>
      <c r="AH213" s="388"/>
      <c r="AI213" s="388"/>
      <c r="AJ213" s="388"/>
    </row>
    <row r="214" spans="1:36">
      <c r="A214">
        <f t="shared" ref="A214:A222" si="138">D214*3.28</f>
        <v>-639.99999999999955</v>
      </c>
      <c r="B214" s="4">
        <f t="shared" ref="B214:B222" si="139">H214/6895</f>
        <v>5870.0448660702659</v>
      </c>
      <c r="D214" s="22">
        <f t="shared" si="130"/>
        <v>-195.12195121951208</v>
      </c>
      <c r="E214" s="22"/>
      <c r="F214" s="22"/>
      <c r="G214" s="4">
        <f t="shared" si="131"/>
        <v>277.44444444444446</v>
      </c>
      <c r="H214" s="21">
        <f t="shared" si="136"/>
        <v>40473959.351554483</v>
      </c>
      <c r="I214" s="2">
        <f t="shared" ref="I214:I223" si="140">Pi/1000000</f>
        <v>40.473959351554484</v>
      </c>
      <c r="J214" s="11">
        <f t="shared" si="128"/>
        <v>1.2455029443053356</v>
      </c>
      <c r="K214" s="4">
        <f t="shared" ref="K214:K222" si="141">(-0.002516*(T-273)^2-0.1853*(T-273)+1002)*(1+Pi/1000000*(0.00000002*(T-273)^2-0.00000224*(T-273)+0.000508))*(1+Cbrine)</f>
        <v>1021.3232967559263</v>
      </c>
      <c r="L214" s="4">
        <f t="shared" si="122"/>
        <v>394.45994598859778</v>
      </c>
      <c r="M214" s="161">
        <f t="shared" si="132"/>
        <v>0.14253726092980129</v>
      </c>
      <c r="N214" s="390"/>
      <c r="O214" s="391"/>
      <c r="P214" s="391"/>
      <c r="Q214" s="391"/>
      <c r="R214" s="401">
        <f t="shared" ref="R214:R223" si="142">fi*rhoi+(1-fi)*rhow</f>
        <v>931.97191176027411</v>
      </c>
      <c r="S214" s="400">
        <f t="shared" si="133"/>
        <v>1.2771552230200938E-3</v>
      </c>
      <c r="T214" s="400">
        <f t="shared" ref="T214:T222" si="143">0.001*(0.0167214+0.0000392728*(T-273)+0.000000122474*(T-273)^2+0.000000856087*(Pi*0.000145)+0.000000000469295*(Pi*0.000145)^2)</f>
        <v>3.8085925512607185E-5</v>
      </c>
      <c r="U214" s="400">
        <f t="shared" si="137"/>
        <v>1.1005416792511638E-3</v>
      </c>
      <c r="V214" s="20">
        <f t="shared" ref="V214:V222" si="144">mw/rhow</f>
        <v>1.0349075597923722E-2</v>
      </c>
      <c r="W214" s="20">
        <f t="shared" ref="W214:W222" si="145">mg/rhoi</f>
        <v>1.3762733438265255E-3</v>
      </c>
      <c r="X214" s="389"/>
      <c r="Y214" s="389"/>
      <c r="Z214" s="25">
        <f t="shared" si="134"/>
        <v>9.1073093815002668</v>
      </c>
      <c r="AA214" s="392">
        <f t="shared" si="135"/>
        <v>472807.72675528168</v>
      </c>
      <c r="AB214" s="14">
        <f t="shared" si="129"/>
        <v>0</v>
      </c>
      <c r="AC214" s="387"/>
      <c r="AD214" s="388"/>
      <c r="AE214" s="388"/>
      <c r="AF214" s="388"/>
      <c r="AG214" s="388"/>
      <c r="AH214" s="388"/>
      <c r="AI214" s="388"/>
      <c r="AJ214" s="388"/>
    </row>
    <row r="215" spans="1:36">
      <c r="A215">
        <f t="shared" si="138"/>
        <v>-810.00000000000011</v>
      </c>
      <c r="B215" s="4">
        <f t="shared" si="139"/>
        <v>5938.6174152733529</v>
      </c>
      <c r="D215" s="22">
        <f t="shared" si="130"/>
        <v>-246.95121951219517</v>
      </c>
      <c r="E215" s="22"/>
      <c r="F215" s="22"/>
      <c r="G215" s="4">
        <f t="shared" si="131"/>
        <v>277.44444444444446</v>
      </c>
      <c r="H215" s="21">
        <f t="shared" si="136"/>
        <v>40946767.078309767</v>
      </c>
      <c r="I215" s="2">
        <f t="shared" si="140"/>
        <v>40.946767078309769</v>
      </c>
      <c r="J215" s="11">
        <f t="shared" si="128"/>
        <v>1.2506201851536156</v>
      </c>
      <c r="K215" s="4">
        <f t="shared" si="141"/>
        <v>1021.5592283414685</v>
      </c>
      <c r="L215" s="4">
        <f t="shared" ref="L215:L223" si="146">Pi/(Z*Rgas*T)</f>
        <v>397.43504746657601</v>
      </c>
      <c r="M215" s="161">
        <f t="shared" si="132"/>
        <v>0.14164945299749021</v>
      </c>
      <c r="N215" s="390"/>
      <c r="O215" s="391"/>
      <c r="P215" s="391"/>
      <c r="Q215" s="391"/>
      <c r="R215" s="401">
        <f t="shared" si="142"/>
        <v>933.15237951803329</v>
      </c>
      <c r="S215" s="400">
        <f t="shared" si="133"/>
        <v>1.2771552230200938E-3</v>
      </c>
      <c r="T215" s="400">
        <f t="shared" si="143"/>
        <v>3.8524457047704532E-5</v>
      </c>
      <c r="U215" s="400">
        <f t="shared" si="137"/>
        <v>1.1017038525542426E-3</v>
      </c>
      <c r="V215" s="20">
        <f t="shared" si="144"/>
        <v>1.0346685453772531E-2</v>
      </c>
      <c r="W215" s="20">
        <f t="shared" si="145"/>
        <v>1.36597089846993E-3</v>
      </c>
      <c r="X215" s="389"/>
      <c r="Y215" s="389"/>
      <c r="Z215" s="25">
        <f t="shared" si="134"/>
        <v>9.0974507973272889</v>
      </c>
      <c r="AA215" s="392">
        <f t="shared" si="135"/>
        <v>472464.69462611678</v>
      </c>
      <c r="AB215" s="14">
        <f t="shared" si="129"/>
        <v>0</v>
      </c>
      <c r="AC215" s="387"/>
      <c r="AD215" s="388"/>
      <c r="AE215" s="388"/>
      <c r="AF215" s="388"/>
      <c r="AG215" s="388"/>
      <c r="AH215" s="388"/>
      <c r="AI215" s="388"/>
      <c r="AJ215" s="388"/>
    </row>
    <row r="216" spans="1:36">
      <c r="A216">
        <f t="shared" si="138"/>
        <v>-980.00000000000057</v>
      </c>
      <c r="B216" s="4">
        <f t="shared" si="139"/>
        <v>6007.1402136237684</v>
      </c>
      <c r="D216" s="22">
        <f t="shared" si="130"/>
        <v>-298.78048780487825</v>
      </c>
      <c r="E216" s="22"/>
      <c r="F216" s="22"/>
      <c r="G216" s="4">
        <f t="shared" si="131"/>
        <v>277.44444444444446</v>
      </c>
      <c r="H216" s="21">
        <f t="shared" si="136"/>
        <v>41419231.772935882</v>
      </c>
      <c r="I216" s="2">
        <f t="shared" si="140"/>
        <v>41.419231772935881</v>
      </c>
      <c r="J216" s="11">
        <f t="shared" si="128"/>
        <v>1.2557676961361732</v>
      </c>
      <c r="K216" s="4">
        <f t="shared" si="141"/>
        <v>1021.7949887535935</v>
      </c>
      <c r="L216" s="4">
        <f t="shared" si="146"/>
        <v>400.37293421691862</v>
      </c>
      <c r="M216" s="161">
        <f t="shared" si="132"/>
        <v>0.14078426108532568</v>
      </c>
      <c r="N216" s="390"/>
      <c r="O216" s="391"/>
      <c r="P216" s="391"/>
      <c r="Q216" s="391"/>
      <c r="R216" s="401">
        <f t="shared" si="142"/>
        <v>934.30854398352278</v>
      </c>
      <c r="S216" s="400">
        <f t="shared" si="133"/>
        <v>1.2771552230200938E-3</v>
      </c>
      <c r="T216" s="400">
        <f t="shared" si="143"/>
        <v>3.8967077065964336E-5</v>
      </c>
      <c r="U216" s="400">
        <f t="shared" si="137"/>
        <v>1.1028378198073322E-3</v>
      </c>
      <c r="V216" s="20">
        <f t="shared" si="144"/>
        <v>1.034429814628565E-2</v>
      </c>
      <c r="W216" s="20">
        <f t="shared" si="145"/>
        <v>1.3559475740616068E-3</v>
      </c>
      <c r="X216" s="389"/>
      <c r="Y216" s="389"/>
      <c r="Z216" s="25">
        <f t="shared" si="134"/>
        <v>9.0878112151834181</v>
      </c>
      <c r="AA216" s="392">
        <f t="shared" si="135"/>
        <v>472128.44399033801</v>
      </c>
      <c r="AB216" s="14">
        <f t="shared" si="129"/>
        <v>0</v>
      </c>
      <c r="AC216" s="387"/>
      <c r="AD216" s="388"/>
      <c r="AE216" s="388"/>
      <c r="AF216" s="388"/>
      <c r="AG216" s="388"/>
      <c r="AH216" s="388"/>
      <c r="AI216" s="388"/>
      <c r="AJ216" s="388"/>
    </row>
    <row r="217" spans="1:36">
      <c r="A217">
        <f t="shared" si="138"/>
        <v>-1150.0000000000011</v>
      </c>
      <c r="B217" s="4">
        <f t="shared" si="139"/>
        <v>6075.6142446593494</v>
      </c>
      <c r="D217" s="22">
        <f t="shared" si="130"/>
        <v>-350.60975609756133</v>
      </c>
      <c r="E217" s="22"/>
      <c r="F217" s="22"/>
      <c r="G217" s="4">
        <f t="shared" si="131"/>
        <v>277.44444444444446</v>
      </c>
      <c r="H217" s="21">
        <f t="shared" si="136"/>
        <v>41891360.216926217</v>
      </c>
      <c r="I217" s="2">
        <f t="shared" si="140"/>
        <v>41.891360216926216</v>
      </c>
      <c r="J217" s="11">
        <f t="shared" si="128"/>
        <v>1.2609448659864377</v>
      </c>
      <c r="K217" s="4">
        <f t="shared" si="141"/>
        <v>1022.0305813762743</v>
      </c>
      <c r="L217" s="4">
        <f t="shared" si="146"/>
        <v>403.27411119836398</v>
      </c>
      <c r="M217" s="161">
        <f t="shared" si="132"/>
        <v>0.13994090152107408</v>
      </c>
      <c r="N217" s="390"/>
      <c r="O217" s="391"/>
      <c r="P217" s="391"/>
      <c r="Q217" s="391"/>
      <c r="R217" s="401">
        <f t="shared" si="142"/>
        <v>935.44124311757992</v>
      </c>
      <c r="S217" s="400">
        <f t="shared" si="133"/>
        <v>1.2771552230200938E-3</v>
      </c>
      <c r="T217" s="400">
        <f t="shared" si="143"/>
        <v>3.9413782420470858E-5</v>
      </c>
      <c r="U217" s="400">
        <f t="shared" si="137"/>
        <v>1.1039445699725897E-3</v>
      </c>
      <c r="V217" s="20">
        <f t="shared" si="144"/>
        <v>1.0341913638058123E-2</v>
      </c>
      <c r="W217" s="20">
        <f t="shared" si="145"/>
        <v>1.3461928097941351E-3</v>
      </c>
      <c r="X217" s="389"/>
      <c r="Y217" s="389"/>
      <c r="Z217" s="25">
        <f t="shared" si="134"/>
        <v>9.0783824032284386</v>
      </c>
      <c r="AA217" s="392">
        <f t="shared" si="135"/>
        <v>471798.72192499309</v>
      </c>
      <c r="AB217" s="14">
        <f t="shared" si="129"/>
        <v>0</v>
      </c>
      <c r="AC217" s="387"/>
      <c r="AD217" s="388"/>
      <c r="AE217" s="388"/>
      <c r="AF217" s="388"/>
      <c r="AG217" s="388"/>
      <c r="AH217" s="388"/>
      <c r="AI217" s="388"/>
      <c r="AJ217" s="388"/>
    </row>
    <row r="218" spans="1:36">
      <c r="A218">
        <f t="shared" si="138"/>
        <v>-1320.0000000000016</v>
      </c>
      <c r="B218" s="4">
        <f t="shared" si="139"/>
        <v>6144.0404552358532</v>
      </c>
      <c r="D218" s="22">
        <f t="shared" si="130"/>
        <v>-402.43902439024441</v>
      </c>
      <c r="E218" s="22"/>
      <c r="F218" s="22"/>
      <c r="G218" s="4">
        <f t="shared" si="131"/>
        <v>277.44444444444446</v>
      </c>
      <c r="H218" s="21">
        <f t="shared" si="136"/>
        <v>42363158.938851207</v>
      </c>
      <c r="I218" s="2">
        <f t="shared" si="140"/>
        <v>42.363158938851207</v>
      </c>
      <c r="J218" s="11">
        <f t="shared" ref="J218:J223" si="147">1+BB*H218+CCC*H218^2+DD*H218^3</f>
        <v>1.2661510852172824</v>
      </c>
      <c r="K218" s="4">
        <f t="shared" si="141"/>
        <v>1022.2660094672751</v>
      </c>
      <c r="L218" s="4">
        <f t="shared" si="146"/>
        <v>406.13908293664946</v>
      </c>
      <c r="M218" s="161">
        <f t="shared" si="132"/>
        <v>0.13911862410152351</v>
      </c>
      <c r="N218" s="390"/>
      <c r="O218" s="391"/>
      <c r="P218" s="391"/>
      <c r="Q218" s="391"/>
      <c r="R218" s="401">
        <f t="shared" si="142"/>
        <v>936.55127917643404</v>
      </c>
      <c r="S218" s="400">
        <f t="shared" si="133"/>
        <v>1.2771552230200938E-3</v>
      </c>
      <c r="T218" s="400">
        <f t="shared" si="143"/>
        <v>3.9864569980986627E-5</v>
      </c>
      <c r="U218" s="400">
        <f t="shared" si="137"/>
        <v>1.1050250497556177E-3</v>
      </c>
      <c r="V218" s="20">
        <f t="shared" si="144"/>
        <v>1.0339531893030357E-2</v>
      </c>
      <c r="W218" s="20">
        <f t="shared" si="145"/>
        <v>1.3366965448041812E-3</v>
      </c>
      <c r="X218" s="389"/>
      <c r="Y218" s="389"/>
      <c r="Z218" s="25">
        <f t="shared" si="134"/>
        <v>9.0691565189835135</v>
      </c>
      <c r="AA218" s="392">
        <f t="shared" si="135"/>
        <v>471475.28746678942</v>
      </c>
      <c r="AB218" s="14">
        <f t="shared" si="129"/>
        <v>0</v>
      </c>
      <c r="AC218" s="387"/>
      <c r="AD218" s="388"/>
      <c r="AE218" s="388"/>
      <c r="AF218" s="388"/>
      <c r="AG218" s="388"/>
      <c r="AH218" s="388"/>
      <c r="AI218" s="388"/>
      <c r="AJ218" s="388"/>
    </row>
    <row r="219" spans="1:36">
      <c r="A219">
        <f t="shared" si="138"/>
        <v>-1490.000000000002</v>
      </c>
      <c r="B219" s="4">
        <f t="shared" si="139"/>
        <v>6212.419757261493</v>
      </c>
      <c r="D219" s="22">
        <f t="shared" si="130"/>
        <v>-454.26829268292749</v>
      </c>
      <c r="E219" s="22"/>
      <c r="F219" s="22"/>
      <c r="G219" s="4">
        <f t="shared" si="131"/>
        <v>277.44444444444446</v>
      </c>
      <c r="H219" s="21">
        <f t="shared" si="136"/>
        <v>42834634.226317994</v>
      </c>
      <c r="I219" s="2">
        <f t="shared" si="140"/>
        <v>42.834634226317995</v>
      </c>
      <c r="J219" s="11">
        <f t="shared" si="147"/>
        <v>1.2713857460734972</v>
      </c>
      <c r="K219" s="4">
        <f t="shared" si="141"/>
        <v>1022.5012761641188</v>
      </c>
      <c r="L219" s="4">
        <f t="shared" si="146"/>
        <v>408.96835335123569</v>
      </c>
      <c r="M219" s="161">
        <f t="shared" si="132"/>
        <v>0.13831671030668963</v>
      </c>
      <c r="N219" s="390"/>
      <c r="O219" s="391"/>
      <c r="P219" s="391"/>
      <c r="Q219" s="391"/>
      <c r="R219" s="401">
        <f t="shared" si="142"/>
        <v>937.6394206157928</v>
      </c>
      <c r="S219" s="400">
        <f t="shared" si="133"/>
        <v>1.2771552230200938E-3</v>
      </c>
      <c r="T219" s="400">
        <f t="shared" si="143"/>
        <v>4.0319436633334901E-5</v>
      </c>
      <c r="U219" s="400">
        <f t="shared" si="137"/>
        <v>1.1060801658574898E-3</v>
      </c>
      <c r="V219" s="20">
        <f t="shared" si="144"/>
        <v>1.0337152876424619E-2</v>
      </c>
      <c r="W219" s="20">
        <f t="shared" si="145"/>
        <v>1.3274491887275946E-3</v>
      </c>
      <c r="X219" s="389"/>
      <c r="Y219" s="389"/>
      <c r="Z219" s="25">
        <f t="shared" si="134"/>
        <v>9.0601260864114366</v>
      </c>
      <c r="AA219" s="392">
        <f t="shared" si="135"/>
        <v>471157.91090805992</v>
      </c>
      <c r="AB219" s="14">
        <f t="shared" si="129"/>
        <v>0</v>
      </c>
      <c r="AC219" s="387"/>
      <c r="AD219" s="388"/>
      <c r="AE219" s="388"/>
      <c r="AF219" s="388"/>
      <c r="AG219" s="388"/>
      <c r="AH219" s="388"/>
      <c r="AI219" s="388"/>
      <c r="AJ219" s="388"/>
    </row>
    <row r="220" spans="1:36">
      <c r="A220">
        <f t="shared" si="138"/>
        <v>-1659.9999999999995</v>
      </c>
      <c r="B220" s="4">
        <f t="shared" si="139"/>
        <v>6280.7530293293767</v>
      </c>
      <c r="D220" s="22">
        <f t="shared" si="130"/>
        <v>-506.09756097560967</v>
      </c>
      <c r="E220" s="22"/>
      <c r="F220" s="22"/>
      <c r="G220" s="4">
        <f t="shared" si="131"/>
        <v>277.44444444444446</v>
      </c>
      <c r="H220" s="21">
        <f t="shared" si="136"/>
        <v>43305792.137226053</v>
      </c>
      <c r="I220" s="2">
        <f t="shared" si="140"/>
        <v>43.305792137226049</v>
      </c>
      <c r="J220" s="11">
        <f t="shared" si="147"/>
        <v>1.2766482424866075</v>
      </c>
      <c r="K220" s="4">
        <f t="shared" si="141"/>
        <v>1022.7363844897042</v>
      </c>
      <c r="L220" s="4">
        <f t="shared" si="146"/>
        <v>411.76242558520232</v>
      </c>
      <c r="M220" s="161">
        <f t="shared" si="132"/>
        <v>0.13753447162829088</v>
      </c>
      <c r="N220" s="390"/>
      <c r="O220" s="391"/>
      <c r="P220" s="391"/>
      <c r="Q220" s="391"/>
      <c r="R220" s="401">
        <f t="shared" si="142"/>
        <v>938.70640387312835</v>
      </c>
      <c r="S220" s="400">
        <f t="shared" si="133"/>
        <v>1.2771552230200938E-3</v>
      </c>
      <c r="T220" s="400">
        <f t="shared" si="143"/>
        <v>4.0778379278793093E-5</v>
      </c>
      <c r="U220" s="400">
        <f t="shared" si="137"/>
        <v>1.1071107870826802E-3</v>
      </c>
      <c r="V220" s="20">
        <f t="shared" si="144"/>
        <v>1.033477655468526E-2</v>
      </c>
      <c r="W220" s="20">
        <f t="shared" si="145"/>
        <v>1.3184415943242101E-3</v>
      </c>
      <c r="X220" s="389"/>
      <c r="Y220" s="389"/>
      <c r="Z220" s="25">
        <f t="shared" si="134"/>
        <v>9.0512839746073386</v>
      </c>
      <c r="AA220" s="392">
        <f t="shared" si="135"/>
        <v>470846.37314216117</v>
      </c>
      <c r="AB220" s="14">
        <f t="shared" si="129"/>
        <v>0</v>
      </c>
      <c r="AC220" s="387"/>
      <c r="AD220" s="388"/>
      <c r="AE220" s="388"/>
      <c r="AF220" s="388"/>
      <c r="AG220" s="388"/>
      <c r="AH220" s="388"/>
      <c r="AI220" s="388"/>
      <c r="AJ220" s="388"/>
    </row>
    <row r="221" spans="1:36">
      <c r="A221">
        <f t="shared" si="138"/>
        <v>-1830</v>
      </c>
      <c r="B221" s="4">
        <f t="shared" si="139"/>
        <v>6349.0411182549979</v>
      </c>
      <c r="D221" s="22">
        <f t="shared" si="130"/>
        <v>-557.92682926829275</v>
      </c>
      <c r="E221" s="22"/>
      <c r="F221" s="22"/>
      <c r="G221" s="4">
        <f t="shared" si="131"/>
        <v>277.44444444444446</v>
      </c>
      <c r="H221" s="21">
        <f t="shared" si="136"/>
        <v>43776638.510368213</v>
      </c>
      <c r="I221" s="2">
        <f t="shared" si="140"/>
        <v>43.776638510368215</v>
      </c>
      <c r="J221" s="11">
        <f t="shared" si="147"/>
        <v>1.2819379700319014</v>
      </c>
      <c r="K221" s="4">
        <f t="shared" si="141"/>
        <v>1022.9713373575948</v>
      </c>
      <c r="L221" s="4">
        <f t="shared" si="146"/>
        <v>414.52180183871934</v>
      </c>
      <c r="M221" s="161">
        <f t="shared" si="132"/>
        <v>0.13677124800397317</v>
      </c>
      <c r="N221" s="390"/>
      <c r="O221" s="391"/>
      <c r="P221" s="391"/>
      <c r="Q221" s="391"/>
      <c r="R221" s="401">
        <f t="shared" si="142"/>
        <v>939.75293503724049</v>
      </c>
      <c r="S221" s="400">
        <f t="shared" si="133"/>
        <v>1.2771552230200938E-3</v>
      </c>
      <c r="T221" s="400">
        <f t="shared" si="143"/>
        <v>4.1241394833497616E-5</v>
      </c>
      <c r="U221" s="400">
        <f t="shared" si="137"/>
        <v>1.108117746313645E-3</v>
      </c>
      <c r="V221" s="20">
        <f t="shared" si="144"/>
        <v>1.0332402895422426E-2</v>
      </c>
      <c r="W221" s="20">
        <f t="shared" si="145"/>
        <v>1.309665032003749E-3</v>
      </c>
      <c r="X221" s="389"/>
      <c r="Y221" s="389"/>
      <c r="Z221" s="25">
        <f t="shared" si="134"/>
        <v>9.0426233779687362</v>
      </c>
      <c r="AA221" s="392">
        <f t="shared" si="135"/>
        <v>470540.46505430155</v>
      </c>
      <c r="AB221" s="14">
        <f t="shared" si="129"/>
        <v>0</v>
      </c>
      <c r="AC221" s="387"/>
      <c r="AD221" s="388"/>
      <c r="AE221" s="388"/>
      <c r="AF221" s="388"/>
      <c r="AG221" s="388"/>
      <c r="AH221" s="388"/>
      <c r="AI221" s="388"/>
      <c r="AJ221" s="388"/>
    </row>
    <row r="222" spans="1:36">
      <c r="A222">
        <f t="shared" si="138"/>
        <v>-2000.0000000000007</v>
      </c>
      <c r="B222" s="4">
        <f t="shared" si="139"/>
        <v>6417.2848405253835</v>
      </c>
      <c r="D222" s="22">
        <f t="shared" si="130"/>
        <v>-609.75609756097583</v>
      </c>
      <c r="E222" s="22"/>
      <c r="F222" s="22"/>
      <c r="G222" s="4">
        <f t="shared" si="131"/>
        <v>277.44444444444446</v>
      </c>
      <c r="H222" s="21">
        <f t="shared" si="136"/>
        <v>44247178.975422516</v>
      </c>
      <c r="I222" s="2">
        <f t="shared" si="140"/>
        <v>44.247178975422514</v>
      </c>
      <c r="J222" s="11">
        <f t="shared" si="147"/>
        <v>1.2872543258875382</v>
      </c>
      <c r="K222" s="4">
        <f t="shared" si="141"/>
        <v>1023.2061375770072</v>
      </c>
      <c r="L222" s="4">
        <f t="shared" si="146"/>
        <v>417.24698320644472</v>
      </c>
      <c r="M222" s="161">
        <f t="shared" si="132"/>
        <v>0.13602640634949031</v>
      </c>
      <c r="N222" s="390"/>
      <c r="O222" s="391"/>
      <c r="P222" s="391"/>
      <c r="Q222" s="391"/>
      <c r="R222" s="401">
        <f t="shared" si="142"/>
        <v>940.77969141340361</v>
      </c>
      <c r="S222" s="400">
        <f t="shared" si="133"/>
        <v>1.2771552230200938E-3</v>
      </c>
      <c r="T222" s="400">
        <f t="shared" si="143"/>
        <v>4.1708480227860212E-5</v>
      </c>
      <c r="U222" s="400">
        <f t="shared" si="137"/>
        <v>1.1091018423618833E-3</v>
      </c>
      <c r="V222" s="20">
        <f t="shared" si="144"/>
        <v>1.0330031867358964E-2</v>
      </c>
      <c r="W222" s="20">
        <f t="shared" si="145"/>
        <v>1.3011111660997932E-3</v>
      </c>
      <c r="X222" s="389"/>
      <c r="Y222" s="389"/>
      <c r="Z222" s="25">
        <f t="shared" si="134"/>
        <v>9.0341377977258244</v>
      </c>
      <c r="AA222" s="392">
        <f t="shared" si="135"/>
        <v>470239.98695412086</v>
      </c>
      <c r="AB222" s="14">
        <f t="shared" si="129"/>
        <v>0</v>
      </c>
      <c r="AC222" s="387"/>
      <c r="AD222" s="388"/>
      <c r="AE222" s="388"/>
      <c r="AF222" s="388"/>
      <c r="AG222" s="388"/>
      <c r="AH222" s="388"/>
      <c r="AI222" s="388"/>
      <c r="AJ222" s="388"/>
    </row>
    <row r="223" spans="1:36">
      <c r="G223" s="4">
        <f>T0</f>
        <v>277.44444444444446</v>
      </c>
      <c r="H223" s="19">
        <f>H222+AA222</f>
        <v>44717418.962376639</v>
      </c>
      <c r="I223" s="2">
        <f t="shared" si="140"/>
        <v>44.717418962376641</v>
      </c>
      <c r="J223" s="11">
        <f t="shared" si="147"/>
        <v>1.2925967087956232</v>
      </c>
      <c r="K223" s="4">
        <f>(-0.002516*(T-273)^2-0.1853*(T-273)+1002)*(1+Pi/1000000*(0.00000002*(T-273)^2-0.00000224*(T-273)+0.000508))</f>
        <v>1023.4407878575106</v>
      </c>
      <c r="L223" s="4">
        <f t="shared" si="146"/>
        <v>419.93846951914105</v>
      </c>
      <c r="M223" s="161">
        <f t="shared" si="132"/>
        <v>0.13529933918170095</v>
      </c>
      <c r="N223" s="161"/>
      <c r="R223" s="401">
        <f t="shared" si="142"/>
        <v>941.78732299170463</v>
      </c>
      <c r="S223" s="402"/>
      <c r="T223" s="401"/>
      <c r="U223" s="403"/>
      <c r="V223" s="403"/>
      <c r="W223" s="403"/>
      <c r="Z223" s="7"/>
      <c r="AA223" s="6"/>
      <c r="AB223" s="6"/>
      <c r="AC223" s="342"/>
    </row>
    <row r="224" spans="1:36">
      <c r="G224" s="18" t="s">
        <v>54</v>
      </c>
      <c r="H224" s="9" t="s">
        <v>89</v>
      </c>
      <c r="Z224" s="4"/>
    </row>
    <row r="225" spans="3:4">
      <c r="C225" s="9" t="s">
        <v>77</v>
      </c>
    </row>
    <row r="226" spans="3:4">
      <c r="C226">
        <v>1</v>
      </c>
      <c r="D226" t="s">
        <v>78</v>
      </c>
    </row>
  </sheetData>
  <mergeCells count="1">
    <mergeCell ref="H5:I5"/>
  </mergeCells>
  <phoneticPr fontId="0" type="noConversion"/>
  <pageMargins left="0.75" right="0.75" top="1" bottom="1" header="0.5" footer="0.5"/>
  <pageSetup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DA23"/>
  <sheetViews>
    <sheetView topLeftCell="A10" workbookViewId="0">
      <selection activeCell="D5" sqref="D5"/>
    </sheetView>
  </sheetViews>
  <sheetFormatPr baseColWidth="10" defaultColWidth="8.83203125" defaultRowHeight="12" x14ac:dyDescent="0"/>
  <cols>
    <col min="1" max="1" width="29.5" customWidth="1"/>
    <col min="2" max="2" width="11.1640625" customWidth="1"/>
    <col min="3" max="3" width="7.33203125" customWidth="1"/>
    <col min="4" max="104" width="10.5" customWidth="1"/>
    <col min="105" max="105" width="32.6640625" customWidth="1"/>
  </cols>
  <sheetData>
    <row r="1" spans="1:105" ht="15">
      <c r="A1" s="73" t="s">
        <v>380</v>
      </c>
      <c r="F1" s="98" t="s">
        <v>138</v>
      </c>
      <c r="G1" s="256"/>
      <c r="H1" s="204"/>
      <c r="I1" s="205"/>
    </row>
    <row r="2" spans="1:105" ht="15">
      <c r="A2" s="73" t="s">
        <v>381</v>
      </c>
    </row>
    <row r="3" spans="1:105">
      <c r="A3" s="64" t="s">
        <v>327</v>
      </c>
      <c r="B3" s="67" t="s">
        <v>326</v>
      </c>
      <c r="C3" s="260"/>
      <c r="D3" s="268">
        <v>0.05</v>
      </c>
      <c r="E3" s="355"/>
    </row>
    <row r="4" spans="1:105">
      <c r="A4" s="64" t="s">
        <v>340</v>
      </c>
      <c r="B4" s="67" t="s">
        <v>341</v>
      </c>
      <c r="C4" s="260"/>
      <c r="D4" s="269">
        <v>100</v>
      </c>
    </row>
    <row r="5" spans="1:105">
      <c r="A5" s="64" t="s">
        <v>417</v>
      </c>
      <c r="B5" s="67" t="s">
        <v>342</v>
      </c>
      <c r="C5" s="12" t="s">
        <v>3</v>
      </c>
      <c r="D5" s="74">
        <f>MAX(1,(dPbha-dPv)/ni)</f>
        <v>63599.929705129245</v>
      </c>
      <c r="DA5" s="224" t="s">
        <v>350</v>
      </c>
    </row>
    <row r="6" spans="1:105">
      <c r="A6" s="64" t="s">
        <v>64</v>
      </c>
      <c r="B6" s="12" t="s">
        <v>30</v>
      </c>
      <c r="C6" s="12"/>
      <c r="D6" s="15">
        <v>0</v>
      </c>
      <c r="E6" s="15">
        <f t="shared" ref="E6:BP6" si="0">1+D6</f>
        <v>1</v>
      </c>
      <c r="F6" s="15">
        <f t="shared" si="0"/>
        <v>2</v>
      </c>
      <c r="G6" s="15">
        <f t="shared" si="0"/>
        <v>3</v>
      </c>
      <c r="H6" s="15">
        <f t="shared" si="0"/>
        <v>4</v>
      </c>
      <c r="I6" s="15">
        <f t="shared" si="0"/>
        <v>5</v>
      </c>
      <c r="J6" s="15">
        <f t="shared" si="0"/>
        <v>6</v>
      </c>
      <c r="K6" s="15">
        <f t="shared" si="0"/>
        <v>7</v>
      </c>
      <c r="L6" s="15">
        <f t="shared" si="0"/>
        <v>8</v>
      </c>
      <c r="M6" s="15">
        <f t="shared" si="0"/>
        <v>9</v>
      </c>
      <c r="N6" s="15">
        <f t="shared" si="0"/>
        <v>10</v>
      </c>
      <c r="O6" s="15">
        <f t="shared" si="0"/>
        <v>11</v>
      </c>
      <c r="P6" s="15">
        <f t="shared" si="0"/>
        <v>12</v>
      </c>
      <c r="Q6" s="15">
        <f t="shared" si="0"/>
        <v>13</v>
      </c>
      <c r="R6" s="15">
        <f t="shared" si="0"/>
        <v>14</v>
      </c>
      <c r="S6" s="15">
        <f t="shared" si="0"/>
        <v>15</v>
      </c>
      <c r="T6" s="15">
        <f t="shared" si="0"/>
        <v>16</v>
      </c>
      <c r="U6" s="15">
        <f t="shared" si="0"/>
        <v>17</v>
      </c>
      <c r="V6" s="15">
        <f t="shared" si="0"/>
        <v>18</v>
      </c>
      <c r="W6" s="15">
        <f t="shared" si="0"/>
        <v>19</v>
      </c>
      <c r="X6" s="15">
        <f t="shared" si="0"/>
        <v>20</v>
      </c>
      <c r="Y6" s="15">
        <f t="shared" si="0"/>
        <v>21</v>
      </c>
      <c r="Z6" s="15">
        <f t="shared" si="0"/>
        <v>22</v>
      </c>
      <c r="AA6" s="15">
        <f t="shared" si="0"/>
        <v>23</v>
      </c>
      <c r="AB6" s="15">
        <f t="shared" si="0"/>
        <v>24</v>
      </c>
      <c r="AC6" s="15">
        <f t="shared" si="0"/>
        <v>25</v>
      </c>
      <c r="AD6" s="15">
        <f t="shared" si="0"/>
        <v>26</v>
      </c>
      <c r="AE6" s="15">
        <f t="shared" si="0"/>
        <v>27</v>
      </c>
      <c r="AF6" s="15">
        <f t="shared" si="0"/>
        <v>28</v>
      </c>
      <c r="AG6" s="15">
        <f t="shared" si="0"/>
        <v>29</v>
      </c>
      <c r="AH6" s="15">
        <f t="shared" si="0"/>
        <v>30</v>
      </c>
      <c r="AI6" s="15">
        <f t="shared" si="0"/>
        <v>31</v>
      </c>
      <c r="AJ6" s="15">
        <f t="shared" si="0"/>
        <v>32</v>
      </c>
      <c r="AK6" s="15">
        <f t="shared" si="0"/>
        <v>33</v>
      </c>
      <c r="AL6" s="15">
        <f t="shared" si="0"/>
        <v>34</v>
      </c>
      <c r="AM6" s="15">
        <f t="shared" si="0"/>
        <v>35</v>
      </c>
      <c r="AN6" s="15">
        <f t="shared" si="0"/>
        <v>36</v>
      </c>
      <c r="AO6" s="15">
        <f t="shared" si="0"/>
        <v>37</v>
      </c>
      <c r="AP6" s="15">
        <f t="shared" si="0"/>
        <v>38</v>
      </c>
      <c r="AQ6" s="15">
        <f t="shared" si="0"/>
        <v>39</v>
      </c>
      <c r="AR6" s="15">
        <f t="shared" si="0"/>
        <v>40</v>
      </c>
      <c r="AS6" s="15">
        <f t="shared" si="0"/>
        <v>41</v>
      </c>
      <c r="AT6" s="15">
        <f t="shared" si="0"/>
        <v>42</v>
      </c>
      <c r="AU6" s="15">
        <f t="shared" si="0"/>
        <v>43</v>
      </c>
      <c r="AV6" s="15">
        <f t="shared" si="0"/>
        <v>44</v>
      </c>
      <c r="AW6" s="15">
        <f t="shared" si="0"/>
        <v>45</v>
      </c>
      <c r="AX6" s="15">
        <f t="shared" si="0"/>
        <v>46</v>
      </c>
      <c r="AY6" s="15">
        <f t="shared" si="0"/>
        <v>47</v>
      </c>
      <c r="AZ6" s="15">
        <f t="shared" si="0"/>
        <v>48</v>
      </c>
      <c r="BA6" s="15">
        <f t="shared" si="0"/>
        <v>49</v>
      </c>
      <c r="BB6" s="15">
        <f t="shared" si="0"/>
        <v>50</v>
      </c>
      <c r="BC6" s="15">
        <f t="shared" si="0"/>
        <v>51</v>
      </c>
      <c r="BD6" s="15">
        <f t="shared" si="0"/>
        <v>52</v>
      </c>
      <c r="BE6" s="15">
        <f t="shared" si="0"/>
        <v>53</v>
      </c>
      <c r="BF6" s="15">
        <f t="shared" si="0"/>
        <v>54</v>
      </c>
      <c r="BG6" s="15">
        <f t="shared" si="0"/>
        <v>55</v>
      </c>
      <c r="BH6" s="15">
        <f t="shared" si="0"/>
        <v>56</v>
      </c>
      <c r="BI6" s="15">
        <f t="shared" si="0"/>
        <v>57</v>
      </c>
      <c r="BJ6" s="15">
        <f t="shared" si="0"/>
        <v>58</v>
      </c>
      <c r="BK6" s="15">
        <f t="shared" si="0"/>
        <v>59</v>
      </c>
      <c r="BL6" s="15">
        <f t="shared" si="0"/>
        <v>60</v>
      </c>
      <c r="BM6" s="15">
        <f t="shared" si="0"/>
        <v>61</v>
      </c>
      <c r="BN6" s="15">
        <f t="shared" si="0"/>
        <v>62</v>
      </c>
      <c r="BO6" s="15">
        <f t="shared" si="0"/>
        <v>63</v>
      </c>
      <c r="BP6" s="15">
        <f t="shared" si="0"/>
        <v>64</v>
      </c>
      <c r="BQ6" s="15">
        <f t="shared" ref="BQ6:CZ6" si="1">1+BP6</f>
        <v>65</v>
      </c>
      <c r="BR6" s="15">
        <f t="shared" si="1"/>
        <v>66</v>
      </c>
      <c r="BS6" s="15">
        <f t="shared" si="1"/>
        <v>67</v>
      </c>
      <c r="BT6" s="15">
        <f t="shared" si="1"/>
        <v>68</v>
      </c>
      <c r="BU6" s="15">
        <f t="shared" si="1"/>
        <v>69</v>
      </c>
      <c r="BV6" s="15">
        <f t="shared" si="1"/>
        <v>70</v>
      </c>
      <c r="BW6" s="15">
        <f t="shared" si="1"/>
        <v>71</v>
      </c>
      <c r="BX6" s="15">
        <f t="shared" si="1"/>
        <v>72</v>
      </c>
      <c r="BY6" s="15">
        <f t="shared" si="1"/>
        <v>73</v>
      </c>
      <c r="BZ6" s="15">
        <f t="shared" si="1"/>
        <v>74</v>
      </c>
      <c r="CA6" s="15">
        <f t="shared" si="1"/>
        <v>75</v>
      </c>
      <c r="CB6" s="15">
        <f t="shared" si="1"/>
        <v>76</v>
      </c>
      <c r="CC6" s="15">
        <f t="shared" si="1"/>
        <v>77</v>
      </c>
      <c r="CD6" s="15">
        <f t="shared" si="1"/>
        <v>78</v>
      </c>
      <c r="CE6" s="15">
        <f t="shared" si="1"/>
        <v>79</v>
      </c>
      <c r="CF6" s="15">
        <f t="shared" si="1"/>
        <v>80</v>
      </c>
      <c r="CG6" s="15">
        <f t="shared" si="1"/>
        <v>81</v>
      </c>
      <c r="CH6" s="15">
        <f t="shared" si="1"/>
        <v>82</v>
      </c>
      <c r="CI6" s="15">
        <f t="shared" si="1"/>
        <v>83</v>
      </c>
      <c r="CJ6" s="15">
        <f t="shared" si="1"/>
        <v>84</v>
      </c>
      <c r="CK6" s="15">
        <f t="shared" si="1"/>
        <v>85</v>
      </c>
      <c r="CL6" s="15">
        <f t="shared" si="1"/>
        <v>86</v>
      </c>
      <c r="CM6" s="15">
        <f t="shared" si="1"/>
        <v>87</v>
      </c>
      <c r="CN6" s="15">
        <f t="shared" si="1"/>
        <v>88</v>
      </c>
      <c r="CO6" s="15">
        <f t="shared" si="1"/>
        <v>89</v>
      </c>
      <c r="CP6" s="15">
        <f t="shared" si="1"/>
        <v>90</v>
      </c>
      <c r="CQ6" s="15">
        <f t="shared" si="1"/>
        <v>91</v>
      </c>
      <c r="CR6" s="15">
        <f t="shared" si="1"/>
        <v>92</v>
      </c>
      <c r="CS6" s="15">
        <f t="shared" si="1"/>
        <v>93</v>
      </c>
      <c r="CT6" s="15">
        <f t="shared" si="1"/>
        <v>94</v>
      </c>
      <c r="CU6" s="15">
        <f t="shared" si="1"/>
        <v>95</v>
      </c>
      <c r="CV6" s="15">
        <f t="shared" si="1"/>
        <v>96</v>
      </c>
      <c r="CW6" s="15">
        <f t="shared" si="1"/>
        <v>97</v>
      </c>
      <c r="CX6" s="15">
        <f t="shared" si="1"/>
        <v>98</v>
      </c>
      <c r="CY6" s="15">
        <f t="shared" si="1"/>
        <v>99</v>
      </c>
      <c r="CZ6" s="15">
        <f t="shared" si="1"/>
        <v>100</v>
      </c>
    </row>
    <row r="7" spans="1:105">
      <c r="A7" s="64" t="s">
        <v>328</v>
      </c>
      <c r="B7" s="12" t="s">
        <v>343</v>
      </c>
      <c r="C7" s="12" t="s">
        <v>3</v>
      </c>
      <c r="D7" s="264">
        <f>Ps</f>
        <v>27196386.214288503</v>
      </c>
      <c r="E7" s="74">
        <f t="shared" ref="E7:AJ7" si="2">D7-dPi</f>
        <v>27132786.284583375</v>
      </c>
      <c r="F7" s="74">
        <f t="shared" si="2"/>
        <v>27069186.354878247</v>
      </c>
      <c r="G7" s="74">
        <f t="shared" si="2"/>
        <v>27005586.425173119</v>
      </c>
      <c r="H7" s="74">
        <f t="shared" si="2"/>
        <v>26941986.495467991</v>
      </c>
      <c r="I7" s="74">
        <f t="shared" si="2"/>
        <v>26878386.565762863</v>
      </c>
      <c r="J7" s="74">
        <f t="shared" si="2"/>
        <v>26814786.636057734</v>
      </c>
      <c r="K7" s="74">
        <f t="shared" si="2"/>
        <v>26751186.706352606</v>
      </c>
      <c r="L7" s="74">
        <f t="shared" si="2"/>
        <v>26687586.776647478</v>
      </c>
      <c r="M7" s="74">
        <f t="shared" si="2"/>
        <v>26623986.84694235</v>
      </c>
      <c r="N7" s="74">
        <f t="shared" si="2"/>
        <v>26560386.917237222</v>
      </c>
      <c r="O7" s="74">
        <f t="shared" si="2"/>
        <v>26496786.987532094</v>
      </c>
      <c r="P7" s="74">
        <f t="shared" si="2"/>
        <v>26433187.057826966</v>
      </c>
      <c r="Q7" s="74">
        <f t="shared" si="2"/>
        <v>26369587.128121838</v>
      </c>
      <c r="R7" s="74">
        <f t="shared" si="2"/>
        <v>26305987.19841671</v>
      </c>
      <c r="S7" s="74">
        <f t="shared" si="2"/>
        <v>26242387.268711582</v>
      </c>
      <c r="T7" s="74">
        <f t="shared" si="2"/>
        <v>26178787.339006454</v>
      </c>
      <c r="U7" s="74">
        <f t="shared" si="2"/>
        <v>26115187.409301326</v>
      </c>
      <c r="V7" s="74">
        <f t="shared" si="2"/>
        <v>26051587.479596198</v>
      </c>
      <c r="W7" s="74">
        <f t="shared" si="2"/>
        <v>25987987.54989107</v>
      </c>
      <c r="X7" s="74">
        <f t="shared" si="2"/>
        <v>25924387.620185941</v>
      </c>
      <c r="Y7" s="74">
        <f t="shared" si="2"/>
        <v>25860787.690480813</v>
      </c>
      <c r="Z7" s="74">
        <f t="shared" si="2"/>
        <v>25797187.760775685</v>
      </c>
      <c r="AA7" s="74">
        <f t="shared" si="2"/>
        <v>25733587.831070557</v>
      </c>
      <c r="AB7" s="74">
        <f t="shared" si="2"/>
        <v>25669987.901365429</v>
      </c>
      <c r="AC7" s="74">
        <f t="shared" si="2"/>
        <v>25606387.971660301</v>
      </c>
      <c r="AD7" s="74">
        <f t="shared" si="2"/>
        <v>25542788.041955173</v>
      </c>
      <c r="AE7" s="74">
        <f t="shared" si="2"/>
        <v>25479188.112250045</v>
      </c>
      <c r="AF7" s="74">
        <f t="shared" si="2"/>
        <v>25415588.182544917</v>
      </c>
      <c r="AG7" s="74">
        <f t="shared" si="2"/>
        <v>25351988.252839789</v>
      </c>
      <c r="AH7" s="74">
        <f t="shared" si="2"/>
        <v>25288388.323134661</v>
      </c>
      <c r="AI7" s="74">
        <f t="shared" si="2"/>
        <v>25224788.393429533</v>
      </c>
      <c r="AJ7" s="74">
        <f t="shared" si="2"/>
        <v>25161188.463724405</v>
      </c>
      <c r="AK7" s="74">
        <f t="shared" ref="AK7:BP7" si="3">AJ7-dPi</f>
        <v>25097588.534019276</v>
      </c>
      <c r="AL7" s="74">
        <f t="shared" si="3"/>
        <v>25033988.604314148</v>
      </c>
      <c r="AM7" s="74">
        <f t="shared" si="3"/>
        <v>24970388.67460902</v>
      </c>
      <c r="AN7" s="74">
        <f t="shared" si="3"/>
        <v>24906788.744903892</v>
      </c>
      <c r="AO7" s="74">
        <f t="shared" si="3"/>
        <v>24843188.815198764</v>
      </c>
      <c r="AP7" s="74">
        <f t="shared" si="3"/>
        <v>24779588.885493636</v>
      </c>
      <c r="AQ7" s="74">
        <f t="shared" si="3"/>
        <v>24715988.955788508</v>
      </c>
      <c r="AR7" s="74">
        <f t="shared" si="3"/>
        <v>24652389.02608338</v>
      </c>
      <c r="AS7" s="74">
        <f t="shared" si="3"/>
        <v>24588789.096378252</v>
      </c>
      <c r="AT7" s="74">
        <f t="shared" si="3"/>
        <v>24525189.166673124</v>
      </c>
      <c r="AU7" s="74">
        <f t="shared" si="3"/>
        <v>24461589.236967996</v>
      </c>
      <c r="AV7" s="74">
        <f t="shared" si="3"/>
        <v>24397989.307262868</v>
      </c>
      <c r="AW7" s="74">
        <f t="shared" si="3"/>
        <v>24334389.37755774</v>
      </c>
      <c r="AX7" s="74">
        <f t="shared" si="3"/>
        <v>24270789.447852612</v>
      </c>
      <c r="AY7" s="74">
        <f t="shared" si="3"/>
        <v>24207189.518147483</v>
      </c>
      <c r="AZ7" s="74">
        <f t="shared" si="3"/>
        <v>24143589.588442355</v>
      </c>
      <c r="BA7" s="74">
        <f t="shared" si="3"/>
        <v>24079989.658737227</v>
      </c>
      <c r="BB7" s="74">
        <f t="shared" si="3"/>
        <v>24016389.729032099</v>
      </c>
      <c r="BC7" s="74">
        <f t="shared" si="3"/>
        <v>23952789.799326971</v>
      </c>
      <c r="BD7" s="74">
        <f t="shared" si="3"/>
        <v>23889189.869621843</v>
      </c>
      <c r="BE7" s="74">
        <f t="shared" si="3"/>
        <v>23825589.939916715</v>
      </c>
      <c r="BF7" s="74">
        <f t="shared" si="3"/>
        <v>23761990.010211587</v>
      </c>
      <c r="BG7" s="74">
        <f t="shared" si="3"/>
        <v>23698390.080506459</v>
      </c>
      <c r="BH7" s="74">
        <f t="shared" si="3"/>
        <v>23634790.150801331</v>
      </c>
      <c r="BI7" s="74">
        <f t="shared" si="3"/>
        <v>23571190.221096203</v>
      </c>
      <c r="BJ7" s="74">
        <f t="shared" si="3"/>
        <v>23507590.291391075</v>
      </c>
      <c r="BK7" s="74">
        <f t="shared" si="3"/>
        <v>23443990.361685947</v>
      </c>
      <c r="BL7" s="74">
        <f t="shared" si="3"/>
        <v>23380390.431980819</v>
      </c>
      <c r="BM7" s="74">
        <f t="shared" si="3"/>
        <v>23316790.50227569</v>
      </c>
      <c r="BN7" s="74">
        <f t="shared" si="3"/>
        <v>23253190.572570562</v>
      </c>
      <c r="BO7" s="74">
        <f t="shared" si="3"/>
        <v>23189590.642865434</v>
      </c>
      <c r="BP7" s="74">
        <f t="shared" si="3"/>
        <v>23125990.713160306</v>
      </c>
      <c r="BQ7" s="74">
        <f t="shared" ref="BQ7:CZ7" si="4">BP7-dPi</f>
        <v>23062390.783455178</v>
      </c>
      <c r="BR7" s="74">
        <f t="shared" si="4"/>
        <v>22998790.85375005</v>
      </c>
      <c r="BS7" s="74">
        <f t="shared" si="4"/>
        <v>22935190.924044922</v>
      </c>
      <c r="BT7" s="74">
        <f t="shared" si="4"/>
        <v>22871590.994339794</v>
      </c>
      <c r="BU7" s="74">
        <f t="shared" si="4"/>
        <v>22807991.064634666</v>
      </c>
      <c r="BV7" s="74">
        <f t="shared" si="4"/>
        <v>22744391.134929538</v>
      </c>
      <c r="BW7" s="74">
        <f t="shared" si="4"/>
        <v>22680791.20522441</v>
      </c>
      <c r="BX7" s="74">
        <f t="shared" si="4"/>
        <v>22617191.275519282</v>
      </c>
      <c r="BY7" s="74">
        <f t="shared" si="4"/>
        <v>22553591.345814154</v>
      </c>
      <c r="BZ7" s="74">
        <f t="shared" si="4"/>
        <v>22489991.416109025</v>
      </c>
      <c r="CA7" s="74">
        <f t="shared" si="4"/>
        <v>22426391.486403897</v>
      </c>
      <c r="CB7" s="74">
        <f t="shared" si="4"/>
        <v>22362791.556698769</v>
      </c>
      <c r="CC7" s="74">
        <f t="shared" si="4"/>
        <v>22299191.626993641</v>
      </c>
      <c r="CD7" s="74">
        <f t="shared" si="4"/>
        <v>22235591.697288513</v>
      </c>
      <c r="CE7" s="74">
        <f t="shared" si="4"/>
        <v>22171991.767583385</v>
      </c>
      <c r="CF7" s="74">
        <f t="shared" si="4"/>
        <v>22108391.837878257</v>
      </c>
      <c r="CG7" s="74">
        <f t="shared" si="4"/>
        <v>22044791.908173129</v>
      </c>
      <c r="CH7" s="74">
        <f t="shared" si="4"/>
        <v>21981191.978468001</v>
      </c>
      <c r="CI7" s="74">
        <f t="shared" si="4"/>
        <v>21917592.048762873</v>
      </c>
      <c r="CJ7" s="74">
        <f t="shared" si="4"/>
        <v>21853992.119057745</v>
      </c>
      <c r="CK7" s="74">
        <f t="shared" si="4"/>
        <v>21790392.189352617</v>
      </c>
      <c r="CL7" s="74">
        <f t="shared" si="4"/>
        <v>21726792.259647489</v>
      </c>
      <c r="CM7" s="74">
        <f t="shared" si="4"/>
        <v>21663192.329942361</v>
      </c>
      <c r="CN7" s="74">
        <f t="shared" si="4"/>
        <v>21599592.400237232</v>
      </c>
      <c r="CO7" s="74">
        <f t="shared" si="4"/>
        <v>21535992.470532104</v>
      </c>
      <c r="CP7" s="74">
        <f t="shared" si="4"/>
        <v>21472392.540826976</v>
      </c>
      <c r="CQ7" s="74">
        <f t="shared" si="4"/>
        <v>21408792.611121848</v>
      </c>
      <c r="CR7" s="74">
        <f t="shared" si="4"/>
        <v>21345192.68141672</v>
      </c>
      <c r="CS7" s="74">
        <f t="shared" si="4"/>
        <v>21281592.751711592</v>
      </c>
      <c r="CT7" s="74">
        <f t="shared" si="4"/>
        <v>21217992.822006464</v>
      </c>
      <c r="CU7" s="74">
        <f t="shared" si="4"/>
        <v>21154392.892301336</v>
      </c>
      <c r="CV7" s="74">
        <f t="shared" si="4"/>
        <v>21090792.962596208</v>
      </c>
      <c r="CW7" s="74">
        <f t="shared" si="4"/>
        <v>21027193.03289108</v>
      </c>
      <c r="CX7" s="74">
        <f t="shared" si="4"/>
        <v>20963593.103185952</v>
      </c>
      <c r="CY7" s="74">
        <f t="shared" si="4"/>
        <v>20899993.173480824</v>
      </c>
      <c r="CZ7" s="74">
        <f t="shared" si="4"/>
        <v>20836393.243775696</v>
      </c>
      <c r="DA7" s="267" t="s">
        <v>354</v>
      </c>
    </row>
    <row r="8" spans="1:105">
      <c r="A8" s="64" t="s">
        <v>329</v>
      </c>
      <c r="B8" s="12" t="s">
        <v>344</v>
      </c>
      <c r="C8" s="12"/>
      <c r="D8" s="8">
        <f t="shared" ref="D8:AI8" si="5">1+BB*Poi+CCC*Poi^2+DD*Poi^3</f>
        <v>1.1182042103364498</v>
      </c>
      <c r="E8" s="8">
        <f t="shared" si="5"/>
        <v>1.1176820368997991</v>
      </c>
      <c r="F8" s="8">
        <f t="shared" si="5"/>
        <v>1.1171608035614575</v>
      </c>
      <c r="G8" s="8">
        <f t="shared" si="5"/>
        <v>1.1166405118155833</v>
      </c>
      <c r="H8" s="8">
        <f t="shared" si="5"/>
        <v>1.1161211631563346</v>
      </c>
      <c r="I8" s="8">
        <f t="shared" si="5"/>
        <v>1.115602759077869</v>
      </c>
      <c r="J8" s="8">
        <f t="shared" si="5"/>
        <v>1.1150853010743447</v>
      </c>
      <c r="K8" s="8">
        <f t="shared" si="5"/>
        <v>1.1145687906399195</v>
      </c>
      <c r="L8" s="8">
        <f t="shared" si="5"/>
        <v>1.1140532292687515</v>
      </c>
      <c r="M8" s="8">
        <f t="shared" si="5"/>
        <v>1.1135386184549987</v>
      </c>
      <c r="N8" s="8">
        <f t="shared" si="5"/>
        <v>1.113024959692819</v>
      </c>
      <c r="O8" s="8">
        <f t="shared" si="5"/>
        <v>1.1125122544763706</v>
      </c>
      <c r="P8" s="8">
        <f t="shared" si="5"/>
        <v>1.1120005042998109</v>
      </c>
      <c r="Q8" s="8">
        <f t="shared" si="5"/>
        <v>1.1114897106572983</v>
      </c>
      <c r="R8" s="8">
        <f t="shared" si="5"/>
        <v>1.1109798750429907</v>
      </c>
      <c r="S8" s="8">
        <f t="shared" si="5"/>
        <v>1.1104709989510462</v>
      </c>
      <c r="T8" s="8">
        <f t="shared" si="5"/>
        <v>1.1099630838756225</v>
      </c>
      <c r="U8" s="8">
        <f t="shared" si="5"/>
        <v>1.1094561313108777</v>
      </c>
      <c r="V8" s="8">
        <f t="shared" si="5"/>
        <v>1.1089501427509698</v>
      </c>
      <c r="W8" s="8">
        <f t="shared" si="5"/>
        <v>1.1084451196900564</v>
      </c>
      <c r="X8" s="8">
        <f t="shared" si="5"/>
        <v>1.1079410636222962</v>
      </c>
      <c r="Y8" s="8">
        <f t="shared" si="5"/>
        <v>1.1074379760418462</v>
      </c>
      <c r="Z8" s="8">
        <f t="shared" si="5"/>
        <v>1.1069358584428652</v>
      </c>
      <c r="AA8" s="8">
        <f t="shared" si="5"/>
        <v>1.1064347123195111</v>
      </c>
      <c r="AB8" s="8">
        <f t="shared" si="5"/>
        <v>1.1059345391659414</v>
      </c>
      <c r="AC8" s="8">
        <f t="shared" si="5"/>
        <v>1.1054353404763144</v>
      </c>
      <c r="AD8" s="8">
        <f t="shared" si="5"/>
        <v>1.1049371177447878</v>
      </c>
      <c r="AE8" s="8">
        <f t="shared" si="5"/>
        <v>1.10443987246552</v>
      </c>
      <c r="AF8" s="8">
        <f t="shared" si="5"/>
        <v>1.1039436061326684</v>
      </c>
      <c r="AG8" s="8">
        <f t="shared" si="5"/>
        <v>1.1034483202403915</v>
      </c>
      <c r="AH8" s="8">
        <f t="shared" si="5"/>
        <v>1.1029540162828468</v>
      </c>
      <c r="AI8" s="8">
        <f t="shared" si="5"/>
        <v>1.1024606957541927</v>
      </c>
      <c r="AJ8" s="8">
        <f t="shared" ref="AJ8:BO8" si="6">1+BB*Poi+CCC*Poi^2+DD*Poi^3</f>
        <v>1.101968360148587</v>
      </c>
      <c r="AK8" s="8">
        <f t="shared" si="6"/>
        <v>1.1014770109601875</v>
      </c>
      <c r="AL8" s="8">
        <f t="shared" si="6"/>
        <v>1.1009866496831524</v>
      </c>
      <c r="AM8" s="8">
        <f t="shared" si="6"/>
        <v>1.1004972778116395</v>
      </c>
      <c r="AN8" s="8">
        <f t="shared" si="6"/>
        <v>1.1000088968398067</v>
      </c>
      <c r="AO8" s="8">
        <f t="shared" si="6"/>
        <v>1.0995215082618124</v>
      </c>
      <c r="AP8" s="8">
        <f t="shared" si="6"/>
        <v>1.0990351135718142</v>
      </c>
      <c r="AQ8" s="8">
        <f t="shared" si="6"/>
        <v>1.09854971426397</v>
      </c>
      <c r="AR8" s="8">
        <f t="shared" si="6"/>
        <v>1.0980653118324377</v>
      </c>
      <c r="AS8" s="8">
        <f t="shared" si="6"/>
        <v>1.0975819077713758</v>
      </c>
      <c r="AT8" s="8">
        <f t="shared" si="6"/>
        <v>1.0970995035749418</v>
      </c>
      <c r="AU8" s="8">
        <f t="shared" si="6"/>
        <v>1.0966181007372937</v>
      </c>
      <c r="AV8" s="8">
        <f t="shared" si="6"/>
        <v>1.0961377007525896</v>
      </c>
      <c r="AW8" s="8">
        <f t="shared" si="6"/>
        <v>1.0956583051149875</v>
      </c>
      <c r="AX8" s="8">
        <f t="shared" si="6"/>
        <v>1.0951799153186454</v>
      </c>
      <c r="AY8" s="8">
        <f t="shared" si="6"/>
        <v>1.0947025328577211</v>
      </c>
      <c r="AZ8" s="8">
        <f t="shared" si="6"/>
        <v>1.0942261592263725</v>
      </c>
      <c r="BA8" s="8">
        <f t="shared" si="6"/>
        <v>1.0937507959187576</v>
      </c>
      <c r="BB8" s="8">
        <f t="shared" si="6"/>
        <v>1.0932764444290346</v>
      </c>
      <c r="BC8" s="8">
        <f t="shared" si="6"/>
        <v>1.0928031062513615</v>
      </c>
      <c r="BD8" s="8">
        <f t="shared" si="6"/>
        <v>1.0923307828798956</v>
      </c>
      <c r="BE8" s="8">
        <f t="shared" si="6"/>
        <v>1.0918594758087958</v>
      </c>
      <c r="BF8" s="8">
        <f t="shared" si="6"/>
        <v>1.0913891865322196</v>
      </c>
      <c r="BG8" s="8">
        <f t="shared" si="6"/>
        <v>1.0909199165443249</v>
      </c>
      <c r="BH8" s="8">
        <f t="shared" si="6"/>
        <v>1.0904516673392697</v>
      </c>
      <c r="BI8" s="8">
        <f t="shared" si="6"/>
        <v>1.089984440411212</v>
      </c>
      <c r="BJ8" s="8">
        <f t="shared" si="6"/>
        <v>1.08951823725431</v>
      </c>
      <c r="BK8" s="8">
        <f t="shared" si="6"/>
        <v>1.0890530593627212</v>
      </c>
      <c r="BL8" s="8">
        <f t="shared" si="6"/>
        <v>1.0885889082306039</v>
      </c>
      <c r="BM8" s="8">
        <f t="shared" si="6"/>
        <v>1.088125785352116</v>
      </c>
      <c r="BN8" s="8">
        <f t="shared" si="6"/>
        <v>1.0876636922214153</v>
      </c>
      <c r="BO8" s="8">
        <f t="shared" si="6"/>
        <v>1.0872026303326603</v>
      </c>
      <c r="BP8" s="8">
        <f t="shared" ref="BP8:CZ8" si="7">1+BB*Poi+CCC*Poi^2+DD*Poi^3</f>
        <v>1.0867426011800081</v>
      </c>
      <c r="BQ8" s="8">
        <f t="shared" si="7"/>
        <v>1.0862836062576176</v>
      </c>
      <c r="BR8" s="8">
        <f t="shared" si="7"/>
        <v>1.0858256470596459</v>
      </c>
      <c r="BS8" s="8">
        <f t="shared" si="7"/>
        <v>1.0853687250802515</v>
      </c>
      <c r="BT8" s="8">
        <f t="shared" si="7"/>
        <v>1.0849128418135925</v>
      </c>
      <c r="BU8" s="8">
        <f t="shared" si="7"/>
        <v>1.0844579987538263</v>
      </c>
      <c r="BV8" s="8">
        <f t="shared" si="7"/>
        <v>1.0840041973951113</v>
      </c>
      <c r="BW8" s="8">
        <f t="shared" si="7"/>
        <v>1.0835514392316052</v>
      </c>
      <c r="BX8" s="8">
        <f t="shared" si="7"/>
        <v>1.0830997257574666</v>
      </c>
      <c r="BY8" s="8">
        <f t="shared" si="7"/>
        <v>1.0826490584668524</v>
      </c>
      <c r="BZ8" s="8">
        <f t="shared" si="7"/>
        <v>1.0821994388539216</v>
      </c>
      <c r="CA8" s="8">
        <f t="shared" si="7"/>
        <v>1.0817508684128314</v>
      </c>
      <c r="CB8" s="8">
        <f t="shared" si="7"/>
        <v>1.0813033486377401</v>
      </c>
      <c r="CC8" s="8">
        <f t="shared" si="7"/>
        <v>1.0808568810228059</v>
      </c>
      <c r="CD8" s="8">
        <f t="shared" si="7"/>
        <v>1.0804114670621863</v>
      </c>
      <c r="CE8" s="8">
        <f t="shared" si="7"/>
        <v>1.0799671082500395</v>
      </c>
      <c r="CF8" s="8">
        <f t="shared" si="7"/>
        <v>1.0795238060805232</v>
      </c>
      <c r="CG8" s="8">
        <f t="shared" si="7"/>
        <v>1.079081562047796</v>
      </c>
      <c r="CH8" s="8">
        <f t="shared" si="7"/>
        <v>1.0786403776460152</v>
      </c>
      <c r="CI8" s="8">
        <f t="shared" si="7"/>
        <v>1.0782002543693392</v>
      </c>
      <c r="CJ8" s="8">
        <f t="shared" si="7"/>
        <v>1.0777611937119258</v>
      </c>
      <c r="CK8" s="8">
        <f t="shared" si="7"/>
        <v>1.0773231971679329</v>
      </c>
      <c r="CL8" s="8">
        <f t="shared" si="7"/>
        <v>1.0768862662315186</v>
      </c>
      <c r="CM8" s="8">
        <f t="shared" si="7"/>
        <v>1.0764504023968406</v>
      </c>
      <c r="CN8" s="8">
        <f t="shared" si="7"/>
        <v>1.0760156071580573</v>
      </c>
      <c r="CO8" s="8">
        <f t="shared" si="7"/>
        <v>1.0755818820093264</v>
      </c>
      <c r="CP8" s="8">
        <f t="shared" si="7"/>
        <v>1.0751492284448059</v>
      </c>
      <c r="CQ8" s="8">
        <f t="shared" si="7"/>
        <v>1.0747176479586538</v>
      </c>
      <c r="CR8" s="8">
        <f t="shared" si="7"/>
        <v>1.074287142045028</v>
      </c>
      <c r="CS8" s="8">
        <f t="shared" si="7"/>
        <v>1.0738577121980863</v>
      </c>
      <c r="CT8" s="8">
        <f t="shared" si="7"/>
        <v>1.0734293599119868</v>
      </c>
      <c r="CU8" s="8">
        <f t="shared" si="7"/>
        <v>1.073002086680888</v>
      </c>
      <c r="CV8" s="8">
        <f t="shared" si="7"/>
        <v>1.0725758939989471</v>
      </c>
      <c r="CW8" s="8">
        <f t="shared" si="7"/>
        <v>1.0721507833603223</v>
      </c>
      <c r="CX8" s="8">
        <f t="shared" si="7"/>
        <v>1.0717267562591719</v>
      </c>
      <c r="CY8" s="8">
        <f t="shared" si="7"/>
        <v>1.0713038141896534</v>
      </c>
      <c r="CZ8" s="8">
        <f t="shared" si="7"/>
        <v>1.0708819586459251</v>
      </c>
      <c r="DA8" s="273" t="s">
        <v>355</v>
      </c>
    </row>
    <row r="9" spans="1:105">
      <c r="A9" s="64" t="s">
        <v>331</v>
      </c>
      <c r="B9" s="12" t="s">
        <v>345</v>
      </c>
      <c r="C9" s="12" t="s">
        <v>13</v>
      </c>
      <c r="D9" s="263">
        <f>Poi/(8:8*Rgas*Tb)</f>
        <v>184.43632035471035</v>
      </c>
      <c r="E9" s="3">
        <f t="shared" ref="E9:AJ9" si="8">Poi/(8:8*Rgas*D20)</f>
        <v>184.27928790026152</v>
      </c>
      <c r="F9" s="3">
        <f t="shared" si="8"/>
        <v>184.12161450266879</v>
      </c>
      <c r="G9" s="3">
        <f t="shared" si="8"/>
        <v>183.96329866637137</v>
      </c>
      <c r="H9" s="3">
        <f t="shared" si="8"/>
        <v>183.80433889291675</v>
      </c>
      <c r="I9" s="3">
        <f t="shared" si="8"/>
        <v>183.64473368093948</v>
      </c>
      <c r="J9" s="3">
        <f t="shared" si="8"/>
        <v>183.48448152613963</v>
      </c>
      <c r="K9" s="3">
        <f t="shared" si="8"/>
        <v>183.32358092126077</v>
      </c>
      <c r="L9" s="3">
        <f t="shared" si="8"/>
        <v>183.16203035606787</v>
      </c>
      <c r="M9" s="3">
        <f t="shared" si="8"/>
        <v>182.99982831732453</v>
      </c>
      <c r="N9" s="3">
        <f t="shared" si="8"/>
        <v>182.83697328876997</v>
      </c>
      <c r="O9" s="3">
        <f t="shared" si="8"/>
        <v>182.67346375109565</v>
      </c>
      <c r="P9" s="3">
        <f t="shared" si="8"/>
        <v>182.50929818192157</v>
      </c>
      <c r="Q9" s="3">
        <f t="shared" si="8"/>
        <v>182.34447505577165</v>
      </c>
      <c r="R9" s="3">
        <f t="shared" si="8"/>
        <v>182.17899284404973</v>
      </c>
      <c r="S9" s="3">
        <f t="shared" si="8"/>
        <v>182.0128500150139</v>
      </c>
      <c r="T9" s="3">
        <f t="shared" si="8"/>
        <v>181.84604503375164</v>
      </c>
      <c r="U9" s="3">
        <f t="shared" si="8"/>
        <v>181.67857636215359</v>
      </c>
      <c r="V9" s="3">
        <f t="shared" si="8"/>
        <v>181.51044245888724</v>
      </c>
      <c r="W9" s="3">
        <f t="shared" si="8"/>
        <v>181.34164177937063</v>
      </c>
      <c r="X9" s="3">
        <f t="shared" si="8"/>
        <v>181.17217277574451</v>
      </c>
      <c r="Y9" s="3">
        <f t="shared" si="8"/>
        <v>181.00203389684532</v>
      </c>
      <c r="Z9" s="3">
        <f t="shared" si="8"/>
        <v>180.8312235881767</v>
      </c>
      <c r="AA9" s="3">
        <f t="shared" si="8"/>
        <v>180.65974029188115</v>
      </c>
      <c r="AB9" s="3">
        <f t="shared" si="8"/>
        <v>180.48758244671106</v>
      </c>
      <c r="AC9" s="3">
        <f t="shared" si="8"/>
        <v>180.31474848799891</v>
      </c>
      <c r="AD9" s="3">
        <f t="shared" si="8"/>
        <v>180.14123684762777</v>
      </c>
      <c r="AE9" s="3">
        <f t="shared" si="8"/>
        <v>179.96704595400024</v>
      </c>
      <c r="AF9" s="3">
        <f t="shared" si="8"/>
        <v>179.79217423200808</v>
      </c>
      <c r="AG9" s="3">
        <f t="shared" si="8"/>
        <v>179.61662010300023</v>
      </c>
      <c r="AH9" s="3">
        <f t="shared" si="8"/>
        <v>179.4403819847511</v>
      </c>
      <c r="AI9" s="3">
        <f t="shared" si="8"/>
        <v>179.26345829142795</v>
      </c>
      <c r="AJ9" s="3">
        <f t="shared" si="8"/>
        <v>179.08584743355777</v>
      </c>
      <c r="AK9" s="3">
        <f t="shared" ref="AK9:BP9" si="9">Poi/(8:8*Rgas*AJ20)</f>
        <v>178.9075478179939</v>
      </c>
      <c r="AL9" s="3">
        <f t="shared" si="9"/>
        <v>178.7285578478816</v>
      </c>
      <c r="AM9" s="3">
        <f t="shared" si="9"/>
        <v>178.54887592262355</v>
      </c>
      <c r="AN9" s="3">
        <f t="shared" si="9"/>
        <v>178.36850043784449</v>
      </c>
      <c r="AO9" s="3">
        <f t="shared" si="9"/>
        <v>178.18742978535539</v>
      </c>
      <c r="AP9" s="3">
        <f t="shared" si="9"/>
        <v>178.00566235311709</v>
      </c>
      <c r="AQ9" s="3">
        <f t="shared" si="9"/>
        <v>177.82319652520317</v>
      </c>
      <c r="AR9" s="3">
        <f t="shared" si="9"/>
        <v>177.64003068176243</v>
      </c>
      <c r="AS9" s="3">
        <f t="shared" si="9"/>
        <v>177.45616319898042</v>
      </c>
      <c r="AT9" s="3">
        <f t="shared" si="9"/>
        <v>177.27159244904107</v>
      </c>
      <c r="AU9" s="3">
        <f t="shared" si="9"/>
        <v>177.08631680008659</v>
      </c>
      <c r="AV9" s="3">
        <f t="shared" si="9"/>
        <v>176.90033461617787</v>
      </c>
      <c r="AW9" s="3">
        <f t="shared" si="9"/>
        <v>176.71364425725349</v>
      </c>
      <c r="AX9" s="3">
        <f t="shared" si="9"/>
        <v>176.52624407908817</v>
      </c>
      <c r="AY9" s="3">
        <f t="shared" si="9"/>
        <v>176.33813243325088</v>
      </c>
      <c r="AZ9" s="3">
        <f t="shared" si="9"/>
        <v>176.14930766706195</v>
      </c>
      <c r="BA9" s="3">
        <f t="shared" si="9"/>
        <v>175.95976812354951</v>
      </c>
      <c r="BB9" s="3">
        <f t="shared" si="9"/>
        <v>175.7695121414055</v>
      </c>
      <c r="BC9" s="3">
        <f t="shared" si="9"/>
        <v>175.57853805494051</v>
      </c>
      <c r="BD9" s="3">
        <f t="shared" si="9"/>
        <v>175.38684419403859</v>
      </c>
      <c r="BE9" s="3">
        <f t="shared" si="9"/>
        <v>175.19442888411035</v>
      </c>
      <c r="BF9" s="3">
        <f t="shared" si="9"/>
        <v>175.00129044604628</v>
      </c>
      <c r="BG9" s="3">
        <f t="shared" si="9"/>
        <v>174.80742719616876</v>
      </c>
      <c r="BH9" s="3">
        <f t="shared" si="9"/>
        <v>174.61283744618331</v>
      </c>
      <c r="BI9" s="3">
        <f t="shared" si="9"/>
        <v>174.41751950312937</v>
      </c>
      <c r="BJ9" s="3">
        <f t="shared" si="9"/>
        <v>174.22147166932979</v>
      </c>
      <c r="BK9" s="3">
        <f t="shared" si="9"/>
        <v>174.02469224234031</v>
      </c>
      <c r="BL9" s="3">
        <f t="shared" si="9"/>
        <v>173.82717951489713</v>
      </c>
      <c r="BM9" s="3">
        <f t="shared" si="9"/>
        <v>173.62893177486464</v>
      </c>
      <c r="BN9" s="3">
        <f t="shared" si="9"/>
        <v>173.42994730518177</v>
      </c>
      <c r="BO9" s="3">
        <f t="shared" si="9"/>
        <v>173.23022438380755</v>
      </c>
      <c r="BP9" s="3">
        <f t="shared" si="9"/>
        <v>173.02976128366592</v>
      </c>
      <c r="BQ9" s="3">
        <f t="shared" ref="BQ9:CV9" si="10">Poi/(8:8*Rgas*BP20)</f>
        <v>172.82855627258948</v>
      </c>
      <c r="BR9" s="3">
        <f t="shared" si="10"/>
        <v>172.62660761326265</v>
      </c>
      <c r="BS9" s="3">
        <f t="shared" si="10"/>
        <v>172.42391356316355</v>
      </c>
      <c r="BT9" s="3">
        <f t="shared" si="10"/>
        <v>172.22047237450488</v>
      </c>
      <c r="BU9" s="3">
        <f t="shared" si="10"/>
        <v>172.01628229417457</v>
      </c>
      <c r="BV9" s="3">
        <f t="shared" si="10"/>
        <v>171.8113415636746</v>
      </c>
      <c r="BW9" s="3">
        <f t="shared" si="10"/>
        <v>171.60564841905918</v>
      </c>
      <c r="BX9" s="3">
        <f t="shared" si="10"/>
        <v>171.3992010908722</v>
      </c>
      <c r="BY9" s="3">
        <f t="shared" si="10"/>
        <v>171.19199780408348</v>
      </c>
      <c r="BZ9" s="3">
        <f t="shared" si="10"/>
        <v>170.98403677802335</v>
      </c>
      <c r="CA9" s="3">
        <f t="shared" si="10"/>
        <v>170.77531622631764</v>
      </c>
      <c r="CB9" s="3">
        <f t="shared" si="10"/>
        <v>170.5658343568202</v>
      </c>
      <c r="CC9" s="3">
        <f t="shared" si="10"/>
        <v>170.35558937154499</v>
      </c>
      <c r="CD9" s="3">
        <f t="shared" si="10"/>
        <v>170.14457946659712</v>
      </c>
      <c r="CE9" s="3">
        <f t="shared" si="10"/>
        <v>169.93280283210248</v>
      </c>
      <c r="CF9" s="3">
        <f t="shared" si="10"/>
        <v>169.72025765213658</v>
      </c>
      <c r="CG9" s="3">
        <f t="shared" si="10"/>
        <v>169.50694210465187</v>
      </c>
      <c r="CH9" s="3">
        <f t="shared" si="10"/>
        <v>169.29285436140424</v>
      </c>
      <c r="CI9" s="3">
        <f t="shared" si="10"/>
        <v>169.07799258787804</v>
      </c>
      <c r="CJ9" s="3">
        <f t="shared" si="10"/>
        <v>168.86235494321025</v>
      </c>
      <c r="CK9" s="3">
        <f t="shared" si="10"/>
        <v>168.64593958011289</v>
      </c>
      <c r="CL9" s="3">
        <f t="shared" si="10"/>
        <v>168.42874464479485</v>
      </c>
      <c r="CM9" s="3">
        <f t="shared" si="10"/>
        <v>168.21076827688179</v>
      </c>
      <c r="CN9" s="3">
        <f t="shared" si="10"/>
        <v>167.99200860933524</v>
      </c>
      <c r="CO9" s="3">
        <f t="shared" si="10"/>
        <v>167.77246376837013</v>
      </c>
      <c r="CP9" s="3">
        <f t="shared" si="10"/>
        <v>167.55213187337111</v>
      </c>
      <c r="CQ9" s="3">
        <f t="shared" si="10"/>
        <v>167.33101103680761</v>
      </c>
      <c r="CR9" s="3">
        <f t="shared" si="10"/>
        <v>167.10909936414694</v>
      </c>
      <c r="CS9" s="3">
        <f t="shared" si="10"/>
        <v>166.88639495376705</v>
      </c>
      <c r="CT9" s="3">
        <f t="shared" si="10"/>
        <v>166.66289589686679</v>
      </c>
      <c r="CU9" s="3">
        <f t="shared" si="10"/>
        <v>166.4386002773752</v>
      </c>
      <c r="CV9" s="3">
        <f t="shared" si="10"/>
        <v>166.21350617185985</v>
      </c>
      <c r="CW9" s="3">
        <f>Poi/(8:8*Rgas*CV20)</f>
        <v>165.98761164943241</v>
      </c>
      <c r="CX9" s="3">
        <f>Poi/(8:8*Rgas*CW20)</f>
        <v>165.76091477165386</v>
      </c>
      <c r="CY9" s="3">
        <f>Poi/(8:8*Rgas*CX20)</f>
        <v>165.53341359243771</v>
      </c>
      <c r="CZ9" s="3">
        <f>Poi/(8:8*Rgas*CY20)</f>
        <v>165.30510615795157</v>
      </c>
      <c r="DA9" s="274" t="s">
        <v>356</v>
      </c>
    </row>
    <row r="10" spans="1:105">
      <c r="A10" s="64" t="s">
        <v>332</v>
      </c>
      <c r="B10" s="12" t="s">
        <v>346</v>
      </c>
      <c r="C10" s="12" t="s">
        <v>13</v>
      </c>
      <c r="D10" s="263">
        <f>(-0.002516*(Tb-273)^2-0.1853*(Tb-273)+1002)*(1+Poi/1000000*(0.00000002*(Tb-273)^2-0.00000224*(Tb-273)+0.000508))</f>
        <v>913.94758313004718</v>
      </c>
      <c r="E10" s="3">
        <f t="shared" ref="E10:AJ10" si="11">(-0.002516*(D20-273)^2-0.1853*(D20-273)+1002)*(1+Poi/1000000*(0.00000002*(D20-273)^2-0.00000224*(D20-273)+0.000508))</f>
        <v>914.33979949580373</v>
      </c>
      <c r="F10" s="3">
        <f t="shared" si="11"/>
        <v>914.73166544464084</v>
      </c>
      <c r="G10" s="3">
        <f t="shared" si="11"/>
        <v>915.12318063226803</v>
      </c>
      <c r="H10" s="3">
        <f t="shared" si="11"/>
        <v>915.51434470260631</v>
      </c>
      <c r="I10" s="3">
        <f t="shared" si="11"/>
        <v>915.90515728770856</v>
      </c>
      <c r="J10" s="3">
        <f t="shared" si="11"/>
        <v>916.2956180076776</v>
      </c>
      <c r="K10" s="3">
        <f t="shared" si="11"/>
        <v>916.68572647058477</v>
      </c>
      <c r="L10" s="3">
        <f t="shared" si="11"/>
        <v>917.07548227238658</v>
      </c>
      <c r="M10" s="3">
        <f t="shared" si="11"/>
        <v>917.4648849968388</v>
      </c>
      <c r="N10" s="3">
        <f t="shared" si="11"/>
        <v>917.85393421541244</v>
      </c>
      <c r="O10" s="3">
        <f t="shared" si="11"/>
        <v>918.24262948720582</v>
      </c>
      <c r="P10" s="3">
        <f t="shared" si="11"/>
        <v>918.6309703588571</v>
      </c>
      <c r="Q10" s="3">
        <f t="shared" si="11"/>
        <v>919.01895636445568</v>
      </c>
      <c r="R10" s="3">
        <f t="shared" si="11"/>
        <v>919.4065870254509</v>
      </c>
      <c r="S10" s="3">
        <f t="shared" si="11"/>
        <v>919.79386185056103</v>
      </c>
      <c r="T10" s="3">
        <f t="shared" si="11"/>
        <v>920.18078033568122</v>
      </c>
      <c r="U10" s="3">
        <f t="shared" si="11"/>
        <v>920.56734196378829</v>
      </c>
      <c r="V10" s="3">
        <f t="shared" si="11"/>
        <v>920.95354620484659</v>
      </c>
      <c r="W10" s="3">
        <f t="shared" si="11"/>
        <v>921.33939251571132</v>
      </c>
      <c r="X10" s="3">
        <f t="shared" si="11"/>
        <v>921.72488034003106</v>
      </c>
      <c r="Y10" s="3">
        <f t="shared" si="11"/>
        <v>922.11000910814812</v>
      </c>
      <c r="Z10" s="3">
        <f t="shared" si="11"/>
        <v>922.49477823699851</v>
      </c>
      <c r="AA10" s="3">
        <f t="shared" si="11"/>
        <v>922.87918713001068</v>
      </c>
      <c r="AB10" s="3">
        <f t="shared" si="11"/>
        <v>923.26323517700234</v>
      </c>
      <c r="AC10" s="3">
        <f t="shared" si="11"/>
        <v>923.64692175407583</v>
      </c>
      <c r="AD10" s="3">
        <f t="shared" si="11"/>
        <v>924.03024622351234</v>
      </c>
      <c r="AE10" s="3">
        <f t="shared" si="11"/>
        <v>924.41320793366515</v>
      </c>
      <c r="AF10" s="3">
        <f t="shared" si="11"/>
        <v>924.79580621885077</v>
      </c>
      <c r="AG10" s="3">
        <f t="shared" si="11"/>
        <v>925.17804039923908</v>
      </c>
      <c r="AH10" s="3">
        <f t="shared" si="11"/>
        <v>925.55990978074124</v>
      </c>
      <c r="AI10" s="3">
        <f t="shared" si="11"/>
        <v>925.94141365489759</v>
      </c>
      <c r="AJ10" s="3">
        <f t="shared" si="11"/>
        <v>926.32255129876216</v>
      </c>
      <c r="AK10" s="3">
        <f t="shared" ref="AK10:BP10" si="12">(-0.002516*(AJ20-273)^2-0.1853*(AJ20-273)+1002)*(1+Poi/1000000*(0.00000002*(AJ20-273)^2-0.00000224*(AJ20-273)+0.000508))</f>
        <v>926.70332197478785</v>
      </c>
      <c r="AL10" s="3">
        <f t="shared" si="12"/>
        <v>927.08372493070704</v>
      </c>
      <c r="AM10" s="3">
        <f t="shared" si="12"/>
        <v>927.46375939941458</v>
      </c>
      <c r="AN10" s="3">
        <f t="shared" si="12"/>
        <v>927.84342459884488</v>
      </c>
      <c r="AO10" s="3">
        <f t="shared" si="12"/>
        <v>928.22271973185104</v>
      </c>
      <c r="AP10" s="3">
        <f t="shared" si="12"/>
        <v>928.60164398608026</v>
      </c>
      <c r="AQ10" s="3">
        <f t="shared" si="12"/>
        <v>928.9801965338479</v>
      </c>
      <c r="AR10" s="3">
        <f t="shared" si="12"/>
        <v>929.35837653201042</v>
      </c>
      <c r="AS10" s="3">
        <f t="shared" si="12"/>
        <v>929.73618312183544</v>
      </c>
      <c r="AT10" s="3">
        <f t="shared" si="12"/>
        <v>930.11361542887278</v>
      </c>
      <c r="AU10" s="3">
        <f t="shared" si="12"/>
        <v>930.49067256281933</v>
      </c>
      <c r="AV10" s="3">
        <f t="shared" si="12"/>
        <v>930.86735361738647</v>
      </c>
      <c r="AW10" s="3">
        <f t="shared" si="12"/>
        <v>931.24365767016286</v>
      </c>
      <c r="AX10" s="3">
        <f t="shared" si="12"/>
        <v>931.61958378247664</v>
      </c>
      <c r="AY10" s="3">
        <f t="shared" si="12"/>
        <v>931.99513099925571</v>
      </c>
      <c r="AZ10" s="3">
        <f t="shared" si="12"/>
        <v>932.37029834888472</v>
      </c>
      <c r="BA10" s="3">
        <f t="shared" si="12"/>
        <v>932.74508484306273</v>
      </c>
      <c r="BB10" s="3">
        <f t="shared" si="12"/>
        <v>933.11948947665667</v>
      </c>
      <c r="BC10" s="3">
        <f t="shared" si="12"/>
        <v>933.4935112275532</v>
      </c>
      <c r="BD10" s="3">
        <f t="shared" si="12"/>
        <v>933.86714905650945</v>
      </c>
      <c r="BE10" s="3">
        <f t="shared" si="12"/>
        <v>934.24040190700111</v>
      </c>
      <c r="BF10" s="3">
        <f t="shared" si="12"/>
        <v>934.61326870506844</v>
      </c>
      <c r="BG10" s="3">
        <f t="shared" si="12"/>
        <v>934.9857483591602</v>
      </c>
      <c r="BH10" s="3">
        <f t="shared" si="12"/>
        <v>935.35783975997504</v>
      </c>
      <c r="BI10" s="3">
        <f t="shared" si="12"/>
        <v>935.72954178030193</v>
      </c>
      <c r="BJ10" s="3">
        <f t="shared" si="12"/>
        <v>936.10085327485672</v>
      </c>
      <c r="BK10" s="3">
        <f t="shared" si="12"/>
        <v>936.47177308011874</v>
      </c>
      <c r="BL10" s="3">
        <f t="shared" si="12"/>
        <v>936.84230001416097</v>
      </c>
      <c r="BM10" s="3">
        <f t="shared" si="12"/>
        <v>937.21243287648417</v>
      </c>
      <c r="BN10" s="3">
        <f t="shared" si="12"/>
        <v>937.58217044784192</v>
      </c>
      <c r="BO10" s="3">
        <f t="shared" si="12"/>
        <v>937.95151149006836</v>
      </c>
      <c r="BP10" s="3">
        <f t="shared" si="12"/>
        <v>938.32045474590097</v>
      </c>
      <c r="BQ10" s="3">
        <f t="shared" ref="BQ10:CZ10" si="13">(-0.002516*(BP20-273)^2-0.1853*(BP20-273)+1002)*(1+Poi/1000000*(0.00000002*(BP20-273)^2-0.00000224*(BP20-273)+0.000508))</f>
        <v>938.68899893880143</v>
      </c>
      <c r="BR10" s="3">
        <f t="shared" si="13"/>
        <v>939.0571427727748</v>
      </c>
      <c r="BS10" s="3">
        <f t="shared" si="13"/>
        <v>939.42488493218377</v>
      </c>
      <c r="BT10" s="3">
        <f t="shared" si="13"/>
        <v>939.79222408156409</v>
      </c>
      <c r="BU10" s="3">
        <f t="shared" si="13"/>
        <v>940.15915886543394</v>
      </c>
      <c r="BV10" s="3">
        <f t="shared" si="13"/>
        <v>940.52568790810176</v>
      </c>
      <c r="BW10" s="3">
        <f t="shared" si="13"/>
        <v>940.89180981347261</v>
      </c>
      <c r="BX10" s="3">
        <f t="shared" si="13"/>
        <v>941.25752316485045</v>
      </c>
      <c r="BY10" s="3">
        <f t="shared" si="13"/>
        <v>941.62282652473766</v>
      </c>
      <c r="BZ10" s="3">
        <f t="shared" si="13"/>
        <v>941.98771843463157</v>
      </c>
      <c r="CA10" s="3">
        <f t="shared" si="13"/>
        <v>942.35219741481967</v>
      </c>
      <c r="CB10" s="3">
        <f t="shared" si="13"/>
        <v>942.71626196417026</v>
      </c>
      <c r="CC10" s="3">
        <f t="shared" si="13"/>
        <v>943.07991055991999</v>
      </c>
      <c r="CD10" s="3">
        <f t="shared" si="13"/>
        <v>943.44314165746073</v>
      </c>
      <c r="CE10" s="3">
        <f t="shared" si="13"/>
        <v>943.80595369011894</v>
      </c>
      <c r="CF10" s="3">
        <f t="shared" si="13"/>
        <v>944.16834506893747</v>
      </c>
      <c r="CG10" s="3">
        <f t="shared" si="13"/>
        <v>944.53031418244984</v>
      </c>
      <c r="CH10" s="3">
        <f t="shared" si="13"/>
        <v>944.89185939645313</v>
      </c>
      <c r="CI10" s="3">
        <f t="shared" si="13"/>
        <v>945.25297905377693</v>
      </c>
      <c r="CJ10" s="3">
        <f t="shared" si="13"/>
        <v>945.61367147405031</v>
      </c>
      <c r="CK10" s="3">
        <f t="shared" si="13"/>
        <v>945.97393495346284</v>
      </c>
      <c r="CL10" s="3">
        <f t="shared" si="13"/>
        <v>946.33376776452542</v>
      </c>
      <c r="CM10" s="3">
        <f t="shared" si="13"/>
        <v>946.69316815582431</v>
      </c>
      <c r="CN10" s="3">
        <f t="shared" si="13"/>
        <v>947.05213435177507</v>
      </c>
      <c r="CO10" s="3">
        <f t="shared" si="13"/>
        <v>947.4106645523691</v>
      </c>
      <c r="CP10" s="3">
        <f t="shared" si="13"/>
        <v>947.76875693291936</v>
      </c>
      <c r="CQ10" s="3">
        <f t="shared" si="13"/>
        <v>948.12640964380148</v>
      </c>
      <c r="CR10" s="3">
        <f t="shared" si="13"/>
        <v>948.48362081019116</v>
      </c>
      <c r="CS10" s="3">
        <f t="shared" si="13"/>
        <v>948.84038853179652</v>
      </c>
      <c r="CT10" s="3">
        <f t="shared" si="13"/>
        <v>949.19671088258906</v>
      </c>
      <c r="CU10" s="3">
        <f t="shared" si="13"/>
        <v>949.55258591052768</v>
      </c>
      <c r="CV10" s="3">
        <f t="shared" si="13"/>
        <v>949.90801163728054</v>
      </c>
      <c r="CW10" s="3">
        <f t="shared" si="13"/>
        <v>950.26298605794318</v>
      </c>
      <c r="CX10" s="3">
        <f t="shared" si="13"/>
        <v>950.61750714074981</v>
      </c>
      <c r="CY10" s="3">
        <f t="shared" si="13"/>
        <v>950.97157282678347</v>
      </c>
      <c r="CZ10" s="3">
        <f t="shared" si="13"/>
        <v>951.32518102968027</v>
      </c>
      <c r="DA10" s="274" t="s">
        <v>357</v>
      </c>
    </row>
    <row r="11" spans="1:105">
      <c r="A11" s="64" t="s">
        <v>330</v>
      </c>
      <c r="B11" s="12" t="s">
        <v>347</v>
      </c>
      <c r="C11" s="12"/>
      <c r="D11" s="2">
        <f t="shared" ref="D11:AI11" si="14">(1-xg+xg*rhowi/8:8)^ks</f>
        <v>1.3969531916502846</v>
      </c>
      <c r="E11" s="2">
        <f t="shared" si="14"/>
        <v>1.3970157845900397</v>
      </c>
      <c r="F11" s="2">
        <f t="shared" si="14"/>
        <v>1.3970782971888545</v>
      </c>
      <c r="G11" s="2">
        <f t="shared" si="14"/>
        <v>1.3971407292932687</v>
      </c>
      <c r="H11" s="2">
        <f t="shared" si="14"/>
        <v>1.397203080748693</v>
      </c>
      <c r="I11" s="2">
        <f t="shared" si="14"/>
        <v>1.3972653513994064</v>
      </c>
      <c r="J11" s="2">
        <f t="shared" si="14"/>
        <v>1.3973275410885508</v>
      </c>
      <c r="K11" s="2">
        <f t="shared" si="14"/>
        <v>1.3973896496581291</v>
      </c>
      <c r="L11" s="2">
        <f t="shared" si="14"/>
        <v>1.3974516769490004</v>
      </c>
      <c r="M11" s="2">
        <f t="shared" si="14"/>
        <v>1.3975136228008767</v>
      </c>
      <c r="N11" s="2">
        <f t="shared" si="14"/>
        <v>1.3975754870523187</v>
      </c>
      <c r="O11" s="2">
        <f t="shared" si="14"/>
        <v>1.3976372695407324</v>
      </c>
      <c r="P11" s="2">
        <f t="shared" si="14"/>
        <v>1.3976989701023641</v>
      </c>
      <c r="Q11" s="2">
        <f t="shared" si="14"/>
        <v>1.3977605885722977</v>
      </c>
      <c r="R11" s="2">
        <f t="shared" si="14"/>
        <v>1.3978221247844487</v>
      </c>
      <c r="S11" s="2">
        <f t="shared" si="14"/>
        <v>1.3978835785715615</v>
      </c>
      <c r="T11" s="2">
        <f t="shared" si="14"/>
        <v>1.3979449497652048</v>
      </c>
      <c r="U11" s="2">
        <f t="shared" si="14"/>
        <v>1.3980062381957661</v>
      </c>
      <c r="V11" s="2">
        <f t="shared" si="14"/>
        <v>1.3980674436924481</v>
      </c>
      <c r="W11" s="2">
        <f t="shared" si="14"/>
        <v>1.3981285660832647</v>
      </c>
      <c r="X11" s="2">
        <f t="shared" si="14"/>
        <v>1.3981896051950351</v>
      </c>
      <c r="Y11" s="2">
        <f t="shared" si="14"/>
        <v>1.3982505608533788</v>
      </c>
      <c r="Z11" s="2">
        <f t="shared" si="14"/>
        <v>1.3983114328827129</v>
      </c>
      <c r="AA11" s="2">
        <f t="shared" si="14"/>
        <v>1.3983722211062446</v>
      </c>
      <c r="AB11" s="2">
        <f t="shared" si="14"/>
        <v>1.3984329253459677</v>
      </c>
      <c r="AC11" s="2">
        <f t="shared" si="14"/>
        <v>1.3984935454226577</v>
      </c>
      <c r="AD11" s="2">
        <f t="shared" si="14"/>
        <v>1.398554081155865</v>
      </c>
      <c r="AE11" s="2">
        <f t="shared" si="14"/>
        <v>1.398614532363911</v>
      </c>
      <c r="AF11" s="2">
        <f t="shared" si="14"/>
        <v>1.3986748988638829</v>
      </c>
      <c r="AG11" s="2">
        <f t="shared" si="14"/>
        <v>1.3987351804716264</v>
      </c>
      <c r="AH11" s="2">
        <f t="shared" si="14"/>
        <v>1.3987953770017429</v>
      </c>
      <c r="AI11" s="2">
        <f t="shared" si="14"/>
        <v>1.3988554882675808</v>
      </c>
      <c r="AJ11" s="2">
        <f t="shared" ref="AJ11:BO11" si="15">(1-xg+xg*rhowi/8:8)^ks</f>
        <v>1.3989155140812322</v>
      </c>
      <c r="AK11" s="2">
        <f t="shared" si="15"/>
        <v>1.3989754542535255</v>
      </c>
      <c r="AL11" s="2">
        <f t="shared" si="15"/>
        <v>1.3990353085940201</v>
      </c>
      <c r="AM11" s="2">
        <f t="shared" si="15"/>
        <v>1.3990950769110004</v>
      </c>
      <c r="AN11" s="2">
        <f t="shared" si="15"/>
        <v>1.3991547590114686</v>
      </c>
      <c r="AO11" s="2">
        <f t="shared" si="15"/>
        <v>1.3992143547011398</v>
      </c>
      <c r="AP11" s="2">
        <f t="shared" si="15"/>
        <v>1.3992738637844346</v>
      </c>
      <c r="AQ11" s="2">
        <f t="shared" si="15"/>
        <v>1.3993332860644734</v>
      </c>
      <c r="AR11" s="2">
        <f t="shared" si="15"/>
        <v>1.3993926213430685</v>
      </c>
      <c r="AS11" s="2">
        <f t="shared" si="15"/>
        <v>1.399451869420719</v>
      </c>
      <c r="AT11" s="2">
        <f t="shared" si="15"/>
        <v>1.3995110300966023</v>
      </c>
      <c r="AU11" s="2">
        <f t="shared" si="15"/>
        <v>1.3995701031685688</v>
      </c>
      <c r="AV11" s="2">
        <f t="shared" si="15"/>
        <v>1.3996290884331328</v>
      </c>
      <c r="AW11" s="2">
        <f t="shared" si="15"/>
        <v>1.3996879856854674</v>
      </c>
      <c r="AX11" s="2">
        <f t="shared" si="15"/>
        <v>1.399746794719396</v>
      </c>
      <c r="AY11" s="2">
        <f t="shared" si="15"/>
        <v>1.3998055153273845</v>
      </c>
      <c r="AZ11" s="2">
        <f t="shared" si="15"/>
        <v>1.3998641473005347</v>
      </c>
      <c r="BA11" s="2">
        <f t="shared" si="15"/>
        <v>1.399922690428576</v>
      </c>
      <c r="BB11" s="2">
        <f t="shared" si="15"/>
        <v>1.3999811444998578</v>
      </c>
      <c r="BC11" s="2">
        <f t="shared" si="15"/>
        <v>1.4000395093013414</v>
      </c>
      <c r="BD11" s="2">
        <f t="shared" si="15"/>
        <v>1.4000977846185916</v>
      </c>
      <c r="BE11" s="2">
        <f t="shared" si="15"/>
        <v>1.4001559702357691</v>
      </c>
      <c r="BF11" s="2">
        <f t="shared" si="15"/>
        <v>1.4002140659356221</v>
      </c>
      <c r="BG11" s="2">
        <f t="shared" si="15"/>
        <v>1.400272071499477</v>
      </c>
      <c r="BH11" s="2">
        <f t="shared" si="15"/>
        <v>1.4003299867072299</v>
      </c>
      <c r="BI11" s="2">
        <f t="shared" si="15"/>
        <v>1.4003878113373391</v>
      </c>
      <c r="BJ11" s="2">
        <f t="shared" si="15"/>
        <v>1.4004455451668147</v>
      </c>
      <c r="BK11" s="2">
        <f t="shared" si="15"/>
        <v>1.40050318797121</v>
      </c>
      <c r="BL11" s="2">
        <f t="shared" si="15"/>
        <v>1.400560739524612</v>
      </c>
      <c r="BM11" s="2">
        <f t="shared" si="15"/>
        <v>1.4006181995996325</v>
      </c>
      <c r="BN11" s="2">
        <f t="shared" si="15"/>
        <v>1.4006755679673988</v>
      </c>
      <c r="BO11" s="2">
        <f t="shared" si="15"/>
        <v>1.4007328443975424</v>
      </c>
      <c r="BP11" s="2">
        <f t="shared" ref="BP11:CZ11" si="16">(1-xg+xg*rhowi/8:8)^ks</f>
        <v>1.4007900286581911</v>
      </c>
      <c r="BQ11" s="2">
        <f t="shared" si="16"/>
        <v>1.4008471205159578</v>
      </c>
      <c r="BR11" s="2">
        <f t="shared" si="16"/>
        <v>1.4009041197359307</v>
      </c>
      <c r="BS11" s="2">
        <f t="shared" si="16"/>
        <v>1.4009610260816625</v>
      </c>
      <c r="BT11" s="2">
        <f t="shared" si="16"/>
        <v>1.4010178393151602</v>
      </c>
      <c r="BU11" s="2">
        <f t="shared" si="16"/>
        <v>1.401074559196875</v>
      </c>
      <c r="BV11" s="2">
        <f t="shared" si="16"/>
        <v>1.4011311854856898</v>
      </c>
      <c r="BW11" s="2">
        <f t="shared" si="16"/>
        <v>1.4011877179389101</v>
      </c>
      <c r="BX11" s="2">
        <f t="shared" si="16"/>
        <v>1.4012441563122511</v>
      </c>
      <c r="BY11" s="2">
        <f t="shared" si="16"/>
        <v>1.4013005003598271</v>
      </c>
      <c r="BZ11" s="2">
        <f t="shared" si="16"/>
        <v>1.4013567498341397</v>
      </c>
      <c r="CA11" s="2">
        <f t="shared" si="16"/>
        <v>1.4014129044860661</v>
      </c>
      <c r="CB11" s="2">
        <f t="shared" si="16"/>
        <v>1.4014689640648472</v>
      </c>
      <c r="CC11" s="2">
        <f t="shared" si="16"/>
        <v>1.4015249283180744</v>
      </c>
      <c r="CD11" s="2">
        <f t="shared" si="16"/>
        <v>1.4015807969916789</v>
      </c>
      <c r="CE11" s="2">
        <f t="shared" si="16"/>
        <v>1.4016365698299176</v>
      </c>
      <c r="CF11" s="2">
        <f t="shared" si="16"/>
        <v>1.401692246575361</v>
      </c>
      <c r="CG11" s="2">
        <f t="shared" si="16"/>
        <v>1.4017478269688801</v>
      </c>
      <c r="CH11" s="2">
        <f t="shared" si="16"/>
        <v>1.4018033107496328</v>
      </c>
      <c r="CI11" s="2">
        <f t="shared" si="16"/>
        <v>1.4018586976550513</v>
      </c>
      <c r="CJ11" s="2">
        <f t="shared" si="16"/>
        <v>1.4019139874208273</v>
      </c>
      <c r="CK11" s="2">
        <f t="shared" si="16"/>
        <v>1.4019691797808986</v>
      </c>
      <c r="CL11" s="2">
        <f t="shared" si="16"/>
        <v>1.4020242744674358</v>
      </c>
      <c r="CM11" s="2">
        <f t="shared" si="16"/>
        <v>1.4020792712108261</v>
      </c>
      <c r="CN11" s="2">
        <f t="shared" si="16"/>
        <v>1.4021341697396603</v>
      </c>
      <c r="CO11" s="2">
        <f t="shared" si="16"/>
        <v>1.4021889697807173</v>
      </c>
      <c r="CP11" s="2">
        <f t="shared" si="16"/>
        <v>1.402243671058949</v>
      </c>
      <c r="CQ11" s="2">
        <f t="shared" si="16"/>
        <v>1.4022982732974651</v>
      </c>
      <c r="CR11" s="2">
        <f t="shared" si="16"/>
        <v>1.4023527762175174</v>
      </c>
      <c r="CS11" s="2">
        <f t="shared" si="16"/>
        <v>1.402407179538484</v>
      </c>
      <c r="CT11" s="2">
        <f t="shared" si="16"/>
        <v>1.4024614829778534</v>
      </c>
      <c r="CU11" s="2">
        <f t="shared" si="16"/>
        <v>1.4025156862512074</v>
      </c>
      <c r="CV11" s="2">
        <f t="shared" si="16"/>
        <v>1.4025697890722053</v>
      </c>
      <c r="CW11" s="2">
        <f t="shared" si="16"/>
        <v>1.4026237911525665</v>
      </c>
      <c r="CX11" s="2">
        <f t="shared" si="16"/>
        <v>1.4026776922020534</v>
      </c>
      <c r="CY11" s="2">
        <f t="shared" si="16"/>
        <v>1.4027314919284541</v>
      </c>
      <c r="CZ11" s="2">
        <f t="shared" si="16"/>
        <v>1.4027851900375639</v>
      </c>
      <c r="DA11" s="275" t="s">
        <v>358</v>
      </c>
    </row>
    <row r="12" spans="1:105">
      <c r="A12" s="64" t="s">
        <v>335</v>
      </c>
      <c r="B12" s="12" t="s">
        <v>348</v>
      </c>
      <c r="C12" s="12"/>
      <c r="D12" s="2">
        <f t="shared" ref="D12:AI12" si="17">xg/(xg+Si*(1-xg)*rhogi/rhowi)</f>
        <v>0.99427969081488654</v>
      </c>
      <c r="E12" s="2">
        <f t="shared" si="17"/>
        <v>0.99428671654157208</v>
      </c>
      <c r="F12" s="2">
        <f t="shared" si="17"/>
        <v>0.99429375467943459</v>
      </c>
      <c r="G12" s="2">
        <f t="shared" si="17"/>
        <v>0.99430080526763898</v>
      </c>
      <c r="H12" s="2">
        <f t="shared" si="17"/>
        <v>0.99430786834534612</v>
      </c>
      <c r="I12" s="2">
        <f t="shared" si="17"/>
        <v>0.99431494395171416</v>
      </c>
      <c r="J12" s="2">
        <f t="shared" si="17"/>
        <v>0.99432203212589809</v>
      </c>
      <c r="K12" s="2">
        <f t="shared" si="17"/>
        <v>0.99432913290705227</v>
      </c>
      <c r="L12" s="2">
        <f t="shared" si="17"/>
        <v>0.99433624633432938</v>
      </c>
      <c r="M12" s="2">
        <f t="shared" si="17"/>
        <v>0.99434337244688276</v>
      </c>
      <c r="N12" s="2">
        <f t="shared" si="17"/>
        <v>0.99435051128386653</v>
      </c>
      <c r="O12" s="2">
        <f t="shared" si="17"/>
        <v>0.99435766288443639</v>
      </c>
      <c r="P12" s="2">
        <f t="shared" si="17"/>
        <v>0.994364827287751</v>
      </c>
      <c r="Q12" s="2">
        <f t="shared" si="17"/>
        <v>0.99437200453297214</v>
      </c>
      <c r="R12" s="2">
        <f t="shared" si="17"/>
        <v>0.9943791946592665</v>
      </c>
      <c r="S12" s="2">
        <f t="shared" si="17"/>
        <v>0.99438639770580561</v>
      </c>
      <c r="T12" s="2">
        <f t="shared" si="17"/>
        <v>0.99439361371176727</v>
      </c>
      <c r="U12" s="2">
        <f t="shared" si="17"/>
        <v>0.99440084271633666</v>
      </c>
      <c r="V12" s="2">
        <f t="shared" si="17"/>
        <v>0.99440808475870668</v>
      </c>
      <c r="W12" s="2">
        <f t="shared" si="17"/>
        <v>0.99441533987807929</v>
      </c>
      <c r="X12" s="2">
        <f t="shared" si="17"/>
        <v>0.99442260811366656</v>
      </c>
      <c r="Y12" s="2">
        <f t="shared" si="17"/>
        <v>0.99442988950469102</v>
      </c>
      <c r="Z12" s="2">
        <f t="shared" si="17"/>
        <v>0.9944371840903875</v>
      </c>
      <c r="AA12" s="2">
        <f t="shared" si="17"/>
        <v>0.99444449191000361</v>
      </c>
      <c r="AB12" s="2">
        <f t="shared" si="17"/>
        <v>0.99445181300280039</v>
      </c>
      <c r="AC12" s="2">
        <f t="shared" si="17"/>
        <v>0.99445914740805419</v>
      </c>
      <c r="AD12" s="2">
        <f t="shared" si="17"/>
        <v>0.99446649516505714</v>
      </c>
      <c r="AE12" s="2">
        <f t="shared" si="17"/>
        <v>0.99447385631311813</v>
      </c>
      <c r="AF12" s="2">
        <f t="shared" si="17"/>
        <v>0.99448123089156382</v>
      </c>
      <c r="AG12" s="2">
        <f t="shared" si="17"/>
        <v>0.9944886189397405</v>
      </c>
      <c r="AH12" s="2">
        <f t="shared" si="17"/>
        <v>0.99449602049701402</v>
      </c>
      <c r="AI12" s="2">
        <f t="shared" si="17"/>
        <v>0.99450343560277166</v>
      </c>
      <c r="AJ12" s="2">
        <f t="shared" ref="AJ12:BO12" si="18">xg/(xg+Si*(1-xg)*rhogi/rhowi)</f>
        <v>0.99451086429642266</v>
      </c>
      <c r="AK12" s="2">
        <f t="shared" si="18"/>
        <v>0.99451830661740004</v>
      </c>
      <c r="AL12" s="2">
        <f t="shared" si="18"/>
        <v>0.99452576260516112</v>
      </c>
      <c r="AM12" s="2">
        <f t="shared" si="18"/>
        <v>0.99453323229918911</v>
      </c>
      <c r="AN12" s="2">
        <f t="shared" si="18"/>
        <v>0.99454071573899372</v>
      </c>
      <c r="AO12" s="2">
        <f t="shared" si="18"/>
        <v>0.99454821296411311</v>
      </c>
      <c r="AP12" s="2">
        <f t="shared" si="18"/>
        <v>0.99455572401411418</v>
      </c>
      <c r="AQ12" s="2">
        <f t="shared" si="18"/>
        <v>0.9945632489285946</v>
      </c>
      <c r="AR12" s="2">
        <f t="shared" si="18"/>
        <v>0.99457078774718344</v>
      </c>
      <c r="AS12" s="2">
        <f t="shared" si="18"/>
        <v>0.99457834050954275</v>
      </c>
      <c r="AT12" s="2">
        <f t="shared" si="18"/>
        <v>0.99458590725536888</v>
      </c>
      <c r="AU12" s="2">
        <f t="shared" si="18"/>
        <v>0.99459348802439329</v>
      </c>
      <c r="AV12" s="2">
        <f t="shared" si="18"/>
        <v>0.99460108285638438</v>
      </c>
      <c r="AW12" s="2">
        <f t="shared" si="18"/>
        <v>0.99460869179114841</v>
      </c>
      <c r="AX12" s="2">
        <f t="shared" si="18"/>
        <v>0.99461631486853086</v>
      </c>
      <c r="AY12" s="2">
        <f t="shared" si="18"/>
        <v>0.99462395212841814</v>
      </c>
      <c r="AZ12" s="2">
        <f t="shared" si="18"/>
        <v>0.99463160361073866</v>
      </c>
      <c r="BA12" s="2">
        <f t="shared" si="18"/>
        <v>0.9946392693554641</v>
      </c>
      <c r="BB12" s="2">
        <f t="shared" si="18"/>
        <v>0.99464694940261111</v>
      </c>
      <c r="BC12" s="2">
        <f t="shared" si="18"/>
        <v>0.99465464379224233</v>
      </c>
      <c r="BD12" s="2">
        <f t="shared" si="18"/>
        <v>0.99466235256446855</v>
      </c>
      <c r="BE12" s="2">
        <f t="shared" si="18"/>
        <v>0.99467007575944921</v>
      </c>
      <c r="BF12" s="2">
        <f t="shared" si="18"/>
        <v>0.99467781341739447</v>
      </c>
      <c r="BG12" s="2">
        <f t="shared" si="18"/>
        <v>0.99468556557856691</v>
      </c>
      <c r="BH12" s="2">
        <f t="shared" si="18"/>
        <v>0.99469333228328249</v>
      </c>
      <c r="BI12" s="2">
        <f t="shared" si="18"/>
        <v>0.99470111357191215</v>
      </c>
      <c r="BJ12" s="2">
        <f t="shared" si="18"/>
        <v>0.994708909484884</v>
      </c>
      <c r="BK12" s="2">
        <f t="shared" si="18"/>
        <v>0.9947167200626843</v>
      </c>
      <c r="BL12" s="2">
        <f t="shared" si="18"/>
        <v>0.99472454534585897</v>
      </c>
      <c r="BM12" s="2">
        <f t="shared" si="18"/>
        <v>0.99473238537501585</v>
      </c>
      <c r="BN12" s="2">
        <f t="shared" si="18"/>
        <v>0.99474024019082607</v>
      </c>
      <c r="BO12" s="2">
        <f t="shared" si="18"/>
        <v>0.99474810983402506</v>
      </c>
      <c r="BP12" s="2">
        <f t="shared" ref="BP12:CZ12" si="19">xg/(xg+Si*(1-xg)*rhogi/rhowi)</f>
        <v>0.99475599434541551</v>
      </c>
      <c r="BQ12" s="2">
        <f t="shared" si="19"/>
        <v>0.99476389376586793</v>
      </c>
      <c r="BR12" s="2">
        <f t="shared" si="19"/>
        <v>0.99477180813632338</v>
      </c>
      <c r="BS12" s="2">
        <f t="shared" si="19"/>
        <v>0.99477973749779414</v>
      </c>
      <c r="BT12" s="2">
        <f t="shared" si="19"/>
        <v>0.99478768189136668</v>
      </c>
      <c r="BU12" s="2">
        <f t="shared" si="19"/>
        <v>0.99479564135820286</v>
      </c>
      <c r="BV12" s="2">
        <f t="shared" si="19"/>
        <v>0.99480361593954136</v>
      </c>
      <c r="BW12" s="2">
        <f t="shared" si="19"/>
        <v>0.99481160567670068</v>
      </c>
      <c r="BX12" s="2">
        <f t="shared" si="19"/>
        <v>0.99481961061108004</v>
      </c>
      <c r="BY12" s="2">
        <f t="shared" si="19"/>
        <v>0.99482763078416203</v>
      </c>
      <c r="BZ12" s="2">
        <f t="shared" si="19"/>
        <v>0.99483566623751374</v>
      </c>
      <c r="CA12" s="2">
        <f t="shared" si="19"/>
        <v>0.99484371701278973</v>
      </c>
      <c r="CB12" s="2">
        <f t="shared" si="19"/>
        <v>0.99485178315173339</v>
      </c>
      <c r="CC12" s="2">
        <f t="shared" si="19"/>
        <v>0.99485986469617904</v>
      </c>
      <c r="CD12" s="2">
        <f t="shared" si="19"/>
        <v>0.99486796168805436</v>
      </c>
      <c r="CE12" s="2">
        <f t="shared" si="19"/>
        <v>0.99487607416938217</v>
      </c>
      <c r="CF12" s="2">
        <f t="shared" si="19"/>
        <v>0.99488420218228268</v>
      </c>
      <c r="CG12" s="2">
        <f t="shared" si="19"/>
        <v>0.99489234576897567</v>
      </c>
      <c r="CH12" s="2">
        <f t="shared" si="19"/>
        <v>0.99490050497178273</v>
      </c>
      <c r="CI12" s="2">
        <f t="shared" si="19"/>
        <v>0.99490867983312958</v>
      </c>
      <c r="CJ12" s="2">
        <f t="shared" si="19"/>
        <v>0.99491687039554788</v>
      </c>
      <c r="CK12" s="2">
        <f t="shared" si="19"/>
        <v>0.99492507670167829</v>
      </c>
      <c r="CL12" s="2">
        <f t="shared" si="19"/>
        <v>0.99493329879427206</v>
      </c>
      <c r="CM12" s="2">
        <f t="shared" si="19"/>
        <v>0.99494153671619401</v>
      </c>
      <c r="CN12" s="2">
        <f t="shared" si="19"/>
        <v>0.99494979051042443</v>
      </c>
      <c r="CO12" s="2">
        <f t="shared" si="19"/>
        <v>0.99495806022006195</v>
      </c>
      <c r="CP12" s="2">
        <f t="shared" si="19"/>
        <v>0.99496634588832589</v>
      </c>
      <c r="CQ12" s="2">
        <f t="shared" si="19"/>
        <v>0.99497464755855869</v>
      </c>
      <c r="CR12" s="2">
        <f t="shared" si="19"/>
        <v>0.99498296527422836</v>
      </c>
      <c r="CS12" s="2">
        <f t="shared" si="19"/>
        <v>0.99499129907893147</v>
      </c>
      <c r="CT12" s="2">
        <f t="shared" si="19"/>
        <v>0.99499964901639537</v>
      </c>
      <c r="CU12" s="2">
        <f t="shared" si="19"/>
        <v>0.99500801513048143</v>
      </c>
      <c r="CV12" s="2">
        <f t="shared" si="19"/>
        <v>0.99501639746518677</v>
      </c>
      <c r="CW12" s="2">
        <f t="shared" si="19"/>
        <v>0.99502479606464833</v>
      </c>
      <c r="CX12" s="2">
        <f t="shared" si="19"/>
        <v>0.99503321097314446</v>
      </c>
      <c r="CY12" s="2">
        <f t="shared" si="19"/>
        <v>0.99504164223509861</v>
      </c>
      <c r="CZ12" s="2">
        <f t="shared" si="19"/>
        <v>0.99505008989508159</v>
      </c>
      <c r="DA12" s="275" t="s">
        <v>359</v>
      </c>
    </row>
    <row r="13" spans="1:105">
      <c r="A13" s="64" t="s">
        <v>334</v>
      </c>
      <c r="B13" s="12" t="s">
        <v>349</v>
      </c>
      <c r="C13" s="12" t="s">
        <v>13</v>
      </c>
      <c r="D13" s="3">
        <f t="shared" ref="D13:AI13" si="20">alphai*rhogi+(1-alphai)*rhowi</f>
        <v>188.6093503318078</v>
      </c>
      <c r="E13" s="3">
        <f t="shared" si="20"/>
        <v>188.45033054481178</v>
      </c>
      <c r="F13" s="3">
        <f t="shared" si="20"/>
        <v>188.29065468701447</v>
      </c>
      <c r="G13" s="3">
        <f t="shared" si="20"/>
        <v>188.1303212141851</v>
      </c>
      <c r="H13" s="3">
        <f t="shared" si="20"/>
        <v>187.96932857901305</v>
      </c>
      <c r="I13" s="3">
        <f t="shared" si="20"/>
        <v>187.80767523108548</v>
      </c>
      <c r="J13" s="3">
        <f t="shared" si="20"/>
        <v>187.64535961686593</v>
      </c>
      <c r="K13" s="3">
        <f t="shared" si="20"/>
        <v>187.48238017966997</v>
      </c>
      <c r="L13" s="3">
        <f t="shared" si="20"/>
        <v>187.31873535964391</v>
      </c>
      <c r="M13" s="3">
        <f t="shared" si="20"/>
        <v>187.15442359373969</v>
      </c>
      <c r="N13" s="3">
        <f t="shared" si="20"/>
        <v>186.98944331569174</v>
      </c>
      <c r="O13" s="3">
        <f t="shared" si="20"/>
        <v>186.82379295599267</v>
      </c>
      <c r="P13" s="3">
        <f t="shared" si="20"/>
        <v>186.65747094186813</v>
      </c>
      <c r="Q13" s="3">
        <f t="shared" si="20"/>
        <v>186.49047569725201</v>
      </c>
      <c r="R13" s="3">
        <f t="shared" si="20"/>
        <v>186.32280564276064</v>
      </c>
      <c r="S13" s="3">
        <f t="shared" si="20"/>
        <v>186.15445919566699</v>
      </c>
      <c r="T13" s="3">
        <f t="shared" si="20"/>
        <v>185.98543476987433</v>
      </c>
      <c r="U13" s="3">
        <f t="shared" si="20"/>
        <v>185.81573077588902</v>
      </c>
      <c r="V13" s="3">
        <f t="shared" si="20"/>
        <v>185.64534562079351</v>
      </c>
      <c r="W13" s="3">
        <f t="shared" si="20"/>
        <v>185.47427770821889</v>
      </c>
      <c r="X13" s="3">
        <f t="shared" si="20"/>
        <v>185.30252543831583</v>
      </c>
      <c r="Y13" s="3">
        <f t="shared" si="20"/>
        <v>185.130087207727</v>
      </c>
      <c r="Z13" s="3">
        <f t="shared" si="20"/>
        <v>184.95696140955692</v>
      </c>
      <c r="AA13" s="3">
        <f t="shared" si="20"/>
        <v>184.78314643334301</v>
      </c>
      <c r="AB13" s="3">
        <f t="shared" si="20"/>
        <v>184.60864066502572</v>
      </c>
      <c r="AC13" s="3">
        <f t="shared" si="20"/>
        <v>184.43344248691699</v>
      </c>
      <c r="AD13" s="3">
        <f t="shared" si="20"/>
        <v>184.25755027767008</v>
      </c>
      <c r="AE13" s="3">
        <f t="shared" si="20"/>
        <v>184.0809624122476</v>
      </c>
      <c r="AF13" s="3">
        <f t="shared" si="20"/>
        <v>183.90367726188981</v>
      </c>
      <c r="AG13" s="3">
        <f t="shared" si="20"/>
        <v>183.72569319408109</v>
      </c>
      <c r="AH13" s="3">
        <f t="shared" si="20"/>
        <v>183.5470085725178</v>
      </c>
      <c r="AI13" s="3">
        <f t="shared" si="20"/>
        <v>183.36762175707406</v>
      </c>
      <c r="AJ13" s="3">
        <f t="shared" ref="AJ13:BO13" si="21">alphai*rhogi+(1-alphai)*rhowi</f>
        <v>183.1875311037677</v>
      </c>
      <c r="AK13" s="3">
        <f t="shared" si="21"/>
        <v>183.00673496472541</v>
      </c>
      <c r="AL13" s="3">
        <f t="shared" si="21"/>
        <v>182.82523168814731</v>
      </c>
      <c r="AM13" s="3">
        <f t="shared" si="21"/>
        <v>182.64301961827101</v>
      </c>
      <c r="AN13" s="3">
        <f t="shared" si="21"/>
        <v>182.46009709533553</v>
      </c>
      <c r="AO13" s="3">
        <f t="shared" si="21"/>
        <v>182.27646245554337</v>
      </c>
      <c r="AP13" s="3">
        <f t="shared" si="21"/>
        <v>182.09211403102384</v>
      </c>
      <c r="AQ13" s="3">
        <f t="shared" si="21"/>
        <v>181.90705014979383</v>
      </c>
      <c r="AR13" s="3">
        <f t="shared" si="21"/>
        <v>181.72126913571958</v>
      </c>
      <c r="AS13" s="3">
        <f t="shared" si="21"/>
        <v>181.53476930847654</v>
      </c>
      <c r="AT13" s="3">
        <f t="shared" si="21"/>
        <v>181.3475489835096</v>
      </c>
      <c r="AU13" s="3">
        <f t="shared" si="21"/>
        <v>181.15960647199205</v>
      </c>
      <c r="AV13" s="3">
        <f t="shared" si="21"/>
        <v>180.97094008078426</v>
      </c>
      <c r="AW13" s="3">
        <f t="shared" si="21"/>
        <v>180.78154811239142</v>
      </c>
      <c r="AX13" s="3">
        <f t="shared" si="21"/>
        <v>180.59142886492069</v>
      </c>
      <c r="AY13" s="3">
        <f t="shared" si="21"/>
        <v>180.40058063203759</v>
      </c>
      <c r="AZ13" s="3">
        <f t="shared" si="21"/>
        <v>180.20900170292188</v>
      </c>
      <c r="BA13" s="3">
        <f t="shared" si="21"/>
        <v>180.01669036222259</v>
      </c>
      <c r="BB13" s="3">
        <f t="shared" si="21"/>
        <v>179.82364489001242</v>
      </c>
      <c r="BC13" s="3">
        <f t="shared" si="21"/>
        <v>179.62986356174122</v>
      </c>
      <c r="BD13" s="3">
        <f t="shared" si="21"/>
        <v>179.43534464818885</v>
      </c>
      <c r="BE13" s="3">
        <f t="shared" si="21"/>
        <v>179.24008641541752</v>
      </c>
      <c r="BF13" s="3">
        <f t="shared" si="21"/>
        <v>179.04408712472286</v>
      </c>
      <c r="BG13" s="3">
        <f t="shared" si="21"/>
        <v>178.8473450325846</v>
      </c>
      <c r="BH13" s="3">
        <f t="shared" si="21"/>
        <v>178.64985839061609</v>
      </c>
      <c r="BI13" s="3">
        <f t="shared" si="21"/>
        <v>178.45162544551397</v>
      </c>
      <c r="BJ13" s="3">
        <f t="shared" si="21"/>
        <v>178.25264443900522</v>
      </c>
      <c r="BK13" s="3">
        <f t="shared" si="21"/>
        <v>178.05291360779546</v>
      </c>
      <c r="BL13" s="3">
        <f t="shared" si="21"/>
        <v>177.85243118351494</v>
      </c>
      <c r="BM13" s="3">
        <f t="shared" si="21"/>
        <v>177.65119539266414</v>
      </c>
      <c r="BN13" s="3">
        <f t="shared" si="21"/>
        <v>177.44920445655845</v>
      </c>
      <c r="BO13" s="3">
        <f t="shared" si="21"/>
        <v>177.24645659127262</v>
      </c>
      <c r="BP13" s="3">
        <f t="shared" ref="BP13:CZ13" si="22">alphai*rhogi+(1-alphai)*rhowi</f>
        <v>177.04295000758279</v>
      </c>
      <c r="BQ13" s="3">
        <f t="shared" si="22"/>
        <v>176.83868291090917</v>
      </c>
      <c r="BR13" s="3">
        <f t="shared" si="22"/>
        <v>176.63365350125693</v>
      </c>
      <c r="BS13" s="3">
        <f t="shared" si="22"/>
        <v>176.42785997315673</v>
      </c>
      <c r="BT13" s="3">
        <f t="shared" si="22"/>
        <v>176.22130051560296</v>
      </c>
      <c r="BU13" s="3">
        <f t="shared" si="22"/>
        <v>176.01397331199311</v>
      </c>
      <c r="BV13" s="3">
        <f t="shared" si="22"/>
        <v>175.80587654006467</v>
      </c>
      <c r="BW13" s="3">
        <f t="shared" si="22"/>
        <v>175.59700837183067</v>
      </c>
      <c r="BX13" s="3">
        <f t="shared" si="22"/>
        <v>175.38736697351595</v>
      </c>
      <c r="BY13" s="3">
        <f t="shared" si="22"/>
        <v>175.17695050549074</v>
      </c>
      <c r="BZ13" s="3">
        <f t="shared" si="22"/>
        <v>174.9657571222038</v>
      </c>
      <c r="CA13" s="3">
        <f t="shared" si="22"/>
        <v>174.75378497211466</v>
      </c>
      <c r="CB13" s="3">
        <f t="shared" si="22"/>
        <v>174.54103219762465</v>
      </c>
      <c r="CC13" s="3">
        <f t="shared" si="22"/>
        <v>174.32749693500642</v>
      </c>
      <c r="CD13" s="3">
        <f t="shared" si="22"/>
        <v>174.11317731433311</v>
      </c>
      <c r="CE13" s="3">
        <f t="shared" si="22"/>
        <v>173.89807145940549</v>
      </c>
      <c r="CF13" s="3">
        <f t="shared" si="22"/>
        <v>173.68217748767879</v>
      </c>
      <c r="CG13" s="3">
        <f t="shared" si="22"/>
        <v>173.4654935101878</v>
      </c>
      <c r="CH13" s="3">
        <f t="shared" si="22"/>
        <v>173.24801763147073</v>
      </c>
      <c r="CI13" s="3">
        <f t="shared" si="22"/>
        <v>173.02974794949225</v>
      </c>
      <c r="CJ13" s="3">
        <f t="shared" si="22"/>
        <v>172.81068255556534</v>
      </c>
      <c r="CK13" s="3">
        <f t="shared" si="22"/>
        <v>172.59081953427082</v>
      </c>
      <c r="CL13" s="3">
        <f t="shared" si="22"/>
        <v>172.37015696337741</v>
      </c>
      <c r="CM13" s="3">
        <f t="shared" si="22"/>
        <v>172.14869291375859</v>
      </c>
      <c r="CN13" s="3">
        <f t="shared" si="22"/>
        <v>171.92642544930965</v>
      </c>
      <c r="CO13" s="3">
        <f t="shared" si="22"/>
        <v>171.70335262686231</v>
      </c>
      <c r="CP13" s="3">
        <f t="shared" si="22"/>
        <v>171.47947249609862</v>
      </c>
      <c r="CQ13" s="3">
        <f t="shared" si="22"/>
        <v>171.25478309946342</v>
      </c>
      <c r="CR13" s="3">
        <f t="shared" si="22"/>
        <v>171.02928247207495</v>
      </c>
      <c r="CS13" s="3">
        <f t="shared" si="22"/>
        <v>170.80296864163455</v>
      </c>
      <c r="CT13" s="3">
        <f t="shared" si="22"/>
        <v>170.57583962833453</v>
      </c>
      <c r="CU13" s="3">
        <f t="shared" si="22"/>
        <v>170.34789344476428</v>
      </c>
      <c r="CV13" s="3">
        <f t="shared" si="22"/>
        <v>170.11912809581651</v>
      </c>
      <c r="CW13" s="3">
        <f t="shared" si="22"/>
        <v>169.88954157858905</v>
      </c>
      <c r="CX13" s="3">
        <f t="shared" si="22"/>
        <v>169.65913188228791</v>
      </c>
      <c r="CY13" s="3">
        <f t="shared" si="22"/>
        <v>169.4278969881272</v>
      </c>
      <c r="CZ13" s="3">
        <f t="shared" si="22"/>
        <v>169.19583486922787</v>
      </c>
      <c r="DA13" s="276" t="s">
        <v>360</v>
      </c>
    </row>
    <row r="14" spans="1:105">
      <c r="A14" s="64" t="s">
        <v>339</v>
      </c>
      <c r="B14" s="12" t="s">
        <v>351</v>
      </c>
      <c r="C14" s="12" t="s">
        <v>337</v>
      </c>
      <c r="D14" s="4">
        <f t="shared" ref="D14:AI14" si="23">dPi/rhomi</f>
        <v>337.20454258095975</v>
      </c>
      <c r="E14" s="4">
        <f t="shared" si="23"/>
        <v>337.48908543307522</v>
      </c>
      <c r="F14" s="4">
        <f t="shared" si="23"/>
        <v>337.77528582524724</v>
      </c>
      <c r="G14" s="4">
        <f t="shared" si="23"/>
        <v>338.06315374713654</v>
      </c>
      <c r="H14" s="4">
        <f t="shared" si="23"/>
        <v>338.35269927239733</v>
      </c>
      <c r="I14" s="4">
        <f t="shared" si="23"/>
        <v>338.64393255959078</v>
      </c>
      <c r="J14" s="4">
        <f t="shared" si="23"/>
        <v>338.93686385310838</v>
      </c>
      <c r="K14" s="4">
        <f t="shared" si="23"/>
        <v>339.23150348411156</v>
      </c>
      <c r="L14" s="4">
        <f t="shared" si="23"/>
        <v>339.52786187147865</v>
      </c>
      <c r="M14" s="4">
        <f t="shared" si="23"/>
        <v>339.82594952276969</v>
      </c>
      <c r="N14" s="4">
        <f t="shared" si="23"/>
        <v>340.12577703520054</v>
      </c>
      <c r="O14" s="4">
        <f t="shared" si="23"/>
        <v>340.42735509663129</v>
      </c>
      <c r="P14" s="4">
        <f t="shared" si="23"/>
        <v>340.73069448656872</v>
      </c>
      <c r="Q14" s="4">
        <f t="shared" si="23"/>
        <v>341.03580607718084</v>
      </c>
      <c r="R14" s="4">
        <f t="shared" si="23"/>
        <v>341.34270083432671</v>
      </c>
      <c r="S14" s="4">
        <f t="shared" si="23"/>
        <v>341.65138981859872</v>
      </c>
      <c r="T14" s="4">
        <f t="shared" si="23"/>
        <v>341.96188418637973</v>
      </c>
      <c r="U14" s="4">
        <f t="shared" si="23"/>
        <v>342.27419519091552</v>
      </c>
      <c r="V14" s="4">
        <f t="shared" si="23"/>
        <v>342.58833418340026</v>
      </c>
      <c r="W14" s="4">
        <f t="shared" si="23"/>
        <v>342.90431261407713</v>
      </c>
      <c r="X14" s="4">
        <f t="shared" si="23"/>
        <v>343.22214203335625</v>
      </c>
      <c r="Y14" s="4">
        <f t="shared" si="23"/>
        <v>343.54183409294421</v>
      </c>
      <c r="Z14" s="4">
        <f t="shared" si="23"/>
        <v>343.86340054699326</v>
      </c>
      <c r="AA14" s="4">
        <f t="shared" si="23"/>
        <v>344.18685325326305</v>
      </c>
      <c r="AB14" s="4">
        <f t="shared" si="23"/>
        <v>344.5122041742996</v>
      </c>
      <c r="AC14" s="4">
        <f t="shared" si="23"/>
        <v>344.83946537863267</v>
      </c>
      <c r="AD14" s="4">
        <f t="shared" si="23"/>
        <v>345.16864904198627</v>
      </c>
      <c r="AE14" s="4">
        <f t="shared" si="23"/>
        <v>345.49976744850886</v>
      </c>
      <c r="AF14" s="4">
        <f t="shared" si="23"/>
        <v>345.83283299201872</v>
      </c>
      <c r="AG14" s="4">
        <f t="shared" si="23"/>
        <v>346.16785817726981</v>
      </c>
      <c r="AH14" s="4">
        <f t="shared" si="23"/>
        <v>346.50485562123163</v>
      </c>
      <c r="AI14" s="4">
        <f t="shared" si="23"/>
        <v>346.84383805439006</v>
      </c>
      <c r="AJ14" s="4">
        <f t="shared" ref="AJ14:BO14" si="24">dPi/rhomi</f>
        <v>347.18481832206515</v>
      </c>
      <c r="AK14" s="4">
        <f t="shared" si="24"/>
        <v>347.52780938574824</v>
      </c>
      <c r="AL14" s="4">
        <f t="shared" si="24"/>
        <v>347.87282432445824</v>
      </c>
      <c r="AM14" s="4">
        <f t="shared" si="24"/>
        <v>348.21987633611656</v>
      </c>
      <c r="AN14" s="4">
        <f t="shared" si="24"/>
        <v>348.56897873894167</v>
      </c>
      <c r="AO14" s="4">
        <f t="shared" si="24"/>
        <v>348.92014497286539</v>
      </c>
      <c r="AP14" s="4">
        <f t="shared" si="24"/>
        <v>349.27338860096626</v>
      </c>
      <c r="AQ14" s="4">
        <f t="shared" si="24"/>
        <v>349.62872331092728</v>
      </c>
      <c r="AR14" s="4">
        <f t="shared" si="24"/>
        <v>349.98616291651183</v>
      </c>
      <c r="AS14" s="4">
        <f t="shared" si="24"/>
        <v>350.34572135906268</v>
      </c>
      <c r="AT14" s="4">
        <f t="shared" si="24"/>
        <v>350.70741270902181</v>
      </c>
      <c r="AU14" s="4">
        <f t="shared" si="24"/>
        <v>351.07125116747278</v>
      </c>
      <c r="AV14" s="4">
        <f t="shared" si="24"/>
        <v>351.4372510677054</v>
      </c>
      <c r="AW14" s="4">
        <f t="shared" si="24"/>
        <v>351.80542687680344</v>
      </c>
      <c r="AX14" s="4">
        <f t="shared" si="24"/>
        <v>352.17579319725581</v>
      </c>
      <c r="AY14" s="4">
        <f t="shared" si="24"/>
        <v>352.54836476859123</v>
      </c>
      <c r="AZ14" s="4">
        <f t="shared" si="24"/>
        <v>352.92315646903694</v>
      </c>
      <c r="BA14" s="4">
        <f t="shared" si="24"/>
        <v>353.30018331720208</v>
      </c>
      <c r="BB14" s="4">
        <f t="shared" si="24"/>
        <v>353.67946047378581</v>
      </c>
      <c r="BC14" s="4">
        <f t="shared" si="24"/>
        <v>354.0610032433114</v>
      </c>
      <c r="BD14" s="4">
        <f t="shared" si="24"/>
        <v>354.44482707588571</v>
      </c>
      <c r="BE14" s="4">
        <f t="shared" si="24"/>
        <v>354.83094756898436</v>
      </c>
      <c r="BF14" s="4">
        <f t="shared" si="24"/>
        <v>355.21938046926545</v>
      </c>
      <c r="BG14" s="4">
        <f t="shared" si="24"/>
        <v>355.61014167440857</v>
      </c>
      <c r="BH14" s="4">
        <f t="shared" si="24"/>
        <v>356.00324723498323</v>
      </c>
      <c r="BI14" s="4">
        <f t="shared" si="24"/>
        <v>356.39871335634314</v>
      </c>
      <c r="BJ14" s="4">
        <f t="shared" si="24"/>
        <v>356.79655640055302</v>
      </c>
      <c r="BK14" s="4">
        <f t="shared" si="24"/>
        <v>357.19679288834021</v>
      </c>
      <c r="BL14" s="4">
        <f t="shared" si="24"/>
        <v>357.59943950107942</v>
      </c>
      <c r="BM14" s="4">
        <f t="shared" si="24"/>
        <v>358.00451308280651</v>
      </c>
      <c r="BN14" s="4">
        <f t="shared" si="24"/>
        <v>358.41203064226318</v>
      </c>
      <c r="BO14" s="4">
        <f t="shared" si="24"/>
        <v>358.8220093549719</v>
      </c>
      <c r="BP14" s="4">
        <f t="shared" ref="BP14:CZ14" si="25">dPi/rhomi</f>
        <v>359.23446656534611</v>
      </c>
      <c r="BQ14" s="4">
        <f t="shared" si="25"/>
        <v>359.64941978882928</v>
      </c>
      <c r="BR14" s="4">
        <f t="shared" si="25"/>
        <v>360.06688671406926</v>
      </c>
      <c r="BS14" s="4">
        <f t="shared" si="25"/>
        <v>360.48688520512513</v>
      </c>
      <c r="BT14" s="4">
        <f t="shared" si="25"/>
        <v>360.90943330371113</v>
      </c>
      <c r="BU14" s="4">
        <f t="shared" si="25"/>
        <v>361.33454923147127</v>
      </c>
      <c r="BV14" s="4">
        <f t="shared" si="25"/>
        <v>361.76225139229268</v>
      </c>
      <c r="BW14" s="4">
        <f t="shared" si="25"/>
        <v>362.19255837465602</v>
      </c>
      <c r="BX14" s="4">
        <f t="shared" si="25"/>
        <v>362.62548895401932</v>
      </c>
      <c r="BY14" s="4">
        <f t="shared" si="25"/>
        <v>363.06106209524279</v>
      </c>
      <c r="BZ14" s="4">
        <f t="shared" si="25"/>
        <v>363.49929695505074</v>
      </c>
      <c r="CA14" s="4">
        <f t="shared" si="25"/>
        <v>363.94021288453263</v>
      </c>
      <c r="CB14" s="4">
        <f t="shared" si="25"/>
        <v>364.38382943168352</v>
      </c>
      <c r="CC14" s="4">
        <f t="shared" si="25"/>
        <v>364.83016634398683</v>
      </c>
      <c r="CD14" s="4">
        <f t="shared" si="25"/>
        <v>365.27924357103586</v>
      </c>
      <c r="CE14" s="4">
        <f t="shared" si="25"/>
        <v>365.73108126720035</v>
      </c>
      <c r="CF14" s="4">
        <f t="shared" si="25"/>
        <v>366.18569979433323</v>
      </c>
      <c r="CG14" s="4">
        <f t="shared" si="25"/>
        <v>366.64311972452293</v>
      </c>
      <c r="CH14" s="4">
        <f t="shared" si="25"/>
        <v>367.10336184289037</v>
      </c>
      <c r="CI14" s="4">
        <f t="shared" si="25"/>
        <v>367.56644715042989</v>
      </c>
      <c r="CJ14" s="4">
        <f t="shared" si="25"/>
        <v>368.03239686689739</v>
      </c>
      <c r="CK14" s="4">
        <f t="shared" si="25"/>
        <v>368.50123243374719</v>
      </c>
      <c r="CL14" s="4">
        <f t="shared" si="25"/>
        <v>368.97297551711341</v>
      </c>
      <c r="CM14" s="4">
        <f t="shared" si="25"/>
        <v>369.44764801084449</v>
      </c>
      <c r="CN14" s="4">
        <f t="shared" si="25"/>
        <v>369.92527203958468</v>
      </c>
      <c r="CO14" s="4">
        <f t="shared" si="25"/>
        <v>370.40586996190831</v>
      </c>
      <c r="CP14" s="4">
        <f t="shared" si="25"/>
        <v>370.88946437350523</v>
      </c>
      <c r="CQ14" s="4">
        <f t="shared" si="25"/>
        <v>371.37607811041931</v>
      </c>
      <c r="CR14" s="4">
        <f t="shared" si="25"/>
        <v>371.86573425234133</v>
      </c>
      <c r="CS14" s="4">
        <f t="shared" si="25"/>
        <v>372.35845612595676</v>
      </c>
      <c r="CT14" s="4">
        <f t="shared" si="25"/>
        <v>372.85426730834979</v>
      </c>
      <c r="CU14" s="4">
        <f t="shared" si="25"/>
        <v>373.3531916304658</v>
      </c>
      <c r="CV14" s="4">
        <f t="shared" si="25"/>
        <v>373.85525318062844</v>
      </c>
      <c r="CW14" s="4">
        <f t="shared" si="25"/>
        <v>374.36047630812288</v>
      </c>
      <c r="CX14" s="4">
        <f t="shared" si="25"/>
        <v>374.8688856268335</v>
      </c>
      <c r="CY14" s="4">
        <f t="shared" si="25"/>
        <v>375.38050601894719</v>
      </c>
      <c r="CZ14" s="4">
        <f t="shared" si="25"/>
        <v>375.89536263871912</v>
      </c>
      <c r="DA14" s="277" t="s">
        <v>361</v>
      </c>
    </row>
    <row r="15" spans="1:105">
      <c r="A15" s="64" t="s">
        <v>373</v>
      </c>
      <c r="B15" s="12" t="s">
        <v>374</v>
      </c>
      <c r="C15" s="12"/>
      <c r="D15" s="4">
        <f>D14</f>
        <v>337.20454258095975</v>
      </c>
      <c r="E15" s="4">
        <f t="shared" ref="E15:AJ15" si="26">D15+hVs</f>
        <v>674.69362801403497</v>
      </c>
      <c r="F15" s="4">
        <f t="shared" si="26"/>
        <v>1012.4689138392822</v>
      </c>
      <c r="G15" s="4">
        <f t="shared" si="26"/>
        <v>1350.5320675864186</v>
      </c>
      <c r="H15" s="4">
        <f t="shared" si="26"/>
        <v>1688.884766858816</v>
      </c>
      <c r="I15" s="4">
        <f t="shared" si="26"/>
        <v>2027.5286994184066</v>
      </c>
      <c r="J15" s="4">
        <f t="shared" si="26"/>
        <v>2366.4655632715148</v>
      </c>
      <c r="K15" s="4">
        <f t="shared" si="26"/>
        <v>2705.6970667556266</v>
      </c>
      <c r="L15" s="4">
        <f t="shared" si="26"/>
        <v>3045.2249286271053</v>
      </c>
      <c r="M15" s="4">
        <f t="shared" si="26"/>
        <v>3385.0508781498752</v>
      </c>
      <c r="N15" s="4">
        <f t="shared" si="26"/>
        <v>3725.1766551850756</v>
      </c>
      <c r="O15" s="4">
        <f t="shared" si="26"/>
        <v>4065.6040102817069</v>
      </c>
      <c r="P15" s="4">
        <f t="shared" si="26"/>
        <v>4406.3347047682755</v>
      </c>
      <c r="Q15" s="4">
        <f t="shared" si="26"/>
        <v>4747.370510845456</v>
      </c>
      <c r="R15" s="4">
        <f t="shared" si="26"/>
        <v>5088.7132116797829</v>
      </c>
      <c r="S15" s="4">
        <f t="shared" si="26"/>
        <v>5430.3646014983815</v>
      </c>
      <c r="T15" s="4">
        <f t="shared" si="26"/>
        <v>5772.3264856847609</v>
      </c>
      <c r="U15" s="4">
        <f t="shared" si="26"/>
        <v>6114.6006808756765</v>
      </c>
      <c r="V15" s="4">
        <f t="shared" si="26"/>
        <v>6457.1890150590771</v>
      </c>
      <c r="W15" s="4">
        <f t="shared" si="26"/>
        <v>6800.0933276731539</v>
      </c>
      <c r="X15" s="4">
        <f t="shared" si="26"/>
        <v>7143.3154697065102</v>
      </c>
      <c r="Y15" s="4">
        <f t="shared" si="26"/>
        <v>7486.8573037994547</v>
      </c>
      <c r="Z15" s="4">
        <f t="shared" si="26"/>
        <v>7830.7207043464477</v>
      </c>
      <c r="AA15" s="4">
        <f t="shared" si="26"/>
        <v>8174.9075575997103</v>
      </c>
      <c r="AB15" s="4">
        <f t="shared" si="26"/>
        <v>8519.4197617740101</v>
      </c>
      <c r="AC15" s="4">
        <f t="shared" si="26"/>
        <v>8864.2592271526428</v>
      </c>
      <c r="AD15" s="4">
        <f t="shared" si="26"/>
        <v>9209.4278761946298</v>
      </c>
      <c r="AE15" s="4">
        <f t="shared" si="26"/>
        <v>9554.9276436431392</v>
      </c>
      <c r="AF15" s="4">
        <f t="shared" si="26"/>
        <v>9900.7604766351578</v>
      </c>
      <c r="AG15" s="4">
        <f t="shared" si="26"/>
        <v>10246.928334812428</v>
      </c>
      <c r="AH15" s="4">
        <f t="shared" si="26"/>
        <v>10593.43319043366</v>
      </c>
      <c r="AI15" s="4">
        <f t="shared" si="26"/>
        <v>10940.27702848805</v>
      </c>
      <c r="AJ15" s="4">
        <f t="shared" si="26"/>
        <v>11287.461846810114</v>
      </c>
      <c r="AK15" s="4">
        <f t="shared" ref="AK15:BP15" si="27">AJ15+hVs</f>
        <v>11634.989656195863</v>
      </c>
      <c r="AL15" s="4">
        <f t="shared" si="27"/>
        <v>11982.862480520322</v>
      </c>
      <c r="AM15" s="4">
        <f t="shared" si="27"/>
        <v>12331.082356856437</v>
      </c>
      <c r="AN15" s="4">
        <f t="shared" si="27"/>
        <v>12679.651335595379</v>
      </c>
      <c r="AO15" s="4">
        <f t="shared" si="27"/>
        <v>13028.571480568246</v>
      </c>
      <c r="AP15" s="4">
        <f t="shared" si="27"/>
        <v>13377.844869169212</v>
      </c>
      <c r="AQ15" s="4">
        <f t="shared" si="27"/>
        <v>13727.473592480139</v>
      </c>
      <c r="AR15" s="4">
        <f t="shared" si="27"/>
        <v>14077.459755396651</v>
      </c>
      <c r="AS15" s="4">
        <f t="shared" si="27"/>
        <v>14427.805476755713</v>
      </c>
      <c r="AT15" s="4">
        <f t="shared" si="27"/>
        <v>14778.512889464735</v>
      </c>
      <c r="AU15" s="4">
        <f t="shared" si="27"/>
        <v>15129.584140632207</v>
      </c>
      <c r="AV15" s="4">
        <f t="shared" si="27"/>
        <v>15481.021391699913</v>
      </c>
      <c r="AW15" s="4">
        <f t="shared" si="27"/>
        <v>15832.826818576716</v>
      </c>
      <c r="AX15" s="4">
        <f t="shared" si="27"/>
        <v>16185.002611773971</v>
      </c>
      <c r="AY15" s="4">
        <f t="shared" si="27"/>
        <v>16537.550976542563</v>
      </c>
      <c r="AZ15" s="4">
        <f t="shared" si="27"/>
        <v>16890.474133011601</v>
      </c>
      <c r="BA15" s="4">
        <f t="shared" si="27"/>
        <v>17243.774316328803</v>
      </c>
      <c r="BB15" s="4">
        <f t="shared" si="27"/>
        <v>17597.453776802588</v>
      </c>
      <c r="BC15" s="4">
        <f t="shared" si="27"/>
        <v>17951.514780045898</v>
      </c>
      <c r="BD15" s="4">
        <f t="shared" si="27"/>
        <v>18305.959607121782</v>
      </c>
      <c r="BE15" s="4">
        <f t="shared" si="27"/>
        <v>18660.790554690768</v>
      </c>
      <c r="BF15" s="4">
        <f t="shared" si="27"/>
        <v>19016.009935160033</v>
      </c>
      <c r="BG15" s="4">
        <f t="shared" si="27"/>
        <v>19371.620076834442</v>
      </c>
      <c r="BH15" s="4">
        <f t="shared" si="27"/>
        <v>19727.623324069427</v>
      </c>
      <c r="BI15" s="4">
        <f t="shared" si="27"/>
        <v>20084.02203742577</v>
      </c>
      <c r="BJ15" s="4">
        <f t="shared" si="27"/>
        <v>20440.818593826323</v>
      </c>
      <c r="BK15" s="4">
        <f t="shared" si="27"/>
        <v>20798.015386714662</v>
      </c>
      <c r="BL15" s="4">
        <f t="shared" si="27"/>
        <v>21155.61482621574</v>
      </c>
      <c r="BM15" s="4">
        <f t="shared" si="27"/>
        <v>21513.619339298548</v>
      </c>
      <c r="BN15" s="4">
        <f t="shared" si="27"/>
        <v>21872.031369940811</v>
      </c>
      <c r="BO15" s="4">
        <f t="shared" si="27"/>
        <v>22230.853379295782</v>
      </c>
      <c r="BP15" s="4">
        <f t="shared" si="27"/>
        <v>22590.08784586113</v>
      </c>
      <c r="BQ15" s="4">
        <f t="shared" ref="BQ15:CZ15" si="28">BP15+hVs</f>
        <v>22949.737265649957</v>
      </c>
      <c r="BR15" s="4">
        <f t="shared" si="28"/>
        <v>23309.804152364028</v>
      </c>
      <c r="BS15" s="4">
        <f t="shared" si="28"/>
        <v>23670.291037569154</v>
      </c>
      <c r="BT15" s="4">
        <f t="shared" si="28"/>
        <v>24031.200470872864</v>
      </c>
      <c r="BU15" s="4">
        <f t="shared" si="28"/>
        <v>24392.535020104337</v>
      </c>
      <c r="BV15" s="4">
        <f t="shared" si="28"/>
        <v>24754.297271496631</v>
      </c>
      <c r="BW15" s="4">
        <f t="shared" si="28"/>
        <v>25116.489829871287</v>
      </c>
      <c r="BX15" s="4">
        <f t="shared" si="28"/>
        <v>25479.115318825305</v>
      </c>
      <c r="BY15" s="4">
        <f t="shared" si="28"/>
        <v>25842.176380920548</v>
      </c>
      <c r="BZ15" s="4">
        <f t="shared" si="28"/>
        <v>26205.675677875599</v>
      </c>
      <c r="CA15" s="4">
        <f t="shared" si="28"/>
        <v>26569.615890760131</v>
      </c>
      <c r="CB15" s="4">
        <f t="shared" si="28"/>
        <v>26933.999720191816</v>
      </c>
      <c r="CC15" s="4">
        <f t="shared" si="28"/>
        <v>27298.829886535801</v>
      </c>
      <c r="CD15" s="4">
        <f t="shared" si="28"/>
        <v>27664.109130106837</v>
      </c>
      <c r="CE15" s="4">
        <f t="shared" si="28"/>
        <v>28029.840211374038</v>
      </c>
      <c r="CF15" s="4">
        <f t="shared" si="28"/>
        <v>28396.02591116837</v>
      </c>
      <c r="CG15" s="4">
        <f t="shared" si="28"/>
        <v>28762.669030892892</v>
      </c>
      <c r="CH15" s="4">
        <f t="shared" si="28"/>
        <v>29129.772392735784</v>
      </c>
      <c r="CI15" s="4">
        <f t="shared" si="28"/>
        <v>29497.338839886215</v>
      </c>
      <c r="CJ15" s="4">
        <f t="shared" si="28"/>
        <v>29865.371236753112</v>
      </c>
      <c r="CK15" s="4">
        <f t="shared" si="28"/>
        <v>30233.872469186859</v>
      </c>
      <c r="CL15" s="4">
        <f t="shared" si="28"/>
        <v>30602.845444703973</v>
      </c>
      <c r="CM15" s="4">
        <f t="shared" si="28"/>
        <v>30972.293092714819</v>
      </c>
      <c r="CN15" s="4">
        <f t="shared" si="28"/>
        <v>31342.218364754404</v>
      </c>
      <c r="CO15" s="4">
        <f t="shared" si="28"/>
        <v>31712.624234716313</v>
      </c>
      <c r="CP15" s="4">
        <f t="shared" si="28"/>
        <v>32083.513699089817</v>
      </c>
      <c r="CQ15" s="4">
        <f t="shared" si="28"/>
        <v>32454.889777200238</v>
      </c>
      <c r="CR15" s="4">
        <f t="shared" si="28"/>
        <v>32826.755511452582</v>
      </c>
      <c r="CS15" s="4">
        <f t="shared" si="28"/>
        <v>33199.113967578538</v>
      </c>
      <c r="CT15" s="4">
        <f t="shared" si="28"/>
        <v>33571.968234886888</v>
      </c>
      <c r="CU15" s="4">
        <f t="shared" si="28"/>
        <v>33945.321426517352</v>
      </c>
      <c r="CV15" s="4">
        <f t="shared" si="28"/>
        <v>34319.176679697979</v>
      </c>
      <c r="CW15" s="4">
        <f t="shared" si="28"/>
        <v>34693.537156006103</v>
      </c>
      <c r="CX15" s="4">
        <f t="shared" si="28"/>
        <v>35068.406041632938</v>
      </c>
      <c r="CY15" s="4">
        <f t="shared" si="28"/>
        <v>35443.786547651885</v>
      </c>
      <c r="CZ15" s="4">
        <f t="shared" si="28"/>
        <v>35819.681910290601</v>
      </c>
      <c r="DA15" s="277"/>
    </row>
    <row r="16" spans="1:105">
      <c r="A16" s="64" t="s">
        <v>336</v>
      </c>
      <c r="B16" s="261" t="s">
        <v>338</v>
      </c>
      <c r="C16" s="261" t="s">
        <v>4</v>
      </c>
      <c r="D16" s="262"/>
      <c r="E16" s="282">
        <f t="shared" ref="E16:AJ16" si="29">IF(E13&lt;D13,SQRT(dPi/(D13-E13)),"-")</f>
        <v>632.41583276872029</v>
      </c>
      <c r="F16" s="282">
        <f t="shared" si="29"/>
        <v>631.11527100154751</v>
      </c>
      <c r="G16" s="282">
        <f t="shared" si="29"/>
        <v>629.81966714590635</v>
      </c>
      <c r="H16" s="282">
        <f t="shared" si="29"/>
        <v>628.52898938844146</v>
      </c>
      <c r="I16" s="282">
        <f t="shared" si="29"/>
        <v>627.2432061756773</v>
      </c>
      <c r="J16" s="282">
        <f t="shared" si="29"/>
        <v>625.96228621330454</v>
      </c>
      <c r="K16" s="282">
        <f t="shared" si="29"/>
        <v>624.68619845813089</v>
      </c>
      <c r="L16" s="282">
        <f t="shared" si="29"/>
        <v>623.41491212152209</v>
      </c>
      <c r="M16" s="282">
        <f t="shared" si="29"/>
        <v>622.1483966598513</v>
      </c>
      <c r="N16" s="282">
        <f t="shared" si="29"/>
        <v>620.88662177582353</v>
      </c>
      <c r="O16" s="282">
        <f t="shared" si="29"/>
        <v>619.62955741416511</v>
      </c>
      <c r="P16" s="282">
        <f t="shared" si="29"/>
        <v>618.37717375777993</v>
      </c>
      <c r="Q16" s="282">
        <f t="shared" si="29"/>
        <v>617.12944122629904</v>
      </c>
      <c r="R16" s="282">
        <f t="shared" si="29"/>
        <v>615.88633047201586</v>
      </c>
      <c r="S16" s="282">
        <f t="shared" si="29"/>
        <v>614.64781237793568</v>
      </c>
      <c r="T16" s="282">
        <f t="shared" si="29"/>
        <v>613.41385805475943</v>
      </c>
      <c r="U16" s="282">
        <f t="shared" si="29"/>
        <v>612.18443883720317</v>
      </c>
      <c r="V16" s="282">
        <f t="shared" si="29"/>
        <v>610.95952628258874</v>
      </c>
      <c r="W16" s="282">
        <f t="shared" si="29"/>
        <v>609.73909216811728</v>
      </c>
      <c r="X16" s="282">
        <f t="shared" si="29"/>
        <v>608.52310848597244</v>
      </c>
      <c r="Y16" s="282">
        <f t="shared" si="29"/>
        <v>607.31154744445644</v>
      </c>
      <c r="Z16" s="282">
        <f t="shared" si="29"/>
        <v>606.10438146132412</v>
      </c>
      <c r="AA16" s="282">
        <f t="shared" si="29"/>
        <v>604.90158316442751</v>
      </c>
      <c r="AB16" s="282">
        <f t="shared" si="29"/>
        <v>603.70312538835913</v>
      </c>
      <c r="AC16" s="282">
        <f t="shared" si="29"/>
        <v>602.50898116974838</v>
      </c>
      <c r="AD16" s="282">
        <f t="shared" si="29"/>
        <v>601.31912374821934</v>
      </c>
      <c r="AE16" s="282">
        <f t="shared" si="29"/>
        <v>600.13352656161885</v>
      </c>
      <c r="AF16" s="282">
        <f t="shared" si="29"/>
        <v>598.95216324492151</v>
      </c>
      <c r="AG16" s="282">
        <f t="shared" si="29"/>
        <v>597.77500762569412</v>
      </c>
      <c r="AH16" s="282">
        <f t="shared" si="29"/>
        <v>596.60203372494493</v>
      </c>
      <c r="AI16" s="282">
        <f t="shared" si="29"/>
        <v>595.43321575219238</v>
      </c>
      <c r="AJ16" s="282">
        <f t="shared" si="29"/>
        <v>594.26852810432558</v>
      </c>
      <c r="AK16" s="282">
        <f t="shared" ref="AK16:BP16" si="30">IF(AK13&lt;AJ13,SQRT(dPi/(AJ13-AK13)),"-")</f>
        <v>593.10794536306469</v>
      </c>
      <c r="AL16" s="282">
        <f t="shared" si="30"/>
        <v>591.9514422924716</v>
      </c>
      <c r="AM16" s="282">
        <f t="shared" si="30"/>
        <v>590.79899383701581</v>
      </c>
      <c r="AN16" s="282">
        <f t="shared" si="30"/>
        <v>589.65057511998998</v>
      </c>
      <c r="AO16" s="282">
        <f t="shared" si="30"/>
        <v>588.50616143934872</v>
      </c>
      <c r="AP16" s="282">
        <f t="shared" si="30"/>
        <v>587.36572826849897</v>
      </c>
      <c r="AQ16" s="282">
        <f t="shared" si="30"/>
        <v>586.22925125108657</v>
      </c>
      <c r="AR16" s="282">
        <f t="shared" si="30"/>
        <v>585.09670620147699</v>
      </c>
      <c r="AS16" s="282">
        <f t="shared" si="30"/>
        <v>583.96806910064686</v>
      </c>
      <c r="AT16" s="282">
        <f t="shared" si="30"/>
        <v>582.84331609567869</v>
      </c>
      <c r="AU16" s="282">
        <f t="shared" si="30"/>
        <v>581.72242349682062</v>
      </c>
      <c r="AV16" s="282">
        <f t="shared" si="30"/>
        <v>580.60536777597133</v>
      </c>
      <c r="AW16" s="282">
        <f t="shared" si="30"/>
        <v>579.49212556435759</v>
      </c>
      <c r="AX16" s="282">
        <f t="shared" si="30"/>
        <v>578.38267365065178</v>
      </c>
      <c r="AY16" s="282">
        <f t="shared" si="30"/>
        <v>577.27698897894936</v>
      </c>
      <c r="AZ16" s="282">
        <f t="shared" si="30"/>
        <v>576.17504864708621</v>
      </c>
      <c r="BA16" s="282">
        <f t="shared" si="30"/>
        <v>575.07682990455851</v>
      </c>
      <c r="BB16" s="282">
        <f t="shared" si="30"/>
        <v>573.98231015078125</v>
      </c>
      <c r="BC16" s="282">
        <f t="shared" si="30"/>
        <v>572.89146693291559</v>
      </c>
      <c r="BD16" s="282">
        <f t="shared" si="30"/>
        <v>571.80427794420189</v>
      </c>
      <c r="BE16" s="282">
        <f t="shared" si="30"/>
        <v>570.72072102253082</v>
      </c>
      <c r="BF16" s="282">
        <f t="shared" si="30"/>
        <v>569.64077414779661</v>
      </c>
      <c r="BG16" s="282">
        <f t="shared" si="30"/>
        <v>568.56441544079382</v>
      </c>
      <c r="BH16" s="282">
        <f t="shared" si="30"/>
        <v>567.49162316085904</v>
      </c>
      <c r="BI16" s="282">
        <f t="shared" si="30"/>
        <v>566.42237570543625</v>
      </c>
      <c r="BJ16" s="282">
        <f t="shared" si="30"/>
        <v>565.3566516058371</v>
      </c>
      <c r="BK16" s="282">
        <f t="shared" si="30"/>
        <v>564.29442952842032</v>
      </c>
      <c r="BL16" s="282">
        <f t="shared" si="30"/>
        <v>563.23568827087718</v>
      </c>
      <c r="BM16" s="282">
        <f t="shared" si="30"/>
        <v>562.18040676112048</v>
      </c>
      <c r="BN16" s="282">
        <f t="shared" si="30"/>
        <v>561.12856405559717</v>
      </c>
      <c r="BO16" s="282">
        <f t="shared" si="30"/>
        <v>560.08013933849907</v>
      </c>
      <c r="BP16" s="282">
        <f t="shared" si="30"/>
        <v>559.03511191805103</v>
      </c>
      <c r="BQ16" s="282">
        <f t="shared" ref="BQ16:CZ16" si="31">IF(BQ13&lt;BP13,SQRT(dPi/(BP13-BQ13)),"-")</f>
        <v>557.99346122701854</v>
      </c>
      <c r="BR16" s="282">
        <f t="shared" si="31"/>
        <v>556.95516681989614</v>
      </c>
      <c r="BS16" s="282">
        <f t="shared" si="31"/>
        <v>555.9202083721284</v>
      </c>
      <c r="BT16" s="282">
        <f t="shared" si="31"/>
        <v>554.88856567670371</v>
      </c>
      <c r="BU16" s="282">
        <f t="shared" si="31"/>
        <v>553.86021864539839</v>
      </c>
      <c r="BV16" s="282">
        <f t="shared" si="31"/>
        <v>552.8351473052802</v>
      </c>
      <c r="BW16" s="282">
        <f t="shared" si="31"/>
        <v>551.81333179662386</v>
      </c>
      <c r="BX16" s="282">
        <f t="shared" si="31"/>
        <v>550.79475237379211</v>
      </c>
      <c r="BY16" s="282">
        <f t="shared" si="31"/>
        <v>549.77938940139074</v>
      </c>
      <c r="BZ16" s="282">
        <f t="shared" si="31"/>
        <v>548.76722335374905</v>
      </c>
      <c r="CA16" s="282">
        <f t="shared" si="31"/>
        <v>547.75823481348209</v>
      </c>
      <c r="CB16" s="282">
        <f t="shared" si="31"/>
        <v>546.75240446994053</v>
      </c>
      <c r="CC16" s="282">
        <f t="shared" si="31"/>
        <v>545.74971311722322</v>
      </c>
      <c r="CD16" s="282">
        <f t="shared" si="31"/>
        <v>544.75014165361472</v>
      </c>
      <c r="CE16" s="282">
        <f t="shared" si="31"/>
        <v>543.75367107912325</v>
      </c>
      <c r="CF16" s="282">
        <f t="shared" si="31"/>
        <v>542.76028249508613</v>
      </c>
      <c r="CG16" s="282">
        <f t="shared" si="31"/>
        <v>541.76995710196354</v>
      </c>
      <c r="CH16" s="282">
        <f t="shared" si="31"/>
        <v>540.78267619797055</v>
      </c>
      <c r="CI16" s="282">
        <f t="shared" si="31"/>
        <v>539.79842117812609</v>
      </c>
      <c r="CJ16" s="282">
        <f t="shared" si="31"/>
        <v>538.81717353293948</v>
      </c>
      <c r="CK16" s="282">
        <f t="shared" si="31"/>
        <v>537.8389148456672</v>
      </c>
      <c r="CL16" s="282">
        <f t="shared" si="31"/>
        <v>536.86362679317472</v>
      </c>
      <c r="CM16" s="282">
        <f t="shared" si="31"/>
        <v>535.89129114229127</v>
      </c>
      <c r="CN16" s="282">
        <f t="shared" si="31"/>
        <v>534.9218897502044</v>
      </c>
      <c r="CO16" s="282">
        <f t="shared" si="31"/>
        <v>533.95540456190861</v>
      </c>
      <c r="CP16" s="282">
        <f t="shared" si="31"/>
        <v>532.99181760948659</v>
      </c>
      <c r="CQ16" s="282">
        <f t="shared" si="31"/>
        <v>532.03111101086631</v>
      </c>
      <c r="CR16" s="282">
        <f t="shared" si="31"/>
        <v>531.07326696787482</v>
      </c>
      <c r="CS16" s="282">
        <f t="shared" si="31"/>
        <v>530.11826776557859</v>
      </c>
      <c r="CT16" s="282">
        <f t="shared" si="31"/>
        <v>529.16609577054476</v>
      </c>
      <c r="CU16" s="282">
        <f t="shared" si="31"/>
        <v>528.21673342915346</v>
      </c>
      <c r="CV16" s="282">
        <f t="shared" si="31"/>
        <v>527.27016326831415</v>
      </c>
      <c r="CW16" s="282">
        <f t="shared" si="31"/>
        <v>526.32636789071455</v>
      </c>
      <c r="CX16" s="282">
        <f t="shared" si="31"/>
        <v>525.38532997682557</v>
      </c>
      <c r="CY16" s="282">
        <f t="shared" si="31"/>
        <v>524.4470322818421</v>
      </c>
      <c r="CZ16" s="282">
        <f t="shared" si="31"/>
        <v>523.51145763489694</v>
      </c>
      <c r="DA16" s="278" t="s">
        <v>362</v>
      </c>
    </row>
    <row r="17" spans="1:105">
      <c r="A17" s="64" t="s">
        <v>352</v>
      </c>
      <c r="B17" s="12" t="s">
        <v>353</v>
      </c>
      <c r="C17" s="12" t="s">
        <v>4</v>
      </c>
      <c r="D17" s="4"/>
      <c r="E17" s="4">
        <f>SQRT(2*sighVs)</f>
        <v>36.734006806065544</v>
      </c>
      <c r="F17" s="4">
        <f t="shared" ref="F17:AJ17" si="32">SQRT(2*sighVs)</f>
        <v>44.999309191126081</v>
      </c>
      <c r="G17" s="4">
        <f t="shared" si="32"/>
        <v>51.971762863817091</v>
      </c>
      <c r="H17" s="4">
        <f t="shared" si="32"/>
        <v>58.118581656107473</v>
      </c>
      <c r="I17" s="4">
        <f t="shared" si="32"/>
        <v>63.679332587871968</v>
      </c>
      <c r="J17" s="4">
        <f t="shared" si="32"/>
        <v>68.79630169233684</v>
      </c>
      <c r="K17" s="4">
        <f t="shared" si="32"/>
        <v>73.562178689264314</v>
      </c>
      <c r="L17" s="4">
        <f t="shared" si="32"/>
        <v>78.04133428673687</v>
      </c>
      <c r="M17" s="4">
        <f t="shared" si="32"/>
        <v>82.280628074290675</v>
      </c>
      <c r="N17" s="4">
        <f t="shared" si="32"/>
        <v>86.315429155917144</v>
      </c>
      <c r="O17" s="4">
        <f t="shared" si="32"/>
        <v>90.173211213549521</v>
      </c>
      <c r="P17" s="4">
        <f t="shared" si="32"/>
        <v>93.875819088498773</v>
      </c>
      <c r="Q17" s="4">
        <f t="shared" si="32"/>
        <v>97.440961723963454</v>
      </c>
      <c r="R17" s="4">
        <f t="shared" si="32"/>
        <v>100.88323162626962</v>
      </c>
      <c r="S17" s="4">
        <f t="shared" si="32"/>
        <v>104.21482237665026</v>
      </c>
      <c r="T17" s="4">
        <f t="shared" si="32"/>
        <v>107.44604679265554</v>
      </c>
      <c r="U17" s="4">
        <f t="shared" si="32"/>
        <v>110.5857195199785</v>
      </c>
      <c r="V17" s="4">
        <f t="shared" si="32"/>
        <v>113.6414450370909</v>
      </c>
      <c r="W17" s="4">
        <f t="shared" si="32"/>
        <v>116.61983817235517</v>
      </c>
      <c r="X17" s="4">
        <f t="shared" si="32"/>
        <v>119.52669550946776</v>
      </c>
      <c r="Y17" s="4">
        <f t="shared" si="32"/>
        <v>122.36713042152664</v>
      </c>
      <c r="Z17" s="4">
        <f t="shared" si="32"/>
        <v>125.14568074325577</v>
      </c>
      <c r="AA17" s="4">
        <f t="shared" si="32"/>
        <v>127.86639556662033</v>
      </c>
      <c r="AB17" s="4">
        <f t="shared" si="32"/>
        <v>130.532905903255</v>
      </c>
      <c r="AC17" s="4">
        <f t="shared" si="32"/>
        <v>133.14848273377089</v>
      </c>
      <c r="AD17" s="4">
        <f t="shared" si="32"/>
        <v>135.71608509085891</v>
      </c>
      <c r="AE17" s="4">
        <f t="shared" si="32"/>
        <v>138.23840019070778</v>
      </c>
      <c r="AF17" s="4">
        <f t="shared" si="32"/>
        <v>140.71787716303254</v>
      </c>
      <c r="AG17" s="4">
        <f t="shared" si="32"/>
        <v>143.15675558500499</v>
      </c>
      <c r="AH17" s="4">
        <f t="shared" si="32"/>
        <v>145.55708976503797</v>
      </c>
      <c r="AI17" s="4">
        <f t="shared" si="32"/>
        <v>147.92076952536482</v>
      </c>
      <c r="AJ17" s="4">
        <f t="shared" si="32"/>
        <v>150.24953808122083</v>
      </c>
      <c r="AK17" s="4">
        <f t="shared" ref="AK17:BP17" si="33">SQRT(2*sighVs)</f>
        <v>152.54500749743247</v>
      </c>
      <c r="AL17" s="4">
        <f t="shared" si="33"/>
        <v>154.80867211187055</v>
      </c>
      <c r="AM17" s="4">
        <f t="shared" si="33"/>
        <v>157.04192024333145</v>
      </c>
      <c r="AN17" s="4">
        <f t="shared" si="33"/>
        <v>159.24604444440922</v>
      </c>
      <c r="AO17" s="4">
        <f t="shared" si="33"/>
        <v>161.4222505144086</v>
      </c>
      <c r="AP17" s="4">
        <f t="shared" si="33"/>
        <v>163.57166545076939</v>
      </c>
      <c r="AQ17" s="4">
        <f t="shared" si="33"/>
        <v>165.6953444878892</v>
      </c>
      <c r="AR17" s="4">
        <f t="shared" si="33"/>
        <v>167.79427734816613</v>
      </c>
      <c r="AS17" s="4">
        <f t="shared" si="33"/>
        <v>169.86939381039608</v>
      </c>
      <c r="AT17" s="4">
        <f t="shared" si="33"/>
        <v>171.92156868447157</v>
      </c>
      <c r="AU17" s="4">
        <f t="shared" si="33"/>
        <v>173.95162626794959</v>
      </c>
      <c r="AV17" s="4">
        <f t="shared" si="33"/>
        <v>175.96034434894648</v>
      </c>
      <c r="AW17" s="4">
        <f t="shared" si="33"/>
        <v>177.94845781055096</v>
      </c>
      <c r="AX17" s="4">
        <f t="shared" si="33"/>
        <v>179.91666188418444</v>
      </c>
      <c r="AY17" s="4">
        <f t="shared" si="33"/>
        <v>181.86561509280727</v>
      </c>
      <c r="AZ17" s="4">
        <f t="shared" si="33"/>
        <v>183.79594191935578</v>
      </c>
      <c r="BA17" s="4">
        <f t="shared" si="33"/>
        <v>185.70823523112165</v>
      </c>
      <c r="BB17" s="4">
        <f t="shared" si="33"/>
        <v>187.60305848680926</v>
      </c>
      <c r="BC17" s="4">
        <f t="shared" si="33"/>
        <v>189.48094774961359</v>
      </c>
      <c r="BD17" s="4">
        <f t="shared" si="33"/>
        <v>191.3424135267546</v>
      </c>
      <c r="BE17" s="4">
        <f t="shared" si="33"/>
        <v>193.18794245340865</v>
      </c>
      <c r="BF17" s="4">
        <f t="shared" si="33"/>
        <v>195.01799883682548</v>
      </c>
      <c r="BG17" s="4">
        <f t="shared" si="33"/>
        <v>196.83302607456119</v>
      </c>
      <c r="BH17" s="4">
        <f t="shared" si="33"/>
        <v>198.63344795914622</v>
      </c>
      <c r="BI17" s="4">
        <f t="shared" si="33"/>
        <v>200.41966988010816</v>
      </c>
      <c r="BJ17" s="4">
        <f t="shared" si="33"/>
        <v>202.19207993304943</v>
      </c>
      <c r="BK17" s="4">
        <f t="shared" si="33"/>
        <v>203.95104994441516</v>
      </c>
      <c r="BL17" s="4">
        <f t="shared" si="33"/>
        <v>205.69693641965472</v>
      </c>
      <c r="BM17" s="4">
        <f t="shared" si="33"/>
        <v>207.43008142166144</v>
      </c>
      <c r="BN17" s="4">
        <f t="shared" si="33"/>
        <v>209.15081338565628</v>
      </c>
      <c r="BO17" s="4">
        <f t="shared" si="33"/>
        <v>210.85944787604743</v>
      </c>
      <c r="BP17" s="4">
        <f t="shared" si="33"/>
        <v>212.55628829023681</v>
      </c>
      <c r="BQ17" s="4">
        <f t="shared" ref="BQ17:CZ17" si="34">SQRT(2*sighVs)</f>
        <v>214.24162651384981</v>
      </c>
      <c r="BR17" s="4">
        <f t="shared" si="34"/>
        <v>215.91574353142491</v>
      </c>
      <c r="BS17" s="4">
        <f t="shared" si="34"/>
        <v>217.57890999620875</v>
      </c>
      <c r="BT17" s="4">
        <f t="shared" si="34"/>
        <v>219.23138676235601</v>
      </c>
      <c r="BU17" s="4">
        <f t="shared" si="34"/>
        <v>220.87342538252236</v>
      </c>
      <c r="BV17" s="4">
        <f t="shared" si="34"/>
        <v>222.50526857356269</v>
      </c>
      <c r="BW17" s="4">
        <f t="shared" si="34"/>
        <v>224.12715065279926</v>
      </c>
      <c r="BX17" s="4">
        <f t="shared" si="34"/>
        <v>225.73929794710227</v>
      </c>
      <c r="BY17" s="4">
        <f t="shared" si="34"/>
        <v>227.34192917682628</v>
      </c>
      <c r="BZ17" s="4">
        <f t="shared" si="34"/>
        <v>228.93525581646702</v>
      </c>
      <c r="CA17" s="4">
        <f t="shared" si="34"/>
        <v>230.51948243374196</v>
      </c>
      <c r="CB17" s="4">
        <f t="shared" si="34"/>
        <v>232.09480700865245</v>
      </c>
      <c r="CC17" s="4">
        <f t="shared" si="34"/>
        <v>233.66142123395466</v>
      </c>
      <c r="CD17" s="4">
        <f t="shared" si="34"/>
        <v>235.21951079834699</v>
      </c>
      <c r="CE17" s="4">
        <f t="shared" si="34"/>
        <v>236.76925565357524</v>
      </c>
      <c r="CF17" s="4">
        <f t="shared" si="34"/>
        <v>238.31083026655909</v>
      </c>
      <c r="CG17" s="4">
        <f t="shared" si="34"/>
        <v>239.84440385755465</v>
      </c>
      <c r="CH17" s="4">
        <f t="shared" si="34"/>
        <v>241.37014062528854</v>
      </c>
      <c r="CI17" s="4">
        <f t="shared" si="34"/>
        <v>242.88819995992483</v>
      </c>
      <c r="CJ17" s="4">
        <f t="shared" si="34"/>
        <v>244.39873664466072</v>
      </c>
      <c r="CK17" s="4">
        <f t="shared" si="34"/>
        <v>245.90190104668511</v>
      </c>
      <c r="CL17" s="4">
        <f t="shared" si="34"/>
        <v>247.39783929817969</v>
      </c>
      <c r="CM17" s="4">
        <f t="shared" si="34"/>
        <v>248.88669346799085</v>
      </c>
      <c r="CN17" s="4">
        <f t="shared" si="34"/>
        <v>250.36860172455494</v>
      </c>
      <c r="CO17" s="4">
        <f t="shared" si="34"/>
        <v>251.84369849061665</v>
      </c>
      <c r="CP17" s="4">
        <f t="shared" si="34"/>
        <v>253.31211459024149</v>
      </c>
      <c r="CQ17" s="4">
        <f t="shared" si="34"/>
        <v>254.77397738858747</v>
      </c>
      <c r="CR17" s="4">
        <f t="shared" si="34"/>
        <v>256.2294109248686</v>
      </c>
      <c r="CS17" s="4">
        <f t="shared" si="34"/>
        <v>257.6785360389124</v>
      </c>
      <c r="CT17" s="4">
        <f t="shared" si="34"/>
        <v>259.12147049168613</v>
      </c>
      <c r="CU17" s="4">
        <f t="shared" si="34"/>
        <v>260.55832908014031</v>
      </c>
      <c r="CV17" s="4">
        <f t="shared" si="34"/>
        <v>261.98922374669525</v>
      </c>
      <c r="CW17" s="4">
        <f t="shared" si="34"/>
        <v>263.41426368367411</v>
      </c>
      <c r="CX17" s="4">
        <f t="shared" si="34"/>
        <v>264.83355543296602</v>
      </c>
      <c r="CY17" s="4">
        <f t="shared" si="34"/>
        <v>266.24720298118393</v>
      </c>
      <c r="CZ17" s="4">
        <f t="shared" si="34"/>
        <v>267.65530785056592</v>
      </c>
      <c r="DA17" s="276" t="s">
        <v>363</v>
      </c>
    </row>
    <row r="18" spans="1:105">
      <c r="A18" s="64" t="s">
        <v>368</v>
      </c>
      <c r="B18" s="265" t="s">
        <v>367</v>
      </c>
      <c r="C18" s="265" t="s">
        <v>4</v>
      </c>
      <c r="D18" s="266"/>
      <c r="E18" s="266">
        <f t="shared" ref="E18:AJ18" si="35">IF(vp&lt;ctp,vp,0)</f>
        <v>36.734006806065544</v>
      </c>
      <c r="F18" s="266">
        <f t="shared" si="35"/>
        <v>44.999309191126081</v>
      </c>
      <c r="G18" s="266">
        <f t="shared" si="35"/>
        <v>51.971762863817091</v>
      </c>
      <c r="H18" s="266">
        <f t="shared" si="35"/>
        <v>58.118581656107473</v>
      </c>
      <c r="I18" s="266">
        <f t="shared" si="35"/>
        <v>63.679332587871968</v>
      </c>
      <c r="J18" s="266">
        <f t="shared" si="35"/>
        <v>68.79630169233684</v>
      </c>
      <c r="K18" s="266">
        <f t="shared" si="35"/>
        <v>73.562178689264314</v>
      </c>
      <c r="L18" s="266">
        <f t="shared" si="35"/>
        <v>78.04133428673687</v>
      </c>
      <c r="M18" s="266">
        <f t="shared" si="35"/>
        <v>82.280628074290675</v>
      </c>
      <c r="N18" s="266">
        <f t="shared" si="35"/>
        <v>86.315429155917144</v>
      </c>
      <c r="O18" s="266">
        <f t="shared" si="35"/>
        <v>90.173211213549521</v>
      </c>
      <c r="P18" s="266">
        <f t="shared" si="35"/>
        <v>93.875819088498773</v>
      </c>
      <c r="Q18" s="266">
        <f t="shared" si="35"/>
        <v>97.440961723963454</v>
      </c>
      <c r="R18" s="266">
        <f t="shared" si="35"/>
        <v>100.88323162626962</v>
      </c>
      <c r="S18" s="266">
        <f t="shared" si="35"/>
        <v>104.21482237665026</v>
      </c>
      <c r="T18" s="266">
        <f t="shared" si="35"/>
        <v>107.44604679265554</v>
      </c>
      <c r="U18" s="266">
        <f t="shared" si="35"/>
        <v>110.5857195199785</v>
      </c>
      <c r="V18" s="266">
        <f t="shared" si="35"/>
        <v>113.6414450370909</v>
      </c>
      <c r="W18" s="266">
        <f t="shared" si="35"/>
        <v>116.61983817235517</v>
      </c>
      <c r="X18" s="266">
        <f t="shared" si="35"/>
        <v>119.52669550946776</v>
      </c>
      <c r="Y18" s="266">
        <f t="shared" si="35"/>
        <v>122.36713042152664</v>
      </c>
      <c r="Z18" s="266">
        <f t="shared" si="35"/>
        <v>125.14568074325577</v>
      </c>
      <c r="AA18" s="266">
        <f t="shared" si="35"/>
        <v>127.86639556662033</v>
      </c>
      <c r="AB18" s="266">
        <f t="shared" si="35"/>
        <v>130.532905903255</v>
      </c>
      <c r="AC18" s="266">
        <f t="shared" si="35"/>
        <v>133.14848273377089</v>
      </c>
      <c r="AD18" s="266">
        <f t="shared" si="35"/>
        <v>135.71608509085891</v>
      </c>
      <c r="AE18" s="266">
        <f t="shared" si="35"/>
        <v>138.23840019070778</v>
      </c>
      <c r="AF18" s="266">
        <f t="shared" si="35"/>
        <v>140.71787716303254</v>
      </c>
      <c r="AG18" s="266">
        <f t="shared" si="35"/>
        <v>143.15675558500499</v>
      </c>
      <c r="AH18" s="266">
        <f t="shared" si="35"/>
        <v>145.55708976503797</v>
      </c>
      <c r="AI18" s="266">
        <f t="shared" si="35"/>
        <v>147.92076952536482</v>
      </c>
      <c r="AJ18" s="266">
        <f t="shared" si="35"/>
        <v>150.24953808122083</v>
      </c>
      <c r="AK18" s="266">
        <f t="shared" ref="AK18:BP18" si="36">IF(vp&lt;ctp,vp,0)</f>
        <v>152.54500749743247</v>
      </c>
      <c r="AL18" s="266">
        <f t="shared" si="36"/>
        <v>154.80867211187055</v>
      </c>
      <c r="AM18" s="266">
        <f t="shared" si="36"/>
        <v>157.04192024333145</v>
      </c>
      <c r="AN18" s="266">
        <f t="shared" si="36"/>
        <v>159.24604444440922</v>
      </c>
      <c r="AO18" s="266">
        <f t="shared" si="36"/>
        <v>161.4222505144086</v>
      </c>
      <c r="AP18" s="266">
        <f t="shared" si="36"/>
        <v>163.57166545076939</v>
      </c>
      <c r="AQ18" s="266">
        <f t="shared" si="36"/>
        <v>165.6953444878892</v>
      </c>
      <c r="AR18" s="266">
        <f t="shared" si="36"/>
        <v>167.79427734816613</v>
      </c>
      <c r="AS18" s="266">
        <f t="shared" si="36"/>
        <v>169.86939381039608</v>
      </c>
      <c r="AT18" s="266">
        <f t="shared" si="36"/>
        <v>171.92156868447157</v>
      </c>
      <c r="AU18" s="266">
        <f t="shared" si="36"/>
        <v>173.95162626794959</v>
      </c>
      <c r="AV18" s="266">
        <f t="shared" si="36"/>
        <v>175.96034434894648</v>
      </c>
      <c r="AW18" s="266">
        <f t="shared" si="36"/>
        <v>177.94845781055096</v>
      </c>
      <c r="AX18" s="266">
        <f t="shared" si="36"/>
        <v>179.91666188418444</v>
      </c>
      <c r="AY18" s="266">
        <f t="shared" si="36"/>
        <v>181.86561509280727</v>
      </c>
      <c r="AZ18" s="266">
        <f t="shared" si="36"/>
        <v>183.79594191935578</v>
      </c>
      <c r="BA18" s="266">
        <f t="shared" si="36"/>
        <v>185.70823523112165</v>
      </c>
      <c r="BB18" s="266">
        <f t="shared" si="36"/>
        <v>187.60305848680926</v>
      </c>
      <c r="BC18" s="266">
        <f t="shared" si="36"/>
        <v>189.48094774961359</v>
      </c>
      <c r="BD18" s="266">
        <f t="shared" si="36"/>
        <v>191.3424135267546</v>
      </c>
      <c r="BE18" s="266">
        <f t="shared" si="36"/>
        <v>193.18794245340865</v>
      </c>
      <c r="BF18" s="266">
        <f t="shared" si="36"/>
        <v>195.01799883682548</v>
      </c>
      <c r="BG18" s="266">
        <f t="shared" si="36"/>
        <v>196.83302607456119</v>
      </c>
      <c r="BH18" s="266">
        <f t="shared" si="36"/>
        <v>198.63344795914622</v>
      </c>
      <c r="BI18" s="266">
        <f t="shared" si="36"/>
        <v>200.41966988010816</v>
      </c>
      <c r="BJ18" s="266">
        <f t="shared" si="36"/>
        <v>202.19207993304943</v>
      </c>
      <c r="BK18" s="266">
        <f t="shared" si="36"/>
        <v>203.95104994441516</v>
      </c>
      <c r="BL18" s="266">
        <f t="shared" si="36"/>
        <v>205.69693641965472</v>
      </c>
      <c r="BM18" s="266">
        <f t="shared" si="36"/>
        <v>207.43008142166144</v>
      </c>
      <c r="BN18" s="266">
        <f t="shared" si="36"/>
        <v>209.15081338565628</v>
      </c>
      <c r="BO18" s="266">
        <f t="shared" si="36"/>
        <v>210.85944787604743</v>
      </c>
      <c r="BP18" s="266">
        <f t="shared" si="36"/>
        <v>212.55628829023681</v>
      </c>
      <c r="BQ18" s="266">
        <f t="shared" ref="BQ18:CZ18" si="37">IF(vp&lt;ctp,vp,0)</f>
        <v>214.24162651384981</v>
      </c>
      <c r="BR18" s="266">
        <f t="shared" si="37"/>
        <v>215.91574353142491</v>
      </c>
      <c r="BS18" s="266">
        <f t="shared" si="37"/>
        <v>217.57890999620875</v>
      </c>
      <c r="BT18" s="266">
        <f t="shared" si="37"/>
        <v>219.23138676235601</v>
      </c>
      <c r="BU18" s="266">
        <f t="shared" si="37"/>
        <v>220.87342538252236</v>
      </c>
      <c r="BV18" s="266">
        <f t="shared" si="37"/>
        <v>222.50526857356269</v>
      </c>
      <c r="BW18" s="266">
        <f t="shared" si="37"/>
        <v>224.12715065279926</v>
      </c>
      <c r="BX18" s="266">
        <f t="shared" si="37"/>
        <v>225.73929794710227</v>
      </c>
      <c r="BY18" s="266">
        <f t="shared" si="37"/>
        <v>227.34192917682628</v>
      </c>
      <c r="BZ18" s="266">
        <f t="shared" si="37"/>
        <v>228.93525581646702</v>
      </c>
      <c r="CA18" s="266">
        <f t="shared" si="37"/>
        <v>230.51948243374196</v>
      </c>
      <c r="CB18" s="266">
        <f t="shared" si="37"/>
        <v>232.09480700865245</v>
      </c>
      <c r="CC18" s="266">
        <f t="shared" si="37"/>
        <v>233.66142123395466</v>
      </c>
      <c r="CD18" s="266">
        <f t="shared" si="37"/>
        <v>235.21951079834699</v>
      </c>
      <c r="CE18" s="266">
        <f t="shared" si="37"/>
        <v>236.76925565357524</v>
      </c>
      <c r="CF18" s="266">
        <f t="shared" si="37"/>
        <v>238.31083026655909</v>
      </c>
      <c r="CG18" s="266">
        <f t="shared" si="37"/>
        <v>239.84440385755465</v>
      </c>
      <c r="CH18" s="266">
        <f t="shared" si="37"/>
        <v>241.37014062528854</v>
      </c>
      <c r="CI18" s="266">
        <f t="shared" si="37"/>
        <v>242.88819995992483</v>
      </c>
      <c r="CJ18" s="266">
        <f t="shared" si="37"/>
        <v>244.39873664466072</v>
      </c>
      <c r="CK18" s="266">
        <f t="shared" si="37"/>
        <v>245.90190104668511</v>
      </c>
      <c r="CL18" s="266">
        <f t="shared" si="37"/>
        <v>247.39783929817969</v>
      </c>
      <c r="CM18" s="266">
        <f t="shared" si="37"/>
        <v>248.88669346799085</v>
      </c>
      <c r="CN18" s="266">
        <f t="shared" si="37"/>
        <v>250.36860172455494</v>
      </c>
      <c r="CO18" s="266">
        <f t="shared" si="37"/>
        <v>251.84369849061665</v>
      </c>
      <c r="CP18" s="266">
        <f t="shared" si="37"/>
        <v>253.31211459024149</v>
      </c>
      <c r="CQ18" s="266">
        <f t="shared" si="37"/>
        <v>254.77397738858747</v>
      </c>
      <c r="CR18" s="266">
        <f t="shared" si="37"/>
        <v>256.2294109248686</v>
      </c>
      <c r="CS18" s="266">
        <f t="shared" si="37"/>
        <v>257.6785360389124</v>
      </c>
      <c r="CT18" s="266">
        <f t="shared" si="37"/>
        <v>259.12147049168613</v>
      </c>
      <c r="CU18" s="266">
        <f t="shared" si="37"/>
        <v>260.55832908014031</v>
      </c>
      <c r="CV18" s="266">
        <f t="shared" si="37"/>
        <v>261.98922374669525</v>
      </c>
      <c r="CW18" s="266">
        <f t="shared" si="37"/>
        <v>263.41426368367411</v>
      </c>
      <c r="CX18" s="266">
        <f t="shared" si="37"/>
        <v>264.83355543296602</v>
      </c>
      <c r="CY18" s="266">
        <f t="shared" si="37"/>
        <v>266.24720298118393</v>
      </c>
      <c r="CZ18" s="266">
        <f t="shared" si="37"/>
        <v>267.65530785056592</v>
      </c>
      <c r="DA18" s="276" t="s">
        <v>364</v>
      </c>
    </row>
    <row r="19" spans="1:105">
      <c r="A19" s="64" t="s">
        <v>331</v>
      </c>
      <c r="B19" s="279" t="s">
        <v>385</v>
      </c>
      <c r="C19" s="279" t="s">
        <v>13</v>
      </c>
      <c r="D19" s="280"/>
      <c r="E19" s="280">
        <f t="shared" ref="E19:AJ19" si="38">IF(vp&gt;ctp,rhogi,0)</f>
        <v>0</v>
      </c>
      <c r="F19" s="280">
        <f t="shared" si="38"/>
        <v>0</v>
      </c>
      <c r="G19" s="280">
        <f t="shared" si="38"/>
        <v>0</v>
      </c>
      <c r="H19" s="280">
        <f t="shared" si="38"/>
        <v>0</v>
      </c>
      <c r="I19" s="280">
        <f t="shared" si="38"/>
        <v>0</v>
      </c>
      <c r="J19" s="280">
        <f t="shared" si="38"/>
        <v>0</v>
      </c>
      <c r="K19" s="280">
        <f t="shared" si="38"/>
        <v>0</v>
      </c>
      <c r="L19" s="280">
        <f t="shared" si="38"/>
        <v>0</v>
      </c>
      <c r="M19" s="280">
        <f t="shared" si="38"/>
        <v>0</v>
      </c>
      <c r="N19" s="280">
        <f t="shared" si="38"/>
        <v>0</v>
      </c>
      <c r="O19" s="280">
        <f t="shared" si="38"/>
        <v>0</v>
      </c>
      <c r="P19" s="280">
        <f t="shared" si="38"/>
        <v>0</v>
      </c>
      <c r="Q19" s="280">
        <f t="shared" si="38"/>
        <v>0</v>
      </c>
      <c r="R19" s="280">
        <f t="shared" si="38"/>
        <v>0</v>
      </c>
      <c r="S19" s="280">
        <f t="shared" si="38"/>
        <v>0</v>
      </c>
      <c r="T19" s="280">
        <f t="shared" si="38"/>
        <v>0</v>
      </c>
      <c r="U19" s="280">
        <f t="shared" si="38"/>
        <v>0</v>
      </c>
      <c r="V19" s="280">
        <f t="shared" si="38"/>
        <v>0</v>
      </c>
      <c r="W19" s="280">
        <f t="shared" si="38"/>
        <v>0</v>
      </c>
      <c r="X19" s="280">
        <f t="shared" si="38"/>
        <v>0</v>
      </c>
      <c r="Y19" s="280">
        <f t="shared" si="38"/>
        <v>0</v>
      </c>
      <c r="Z19" s="280">
        <f t="shared" si="38"/>
        <v>0</v>
      </c>
      <c r="AA19" s="280">
        <f t="shared" si="38"/>
        <v>0</v>
      </c>
      <c r="AB19" s="280">
        <f t="shared" si="38"/>
        <v>0</v>
      </c>
      <c r="AC19" s="280">
        <f t="shared" si="38"/>
        <v>0</v>
      </c>
      <c r="AD19" s="280">
        <f t="shared" si="38"/>
        <v>0</v>
      </c>
      <c r="AE19" s="280">
        <f t="shared" si="38"/>
        <v>0</v>
      </c>
      <c r="AF19" s="280">
        <f t="shared" si="38"/>
        <v>0</v>
      </c>
      <c r="AG19" s="280">
        <f t="shared" si="38"/>
        <v>0</v>
      </c>
      <c r="AH19" s="280">
        <f t="shared" si="38"/>
        <v>0</v>
      </c>
      <c r="AI19" s="280">
        <f t="shared" si="38"/>
        <v>0</v>
      </c>
      <c r="AJ19" s="280">
        <f t="shared" si="38"/>
        <v>0</v>
      </c>
      <c r="AK19" s="280">
        <f t="shared" ref="AK19:BP19" si="39">IF(vp&gt;ctp,rhogi,0)</f>
        <v>0</v>
      </c>
      <c r="AL19" s="280">
        <f t="shared" si="39"/>
        <v>0</v>
      </c>
      <c r="AM19" s="280">
        <f t="shared" si="39"/>
        <v>0</v>
      </c>
      <c r="AN19" s="280">
        <f t="shared" si="39"/>
        <v>0</v>
      </c>
      <c r="AO19" s="280">
        <f t="shared" si="39"/>
        <v>0</v>
      </c>
      <c r="AP19" s="280">
        <f t="shared" si="39"/>
        <v>0</v>
      </c>
      <c r="AQ19" s="280">
        <f t="shared" si="39"/>
        <v>0</v>
      </c>
      <c r="AR19" s="280">
        <f t="shared" si="39"/>
        <v>0</v>
      </c>
      <c r="AS19" s="280">
        <f t="shared" si="39"/>
        <v>0</v>
      </c>
      <c r="AT19" s="280">
        <f t="shared" si="39"/>
        <v>0</v>
      </c>
      <c r="AU19" s="280">
        <f t="shared" si="39"/>
        <v>0</v>
      </c>
      <c r="AV19" s="280">
        <f t="shared" si="39"/>
        <v>0</v>
      </c>
      <c r="AW19" s="280">
        <f t="shared" si="39"/>
        <v>0</v>
      </c>
      <c r="AX19" s="280">
        <f t="shared" si="39"/>
        <v>0</v>
      </c>
      <c r="AY19" s="280">
        <f t="shared" si="39"/>
        <v>0</v>
      </c>
      <c r="AZ19" s="280">
        <f t="shared" si="39"/>
        <v>0</v>
      </c>
      <c r="BA19" s="280">
        <f t="shared" si="39"/>
        <v>0</v>
      </c>
      <c r="BB19" s="280">
        <f t="shared" si="39"/>
        <v>0</v>
      </c>
      <c r="BC19" s="280">
        <f t="shared" si="39"/>
        <v>0</v>
      </c>
      <c r="BD19" s="280">
        <f t="shared" si="39"/>
        <v>0</v>
      </c>
      <c r="BE19" s="280">
        <f t="shared" si="39"/>
        <v>0</v>
      </c>
      <c r="BF19" s="280">
        <f t="shared" si="39"/>
        <v>0</v>
      </c>
      <c r="BG19" s="280">
        <f t="shared" si="39"/>
        <v>0</v>
      </c>
      <c r="BH19" s="280">
        <f t="shared" si="39"/>
        <v>0</v>
      </c>
      <c r="BI19" s="280">
        <f t="shared" si="39"/>
        <v>0</v>
      </c>
      <c r="BJ19" s="280">
        <f t="shared" si="39"/>
        <v>0</v>
      </c>
      <c r="BK19" s="280">
        <f t="shared" si="39"/>
        <v>0</v>
      </c>
      <c r="BL19" s="280">
        <f t="shared" si="39"/>
        <v>0</v>
      </c>
      <c r="BM19" s="280">
        <f t="shared" si="39"/>
        <v>0</v>
      </c>
      <c r="BN19" s="280">
        <f t="shared" si="39"/>
        <v>0</v>
      </c>
      <c r="BO19" s="280">
        <f t="shared" si="39"/>
        <v>0</v>
      </c>
      <c r="BP19" s="280">
        <f t="shared" si="39"/>
        <v>0</v>
      </c>
      <c r="BQ19" s="280">
        <f t="shared" ref="BQ19:CY19" si="40">IF(vp&gt;ctp,rhogi,0)</f>
        <v>0</v>
      </c>
      <c r="BR19" s="280">
        <f t="shared" si="40"/>
        <v>0</v>
      </c>
      <c r="BS19" s="280">
        <f t="shared" si="40"/>
        <v>0</v>
      </c>
      <c r="BT19" s="280">
        <f t="shared" si="40"/>
        <v>0</v>
      </c>
      <c r="BU19" s="280">
        <f t="shared" si="40"/>
        <v>0</v>
      </c>
      <c r="BV19" s="280">
        <f t="shared" si="40"/>
        <v>0</v>
      </c>
      <c r="BW19" s="280">
        <f t="shared" si="40"/>
        <v>0</v>
      </c>
      <c r="BX19" s="280">
        <f t="shared" si="40"/>
        <v>0</v>
      </c>
      <c r="BY19" s="280">
        <f t="shared" si="40"/>
        <v>0</v>
      </c>
      <c r="BZ19" s="280">
        <f t="shared" si="40"/>
        <v>0</v>
      </c>
      <c r="CA19" s="280">
        <f t="shared" si="40"/>
        <v>0</v>
      </c>
      <c r="CB19" s="280">
        <f t="shared" si="40"/>
        <v>0</v>
      </c>
      <c r="CC19" s="280">
        <f t="shared" si="40"/>
        <v>0</v>
      </c>
      <c r="CD19" s="280">
        <f t="shared" si="40"/>
        <v>0</v>
      </c>
      <c r="CE19" s="280">
        <f t="shared" si="40"/>
        <v>0</v>
      </c>
      <c r="CF19" s="280">
        <f t="shared" si="40"/>
        <v>0</v>
      </c>
      <c r="CG19" s="280">
        <f t="shared" si="40"/>
        <v>0</v>
      </c>
      <c r="CH19" s="280">
        <f t="shared" si="40"/>
        <v>0</v>
      </c>
      <c r="CI19" s="280">
        <f t="shared" si="40"/>
        <v>0</v>
      </c>
      <c r="CJ19" s="280">
        <f t="shared" si="40"/>
        <v>0</v>
      </c>
      <c r="CK19" s="280">
        <f t="shared" si="40"/>
        <v>0</v>
      </c>
      <c r="CL19" s="280">
        <f t="shared" si="40"/>
        <v>0</v>
      </c>
      <c r="CM19" s="280">
        <f t="shared" si="40"/>
        <v>0</v>
      </c>
      <c r="CN19" s="280">
        <f t="shared" si="40"/>
        <v>0</v>
      </c>
      <c r="CO19" s="280">
        <f t="shared" si="40"/>
        <v>0</v>
      </c>
      <c r="CP19" s="280">
        <f t="shared" si="40"/>
        <v>0</v>
      </c>
      <c r="CQ19" s="280">
        <f t="shared" si="40"/>
        <v>0</v>
      </c>
      <c r="CR19" s="280">
        <f t="shared" si="40"/>
        <v>0</v>
      </c>
      <c r="CS19" s="280">
        <f t="shared" si="40"/>
        <v>0</v>
      </c>
      <c r="CT19" s="280">
        <f t="shared" si="40"/>
        <v>0</v>
      </c>
      <c r="CU19" s="280">
        <f t="shared" si="40"/>
        <v>0</v>
      </c>
      <c r="CV19" s="280">
        <f t="shared" si="40"/>
        <v>0</v>
      </c>
      <c r="CW19" s="280">
        <f t="shared" si="40"/>
        <v>0</v>
      </c>
      <c r="CX19" s="280">
        <f t="shared" si="40"/>
        <v>0</v>
      </c>
      <c r="CY19" s="280">
        <f t="shared" si="40"/>
        <v>0</v>
      </c>
      <c r="CZ19" s="281">
        <f>rhogi</f>
        <v>165.30510615795157</v>
      </c>
      <c r="DA19" s="276" t="s">
        <v>365</v>
      </c>
    </row>
    <row r="20" spans="1:105">
      <c r="A20" s="64" t="s">
        <v>333</v>
      </c>
      <c r="B20" s="12" t="s">
        <v>378</v>
      </c>
      <c r="C20" s="12" t="s">
        <v>28</v>
      </c>
      <c r="D20" s="4">
        <f>Tb-hVs/cpm</f>
        <v>443.65727638706039</v>
      </c>
      <c r="E20" s="4">
        <f t="shared" ref="E20:AJ20" si="41">D20-hVs/cpm</f>
        <v>443.20305870426967</v>
      </c>
      <c r="F20" s="4">
        <f t="shared" si="41"/>
        <v>442.74845583189932</v>
      </c>
      <c r="G20" s="4">
        <f t="shared" si="41"/>
        <v>442.29346552566494</v>
      </c>
      <c r="H20" s="4">
        <f t="shared" si="41"/>
        <v>441.83808552772433</v>
      </c>
      <c r="I20" s="4">
        <f t="shared" si="41"/>
        <v>441.38231356656303</v>
      </c>
      <c r="J20" s="4">
        <f t="shared" si="41"/>
        <v>440.92614735687903</v>
      </c>
      <c r="K20" s="4">
        <f t="shared" si="41"/>
        <v>440.46958459946586</v>
      </c>
      <c r="L20" s="4">
        <f t="shared" si="41"/>
        <v>440.01262298109452</v>
      </c>
      <c r="M20" s="4">
        <f t="shared" si="41"/>
        <v>439.55526017439422</v>
      </c>
      <c r="N20" s="4">
        <f t="shared" si="41"/>
        <v>439.09749383773158</v>
      </c>
      <c r="O20" s="4">
        <f t="shared" si="41"/>
        <v>438.63932161508876</v>
      </c>
      <c r="P20" s="4">
        <f t="shared" si="41"/>
        <v>438.18074113594002</v>
      </c>
      <c r="Q20" s="4">
        <f t="shared" si="41"/>
        <v>437.7217500151271</v>
      </c>
      <c r="R20" s="4">
        <f t="shared" si="41"/>
        <v>437.26234585273312</v>
      </c>
      <c r="S20" s="4">
        <f t="shared" si="41"/>
        <v>436.80252623395489</v>
      </c>
      <c r="T20" s="4">
        <f t="shared" si="41"/>
        <v>436.34228872897432</v>
      </c>
      <c r="U20" s="4">
        <f t="shared" si="41"/>
        <v>435.88163089282779</v>
      </c>
      <c r="V20" s="4">
        <f t="shared" si="41"/>
        <v>435.42055026527436</v>
      </c>
      <c r="W20" s="4">
        <f t="shared" si="41"/>
        <v>434.95904437066253</v>
      </c>
      <c r="X20" s="4">
        <f t="shared" si="41"/>
        <v>434.49711071779547</v>
      </c>
      <c r="Y20" s="4">
        <f t="shared" si="41"/>
        <v>434.03474679979456</v>
      </c>
      <c r="Z20" s="4">
        <f t="shared" si="41"/>
        <v>433.57195009396162</v>
      </c>
      <c r="AA20" s="4">
        <f t="shared" si="41"/>
        <v>433.10871806163937</v>
      </c>
      <c r="AB20" s="4">
        <f t="shared" si="41"/>
        <v>432.64504814807054</v>
      </c>
      <c r="AC20" s="4">
        <f t="shared" si="41"/>
        <v>432.18093778225506</v>
      </c>
      <c r="AD20" s="4">
        <f t="shared" si="41"/>
        <v>431.71638437680588</v>
      </c>
      <c r="AE20" s="4">
        <f t="shared" si="41"/>
        <v>431.25138532780306</v>
      </c>
      <c r="AF20" s="4">
        <f t="shared" si="41"/>
        <v>430.78593801464621</v>
      </c>
      <c r="AG20" s="4">
        <f t="shared" si="41"/>
        <v>430.32003979990498</v>
      </c>
      <c r="AH20" s="4">
        <f t="shared" si="41"/>
        <v>429.85368802916832</v>
      </c>
      <c r="AI20" s="4">
        <f t="shared" si="41"/>
        <v>429.38688003089146</v>
      </c>
      <c r="AJ20" s="4">
        <f t="shared" si="41"/>
        <v>428.91961311624141</v>
      </c>
      <c r="AK20" s="4">
        <f t="shared" ref="AK20:BP20" si="42">AJ20-hVs/cpm</f>
        <v>428.45188457894079</v>
      </c>
      <c r="AL20" s="4">
        <f t="shared" si="42"/>
        <v>427.98369169510943</v>
      </c>
      <c r="AM20" s="4">
        <f t="shared" si="42"/>
        <v>427.51503172310441</v>
      </c>
      <c r="AN20" s="4">
        <f t="shared" si="42"/>
        <v>427.04590190335819</v>
      </c>
      <c r="AO20" s="4">
        <f t="shared" si="42"/>
        <v>426.57629945821481</v>
      </c>
      <c r="AP20" s="4">
        <f t="shared" si="42"/>
        <v>426.10622159176404</v>
      </c>
      <c r="AQ20" s="4">
        <f t="shared" si="42"/>
        <v>425.63566548967384</v>
      </c>
      <c r="AR20" s="4">
        <f t="shared" si="42"/>
        <v>425.16462831902055</v>
      </c>
      <c r="AS20" s="4">
        <f t="shared" si="42"/>
        <v>424.69310722811724</v>
      </c>
      <c r="AT20" s="4">
        <f t="shared" si="42"/>
        <v>424.22109934633994</v>
      </c>
      <c r="AU20" s="4">
        <f t="shared" si="42"/>
        <v>423.74860178395181</v>
      </c>
      <c r="AV20" s="4">
        <f t="shared" si="42"/>
        <v>423.27561163192519</v>
      </c>
      <c r="AW20" s="4">
        <f t="shared" si="42"/>
        <v>422.80212596176159</v>
      </c>
      <c r="AX20" s="4">
        <f t="shared" si="42"/>
        <v>422.32814182530939</v>
      </c>
      <c r="AY20" s="4">
        <f t="shared" si="42"/>
        <v>421.85365625457939</v>
      </c>
      <c r="AZ20" s="4">
        <f t="shared" si="42"/>
        <v>421.37866626155829</v>
      </c>
      <c r="BA20" s="4">
        <f t="shared" si="42"/>
        <v>420.9031688380195</v>
      </c>
      <c r="BB20" s="4">
        <f t="shared" si="42"/>
        <v>420.42716095533217</v>
      </c>
      <c r="BC20" s="4">
        <f t="shared" si="42"/>
        <v>419.95063956426742</v>
      </c>
      <c r="BD20" s="4">
        <f t="shared" si="42"/>
        <v>419.47360159480246</v>
      </c>
      <c r="BE20" s="4">
        <f t="shared" si="42"/>
        <v>418.99604395592235</v>
      </c>
      <c r="BF20" s="4">
        <f t="shared" si="42"/>
        <v>418.51796353541909</v>
      </c>
      <c r="BG20" s="4">
        <f t="shared" si="42"/>
        <v>418.03935719968837</v>
      </c>
      <c r="BH20" s="4">
        <f t="shared" si="42"/>
        <v>417.56022179352391</v>
      </c>
      <c r="BI20" s="4">
        <f t="shared" si="42"/>
        <v>417.080554139909</v>
      </c>
      <c r="BJ20" s="4">
        <f t="shared" si="42"/>
        <v>416.60035103980573</v>
      </c>
      <c r="BK20" s="4">
        <f t="shared" si="42"/>
        <v>416.11960927194139</v>
      </c>
      <c r="BL20" s="4">
        <f t="shared" si="42"/>
        <v>415.63832559259214</v>
      </c>
      <c r="BM20" s="4">
        <f t="shared" si="42"/>
        <v>415.15649673536427</v>
      </c>
      <c r="BN20" s="4">
        <f t="shared" si="42"/>
        <v>414.67411941097242</v>
      </c>
      <c r="BO20" s="4">
        <f t="shared" si="42"/>
        <v>414.19119030701523</v>
      </c>
      <c r="BP20" s="4">
        <f t="shared" si="42"/>
        <v>413.70770608774785</v>
      </c>
      <c r="BQ20" s="4">
        <f t="shared" ref="BQ20:CZ20" si="43">BP20-hVs/cpm</f>
        <v>413.22366339385189</v>
      </c>
      <c r="BR20" s="4">
        <f t="shared" si="43"/>
        <v>412.73905884220227</v>
      </c>
      <c r="BS20" s="4">
        <f t="shared" si="43"/>
        <v>412.25388902563117</v>
      </c>
      <c r="BT20" s="4">
        <f t="shared" si="43"/>
        <v>411.76815051268881</v>
      </c>
      <c r="BU20" s="4">
        <f t="shared" si="43"/>
        <v>411.2818398474015</v>
      </c>
      <c r="BV20" s="4">
        <f t="shared" si="43"/>
        <v>410.79495354902622</v>
      </c>
      <c r="BW20" s="4">
        <f t="shared" si="43"/>
        <v>410.30748811180217</v>
      </c>
      <c r="BX20" s="4">
        <f t="shared" si="43"/>
        <v>409.81944000469912</v>
      </c>
      <c r="BY20" s="4">
        <f t="shared" si="43"/>
        <v>409.33080567116258</v>
      </c>
      <c r="BZ20" s="4">
        <f t="shared" si="43"/>
        <v>408.84158152885556</v>
      </c>
      <c r="CA20" s="4">
        <f t="shared" si="43"/>
        <v>408.35176396939687</v>
      </c>
      <c r="CB20" s="4">
        <f t="shared" si="43"/>
        <v>407.86134935809622</v>
      </c>
      <c r="CC20" s="4">
        <f t="shared" si="43"/>
        <v>407.37033403368571</v>
      </c>
      <c r="CD20" s="4">
        <f t="shared" si="43"/>
        <v>406.87871430804785</v>
      </c>
      <c r="CE20" s="4">
        <f t="shared" si="43"/>
        <v>406.38648646593981</v>
      </c>
      <c r="CF20" s="4">
        <f t="shared" si="43"/>
        <v>405.89364676471433</v>
      </c>
      <c r="CG20" s="4">
        <f t="shared" si="43"/>
        <v>405.4001914340368</v>
      </c>
      <c r="CH20" s="4">
        <f t="shared" si="43"/>
        <v>404.9061166755983</v>
      </c>
      <c r="CI20" s="4">
        <f t="shared" si="43"/>
        <v>404.41141866282538</v>
      </c>
      <c r="CJ20" s="4">
        <f t="shared" si="43"/>
        <v>403.91609354058539</v>
      </c>
      <c r="CK20" s="4">
        <f t="shared" si="43"/>
        <v>403.4201374248882</v>
      </c>
      <c r="CL20" s="4">
        <f t="shared" si="43"/>
        <v>402.92354640258378</v>
      </c>
      <c r="CM20" s="4">
        <f t="shared" si="43"/>
        <v>402.42631653105582</v>
      </c>
      <c r="CN20" s="4">
        <f t="shared" si="43"/>
        <v>401.928443837911</v>
      </c>
      <c r="CO20" s="4">
        <f t="shared" si="43"/>
        <v>401.42992432066416</v>
      </c>
      <c r="CP20" s="4">
        <f t="shared" si="43"/>
        <v>400.93075394641914</v>
      </c>
      <c r="CQ20" s="4">
        <f t="shared" si="43"/>
        <v>400.43092865154551</v>
      </c>
      <c r="CR20" s="4">
        <f t="shared" si="43"/>
        <v>399.93044434135032</v>
      </c>
      <c r="CS20" s="4">
        <f t="shared" si="43"/>
        <v>399.42929688974596</v>
      </c>
      <c r="CT20" s="4">
        <f t="shared" si="43"/>
        <v>398.92748213891304</v>
      </c>
      <c r="CU20" s="4">
        <f t="shared" si="43"/>
        <v>398.42499589895863</v>
      </c>
      <c r="CV20" s="4">
        <f t="shared" si="43"/>
        <v>397.92183394757006</v>
      </c>
      <c r="CW20" s="4">
        <f t="shared" si="43"/>
        <v>397.41799202966354</v>
      </c>
      <c r="CX20" s="4">
        <f t="shared" si="43"/>
        <v>396.91346585702814</v>
      </c>
      <c r="CY20" s="4">
        <f t="shared" si="43"/>
        <v>396.40825110796465</v>
      </c>
      <c r="CZ20" s="4">
        <f t="shared" si="43"/>
        <v>395.90234342691934</v>
      </c>
      <c r="DA20" s="276" t="s">
        <v>366</v>
      </c>
    </row>
    <row r="21" spans="1:105">
      <c r="D21" s="4"/>
    </row>
    <row r="22" spans="1:105">
      <c r="D22" s="267"/>
    </row>
    <row r="23" spans="1:105">
      <c r="D23" t="s">
        <v>459</v>
      </c>
      <c r="E23" s="4">
        <f>E17*E13/100</f>
        <v>69.225357248384171</v>
      </c>
      <c r="F23" s="4">
        <f t="shared" ref="F23:BQ23" si="44">F17*F13/100</f>
        <v>84.729493880605162</v>
      </c>
      <c r="G23" s="4">
        <f t="shared" si="44"/>
        <v>97.774644416373661</v>
      </c>
      <c r="H23" s="4">
        <f t="shared" si="44"/>
        <v>109.24510771863066</v>
      </c>
      <c r="I23" s="4">
        <f t="shared" si="44"/>
        <v>119.59467413595337</v>
      </c>
      <c r="J23" s="4">
        <f t="shared" si="44"/>
        <v>129.09306771368949</v>
      </c>
      <c r="K23" s="4">
        <f t="shared" si="44"/>
        <v>137.9161235186547</v>
      </c>
      <c r="L23" s="4">
        <f t="shared" si="44"/>
        <v>146.18604044370767</v>
      </c>
      <c r="M23" s="4">
        <f t="shared" si="44"/>
        <v>153.99183520174748</v>
      </c>
      <c r="N23" s="4">
        <f t="shared" si="44"/>
        <v>161.40074047419975</v>
      </c>
      <c r="O23" s="4">
        <f t="shared" si="44"/>
        <v>168.46501341937173</v>
      </c>
      <c r="P23" s="4">
        <f t="shared" si="44"/>
        <v>175.2262297365553</v>
      </c>
      <c r="Q23" s="4">
        <f t="shared" si="44"/>
        <v>181.71811304299669</v>
      </c>
      <c r="R23" s="4">
        <f t="shared" si="44"/>
        <v>187.96846758915038</v>
      </c>
      <c r="S23" s="4">
        <f t="shared" si="44"/>
        <v>194.00053899697824</v>
      </c>
      <c r="T23" s="4">
        <f t="shared" si="44"/>
        <v>199.833997270363</v>
      </c>
      <c r="U23" s="4">
        <f t="shared" si="44"/>
        <v>205.48566285982298</v>
      </c>
      <c r="V23" s="4">
        <f t="shared" si="44"/>
        <v>210.9700534075715</v>
      </c>
      <c r="W23" s="4">
        <f t="shared" si="44"/>
        <v>216.29980251466949</v>
      </c>
      <c r="X23" s="4">
        <f t="shared" si="44"/>
        <v>221.48598535200978</v>
      </c>
      <c r="Y23" s="4">
        <f t="shared" si="44"/>
        <v>226.5383752629653</v>
      </c>
      <c r="Z23" s="4">
        <f t="shared" si="44"/>
        <v>231.46564843803088</v>
      </c>
      <c r="AA23" s="4">
        <f t="shared" si="44"/>
        <v>236.27554895890563</v>
      </c>
      <c r="AB23" s="4">
        <f t="shared" si="44"/>
        <v>240.97502320855617</v>
      </c>
      <c r="AC23" s="4">
        <f t="shared" si="44"/>
        <v>245.57033032499191</v>
      </c>
      <c r="AD23" s="4">
        <f t="shared" si="44"/>
        <v>250.06713372117486</v>
      </c>
      <c r="AE23" s="4">
        <f t="shared" si="44"/>
        <v>254.47057749434919</v>
      </c>
      <c r="AF23" s="4">
        <f t="shared" si="44"/>
        <v>258.78535066768592</v>
      </c>
      <c r="AG23" s="4">
        <f t="shared" si="44"/>
        <v>263.0157415527068</v>
      </c>
      <c r="AH23" s="4">
        <f t="shared" si="44"/>
        <v>267.16568402894171</v>
      </c>
      <c r="AI23" s="4">
        <f t="shared" si="44"/>
        <v>271.23879716342424</v>
      </c>
      <c r="AJ23" s="4">
        <f t="shared" si="44"/>
        <v>275.23841930580369</v>
      </c>
      <c r="AK23" s="4">
        <f t="shared" si="44"/>
        <v>279.16763757274674</v>
      </c>
      <c r="AL23" s="4">
        <f t="shared" si="44"/>
        <v>283.02931346187165</v>
      </c>
      <c r="AM23" s="4">
        <f t="shared" si="44"/>
        <v>286.82610519893734</v>
      </c>
      <c r="AN23" s="4">
        <f t="shared" si="44"/>
        <v>290.56048731375023</v>
      </c>
      <c r="AO23" s="4">
        <f t="shared" si="44"/>
        <v>294.23476785378915</v>
      </c>
      <c r="AP23" s="4">
        <f t="shared" si="44"/>
        <v>297.85110357505982</v>
      </c>
      <c r="AQ23" s="4">
        <f t="shared" si="44"/>
        <v>301.41151339345828</v>
      </c>
      <c r="AR23" s="4">
        <f t="shared" si="44"/>
        <v>304.91789033419673</v>
      </c>
      <c r="AS23" s="4">
        <f t="shared" si="44"/>
        <v>308.37201217941004</v>
      </c>
      <c r="AT23" s="4">
        <f t="shared" si="44"/>
        <v>311.77555098329015</v>
      </c>
      <c r="AU23" s="4">
        <f t="shared" si="44"/>
        <v>315.13008159864785</v>
      </c>
      <c r="AV23" s="4">
        <f t="shared" si="44"/>
        <v>318.43708933767357</v>
      </c>
      <c r="AW23" s="4">
        <f t="shared" si="44"/>
        <v>321.6979768720397</v>
      </c>
      <c r="AX23" s="4">
        <f t="shared" si="44"/>
        <v>324.91407046271684</v>
      </c>
      <c r="AY23" s="4">
        <f t="shared" si="44"/>
        <v>328.0866255974509</v>
      </c>
      <c r="AZ23" s="4">
        <f t="shared" si="44"/>
        <v>331.21683210335317</v>
      </c>
      <c r="BA23" s="4">
        <f t="shared" si="44"/>
        <v>334.30581879315622</v>
      </c>
      <c r="BB23" s="4">
        <f t="shared" si="44"/>
        <v>337.35465769612216</v>
      </c>
      <c r="BC23" s="4">
        <f t="shared" si="44"/>
        <v>340.36436791812508</v>
      </c>
      <c r="BD23" s="4">
        <f t="shared" si="44"/>
        <v>343.33591916989485</v>
      </c>
      <c r="BE23" s="4">
        <f t="shared" si="44"/>
        <v>346.27023499765676</v>
      </c>
      <c r="BF23" s="4">
        <f t="shared" si="44"/>
        <v>349.16819574629682</v>
      </c>
      <c r="BG23" s="4">
        <f t="shared" si="44"/>
        <v>352.03064128164772</v>
      </c>
      <c r="BH23" s="4">
        <f t="shared" si="44"/>
        <v>354.85837349541282</v>
      </c>
      <c r="BI23" s="4">
        <f t="shared" si="44"/>
        <v>357.65215861358621</v>
      </c>
      <c r="BJ23" s="4">
        <f t="shared" si="44"/>
        <v>360.41272932688787</v>
      </c>
      <c r="BK23" s="4">
        <f t="shared" si="44"/>
        <v>363.14078675972132</v>
      </c>
      <c r="BL23" s="4">
        <f t="shared" si="44"/>
        <v>365.83700229236484</v>
      </c>
      <c r="BM23" s="4">
        <f t="shared" si="44"/>
        <v>368.50201924955809</v>
      </c>
      <c r="BN23" s="4">
        <f t="shared" si="44"/>
        <v>371.13645446726821</v>
      </c>
      <c r="BO23" s="4">
        <f t="shared" si="44"/>
        <v>373.7408997482155</v>
      </c>
      <c r="BP23" s="4">
        <f t="shared" si="44"/>
        <v>376.31592321565751</v>
      </c>
      <c r="BQ23" s="4">
        <f t="shared" si="44"/>
        <v>378.86207057400117</v>
      </c>
      <c r="BR23" s="4">
        <f t="shared" ref="BR23:CZ23" si="45">BR17*BR13/100</f>
        <v>381.37986628395964</v>
      </c>
      <c r="BS23" s="4">
        <f t="shared" si="45"/>
        <v>383.86981465923185</v>
      </c>
      <c r="BT23" s="4">
        <f t="shared" si="45"/>
        <v>386.3324008910152</v>
      </c>
      <c r="BU23" s="4">
        <f t="shared" si="45"/>
        <v>388.76809200607795</v>
      </c>
      <c r="BV23" s="4">
        <f t="shared" si="45"/>
        <v>391.17733776357693</v>
      </c>
      <c r="BW23" s="4">
        <f t="shared" si="45"/>
        <v>393.56057149534143</v>
      </c>
      <c r="BX23" s="4">
        <f t="shared" si="45"/>
        <v>395.91821089392283</v>
      </c>
      <c r="BY23" s="4">
        <f t="shared" si="45"/>
        <v>398.25065875231684</v>
      </c>
      <c r="BZ23" s="4">
        <f t="shared" si="45"/>
        <v>400.55830365893564</v>
      </c>
      <c r="CA23" s="4">
        <f t="shared" si="45"/>
        <v>402.84152065109299</v>
      </c>
      <c r="CB23" s="4">
        <f t="shared" si="45"/>
        <v>405.10067182998682</v>
      </c>
      <c r="CC23" s="4">
        <f t="shared" si="45"/>
        <v>407.33610693991477</v>
      </c>
      <c r="CD23" s="4">
        <f t="shared" si="45"/>
        <v>409.54816391423282</v>
      </c>
      <c r="CE23" s="4">
        <f t="shared" si="45"/>
        <v>411.73716939035671</v>
      </c>
      <c r="CF23" s="4">
        <f t="shared" si="45"/>
        <v>413.90343919592613</v>
      </c>
      <c r="CG23" s="4">
        <f t="shared" si="45"/>
        <v>416.04727880807508</v>
      </c>
      <c r="CH23" s="4">
        <f t="shared" si="45"/>
        <v>418.16898378760561</v>
      </c>
      <c r="CI23" s="4">
        <f t="shared" si="45"/>
        <v>420.26884018971663</v>
      </c>
      <c r="CJ23" s="4">
        <f t="shared" si="45"/>
        <v>422.34712495281673</v>
      </c>
      <c r="CK23" s="4">
        <f t="shared" si="45"/>
        <v>424.40410626682552</v>
      </c>
      <c r="CL23" s="4">
        <f t="shared" si="45"/>
        <v>426.44004392227652</v>
      </c>
      <c r="CM23" s="4">
        <f t="shared" si="45"/>
        <v>428.45518964141928</v>
      </c>
      <c r="CN23" s="4">
        <f t="shared" si="45"/>
        <v>430.44978739244596</v>
      </c>
      <c r="CO23" s="4">
        <f t="shared" si="45"/>
        <v>432.42407368787542</v>
      </c>
      <c r="CP23" s="4">
        <f t="shared" si="45"/>
        <v>434.378277868059</v>
      </c>
      <c r="CQ23" s="4">
        <f t="shared" si="45"/>
        <v>436.31262237070143</v>
      </c>
      <c r="CR23" s="4">
        <f t="shared" si="45"/>
        <v>438.22732298722724</v>
      </c>
      <c r="CS23" s="4">
        <f t="shared" si="45"/>
        <v>440.12258910676655</v>
      </c>
      <c r="CT23" s="4">
        <f t="shared" si="45"/>
        <v>441.99862394848077</v>
      </c>
      <c r="CU23" s="4">
        <f t="shared" si="45"/>
        <v>443.85562478289569</v>
      </c>
      <c r="CV23" s="4">
        <f t="shared" si="45"/>
        <v>445.69378314287582</v>
      </c>
      <c r="CW23" s="4">
        <f t="shared" si="45"/>
        <v>447.51328502480976</v>
      </c>
      <c r="CX23" s="4">
        <f t="shared" si="45"/>
        <v>449.31431108056785</v>
      </c>
      <c r="CY23" s="4">
        <f t="shared" si="45"/>
        <v>451.09703680073028</v>
      </c>
      <c r="CZ23" s="4">
        <f t="shared" si="45"/>
        <v>452.86163268956699</v>
      </c>
    </row>
  </sheetData>
  <phoneticPr fontId="0" type="noConversion"/>
  <pageMargins left="0.75" right="0.75" top="1" bottom="1" header="0.5" footer="0.5"/>
  <pageSetup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Circ Model</vt:lpstr>
      <vt:lpstr>Instructions</vt:lpstr>
      <vt:lpstr>Motor Data</vt:lpstr>
      <vt:lpstr>WBS Std Port Sizes</vt:lpstr>
      <vt:lpstr>Tempress Nozzle Sizes</vt:lpstr>
      <vt:lpstr>Dropdown Lists</vt:lpstr>
      <vt:lpstr>Calculations</vt:lpstr>
      <vt:lpstr>Circulation</vt:lpstr>
      <vt:lpstr>Bernoulli Integration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2013-07-18T22:51:57Z</dcterms:created>
  <dcterms:modified xsi:type="dcterms:W3CDTF">2016-03-10T22:29:08Z</dcterms:modified>
</cp:coreProperties>
</file>