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saveExternalLinkValues="0" codeName="ThisWorkbook"/>
  <workbookProtection workbookPassword="DCC5" lockStructure="1"/>
  <bookViews>
    <workbookView xWindow="13140" yWindow="-120" windowWidth="28980" windowHeight="18330" tabRatio="748" firstSheet="1" activeTab="1"/>
  </bookViews>
  <sheets>
    <sheet name="JR Data" sheetId="8" state="hidden" r:id="rId1"/>
    <sheet name="Circ Model" sheetId="1" r:id="rId2"/>
    <sheet name="Calculations" sheetId="5" state="hidden" r:id="rId3"/>
    <sheet name="Circulation" sheetId="4" state="hidden" r:id="rId4"/>
    <sheet name="HP Data" sheetId="9" state="hidden" r:id="rId5"/>
    <sheet name="Motor Data" sheetId="6" state="hidden" r:id="rId6"/>
    <sheet name="Brine" sheetId="10" state="hidden" r:id="rId7"/>
    <sheet name="Buckling" sheetId="11" state="hidden" r:id="rId8"/>
    <sheet name="Instructions" sheetId="12" r:id="rId9"/>
  </sheets>
  <definedNames>
    <definedName name="Aa">Circulation!$F$9:$F$109</definedName>
    <definedName name="Ab">Calculations!$G$35</definedName>
    <definedName name="Abha">Calculations!#REF!</definedName>
    <definedName name="Ag">Calculations!#REF!</definedName>
    <definedName name="Ags">Calculations!#REF!</definedName>
    <definedName name="Agss">Calculations!#REF!</definedName>
    <definedName name="Ahp">Calculations!$G$33</definedName>
    <definedName name="Ai">#REF!</definedName>
    <definedName name="alphai">#REF!</definedName>
    <definedName name="Am">Calculations!$G$34</definedName>
    <definedName name="Av">Calculations!$G$32</definedName>
    <definedName name="Aw">Calculations!#REF!</definedName>
    <definedName name="BB">Calculations!$G$11</definedName>
    <definedName name="beta">Calculations!#REF!</definedName>
    <definedName name="BrineList">Brine!$B$9:$B$14</definedName>
    <definedName name="BrineTable">Brine!$B$17:$J$22</definedName>
    <definedName name="Cbrine">'Circ Model'!$G$25</definedName>
    <definedName name="CCC">Calculations!$G$12</definedName>
    <definedName name="Cdb">Calculations!$G$30</definedName>
    <definedName name="Cdg">Calculations!#REF!</definedName>
    <definedName name="Cdw">Calculations!$G$29</definedName>
    <definedName name="cp">Calculations!$G$16</definedName>
    <definedName name="cpm">Calculations!#REF!</definedName>
    <definedName name="cpw">Calculations!$G$20</definedName>
    <definedName name="ctp">#REF!</definedName>
    <definedName name="D">'Circ Model'!$G$7</definedName>
    <definedName name="dbit">'Circ Model'!$E$20</definedName>
    <definedName name="dcase">'Circ Model'!$E$9</definedName>
    <definedName name="dci">Circulation!$E$9:$E$109</definedName>
    <definedName name="DD">Calculations!$G$13</definedName>
    <definedName name="dg">'Circ Model'!#REF!</definedName>
    <definedName name="dgor">Calculations!#REF!</definedName>
    <definedName name="dgs">Calculations!#REF!</definedName>
    <definedName name="dgss">Calculations!#REF!</definedName>
    <definedName name="Dh">Buckling!$G$15</definedName>
    <definedName name="dhor">'Circ Model'!$E$10</definedName>
    <definedName name="djr">'Circ Model'!#REF!</definedName>
    <definedName name="dmo">'Circ Model'!$E$19</definedName>
    <definedName name="dnoz">'Circ Model'!#REF!</definedName>
    <definedName name="DP">Calculations!$G$24</definedName>
    <definedName name="dPb">Calculations!$G$53</definedName>
    <definedName name="dPbha">'Circ Model'!$E$28</definedName>
    <definedName name="dPhp">Calculations!$G$49</definedName>
    <definedName name="dPi">#REF!</definedName>
    <definedName name="dPm">Calculations!$G$52</definedName>
    <definedName name="dPm0">Calculations!$G$50</definedName>
    <definedName name="dPv">Calculations!$G$48</definedName>
    <definedName name="dPw">Calculations!#REF!</definedName>
    <definedName name="dT">'Circ Model'!$E$12</definedName>
    <definedName name="dti">Calculations!$G$26</definedName>
    <definedName name="dto">'Circ Model'!$E$7</definedName>
    <definedName name="dv">'Circ Model'!$E$16</definedName>
    <definedName name="dw">Calculations!#REF!</definedName>
    <definedName name="E">Buckling!$28:$28</definedName>
    <definedName name="fc">'HP Data'!$L$3</definedName>
    <definedName name="fg">Calculations!#REF!</definedName>
    <definedName name="fga">Calculations!#REF!</definedName>
    <definedName name="fgc">Calculations!#REF!</definedName>
    <definedName name="fgm">Calculations!#REF!</definedName>
    <definedName name="fgp">Calculations!#REF!</definedName>
    <definedName name="fgr">Calculations!#REF!</definedName>
    <definedName name="fgs">Calculations!#REF!</definedName>
    <definedName name="fi">Circulation!#REF!</definedName>
    <definedName name="fL">Circulation!#REF!</definedName>
    <definedName name="flost">'Circ Model'!$G$14</definedName>
    <definedName name="g">Calculations!$G$4</definedName>
    <definedName name="Gflux">Calculations!#REF!</definedName>
    <definedName name="GSList">Calculations!$O$29:$O$30</definedName>
    <definedName name="HeadList">'JR Data'!$B$7:$B$16</definedName>
    <definedName name="HPadv">'HP Data'!$H$4:$I$7</definedName>
    <definedName name="HPeqOrifice">'HP Data'!$E$4:$F$7</definedName>
    <definedName name="HPList">'HP Data'!$C$4:$C$6</definedName>
    <definedName name="hVs">#REF!</definedName>
    <definedName name="i">Circulation!$C:$C</definedName>
    <definedName name="Ifactor">'Circ Model'!$E$18</definedName>
    <definedName name="impactlist">'HP Data'!$O$3:$O$6</definedName>
    <definedName name="k">Calculations!$G$8</definedName>
    <definedName name="Kfr">'Circ Model'!$G$24</definedName>
    <definedName name="kh">Calculations!#REF!</definedName>
    <definedName name="khs">Calculations!$G$17</definedName>
    <definedName name="ks">#REF!</definedName>
    <definedName name="Kw">Calculations!$G$19</definedName>
    <definedName name="L">'Circ Model'!$E$5</definedName>
    <definedName name="lt">'Circ Model'!$E$6</definedName>
    <definedName name="mb">Calculations!#REF!</definedName>
    <definedName name="mc">Calculations!$G$46</definedName>
    <definedName name="MD">Circulation!$D$9:$D$212</definedName>
    <definedName name="Me">Calculations!#REF!</definedName>
    <definedName name="mg">Calculations!#REF!</definedName>
    <definedName name="mgb">Calculations!#REF!</definedName>
    <definedName name="mgc">Calculations!#REF!</definedName>
    <definedName name="mgr">Calculations!#REF!</definedName>
    <definedName name="MGS">'Circ Model'!#REF!</definedName>
    <definedName name="ml">Calculations!$G$45</definedName>
    <definedName name="MotorList">'Motor Data'!$P$84:$P$88</definedName>
    <definedName name="mr">Calculations!#REF!</definedName>
    <definedName name="mu">Circulation!#REF!</definedName>
    <definedName name="mug">Circulation!#REF!</definedName>
    <definedName name="murock">Buckling!$C$7</definedName>
    <definedName name="muw">Circulation!$L:$L</definedName>
    <definedName name="mw">Calculations!$G$44</definedName>
    <definedName name="mwb">Calculations!#REF!</definedName>
    <definedName name="mwr">Calculations!#REF!</definedName>
    <definedName name="mwt">Calculations!$G$14</definedName>
    <definedName name="mx">Calculations!#REF!</definedName>
    <definedName name="N">Circulation!$D$3</definedName>
    <definedName name="ni">#REF!</definedName>
    <definedName name="nn">'Circ Model'!$E$21</definedName>
    <definedName name="nw">Calculations!#REF!</definedName>
    <definedName name="ONOFFlist">Calculations!$O$34:$O$35</definedName>
    <definedName name="OrificeList">Calculations!$O$29:$R$30</definedName>
    <definedName name="Pa">Calculations!$G$63</definedName>
    <definedName name="Pb">Calculations!$G$62</definedName>
    <definedName name="Pchoke">'Circ Model'!$E$13</definedName>
    <definedName name="Pcrit">Calculations!$G$9</definedName>
    <definedName name="Pfactor">'HP Data'!$J$7</definedName>
    <definedName name="Pi">Circulation!$H:$H</definedName>
    <definedName name="Pm">Calculations!$G$61</definedName>
    <definedName name="Poi">#REF!</definedName>
    <definedName name="Pp">Calculations!$G$58</definedName>
    <definedName name="Ppm">Calculations!$G$51</definedName>
    <definedName name="_xlnm.Print_Area" localSheetId="1">'Circ Model'!$A$1:$S$39</definedName>
    <definedName name="Ps">Calculations!$G$60</definedName>
    <definedName name="Pstd">Calculations!$G$6</definedName>
    <definedName name="Pv">Calculations!$G$59</definedName>
    <definedName name="Qg">'Circ Model'!#REF!</definedName>
    <definedName name="qmax">'Circ Model'!$K$19</definedName>
    <definedName name="qmjr">'JR Data'!$D$19</definedName>
    <definedName name="Qn">Circulation!#REF!</definedName>
    <definedName name="Qo">'Circ Model'!$E$23</definedName>
    <definedName name="Qw">Circulation!$M:$M</definedName>
    <definedName name="Rgas">Calculations!$G$15</definedName>
    <definedName name="rho">Circulation!#REF!</definedName>
    <definedName name="rhoga">Calculations!#REF!</definedName>
    <definedName name="rhogb">Calculations!#REF!</definedName>
    <definedName name="rhogc">Calculations!#REF!</definedName>
    <definedName name="rhogi">#REF!</definedName>
    <definedName name="rhogm">Calculations!#REF!</definedName>
    <definedName name="rhogo">Calculations!#REF!</definedName>
    <definedName name="rhogp">Calculations!#REF!</definedName>
    <definedName name="rhogr">Calculations!#REF!</definedName>
    <definedName name="rhogri">#REF!</definedName>
    <definedName name="rhogs">Calculations!#REF!</definedName>
    <definedName name="rhogstd">Calculations!#REF!</definedName>
    <definedName name="rhogt">Calculations!#REF!</definedName>
    <definedName name="rhoi">Circulation!#REF!</definedName>
    <definedName name="rhoma">Calculations!#REF!</definedName>
    <definedName name="rhomb">Calculations!#REF!</definedName>
    <definedName name="rhomc">Calculations!#REF!</definedName>
    <definedName name="rhomi">#REF!</definedName>
    <definedName name="rhomm">Calculations!#REF!</definedName>
    <definedName name="rhomp">Calculations!#REF!</definedName>
    <definedName name="rhomr">Calculations!#REF!</definedName>
    <definedName name="rhoms">Calculations!#REF!</definedName>
    <definedName name="rhorock">Calculations!$G$25</definedName>
    <definedName name="rhotS">Calculations!#REF!</definedName>
    <definedName name="rhow">Circulation!$K:$K</definedName>
    <definedName name="rhowa">Calculations!$G$41</definedName>
    <definedName name="rhowb">Calculations!$G$40</definedName>
    <definedName name="rhowc">Calculations!$G$42</definedName>
    <definedName name="rhowi">#REF!</definedName>
    <definedName name="rhowm">Calculations!$G$39</definedName>
    <definedName name="rhowo">Calculations!$G$27</definedName>
    <definedName name="rhowp">Calculations!$G$37</definedName>
    <definedName name="rhowr">Calculations!#REF!</definedName>
    <definedName name="rhows">Calculations!$G$38</definedName>
    <definedName name="rhwo">Calculations!$G$27</definedName>
    <definedName name="RP">Calculations!#REF!</definedName>
    <definedName name="RPc">Calculations!#REF!</definedName>
    <definedName name="Runiv">Calculations!$G$7</definedName>
    <definedName name="Si">#REF!</definedName>
    <definedName name="sighVs">#REF!</definedName>
    <definedName name="sigmaL">Circulation!#REF!</definedName>
    <definedName name="sigmaw">Calculations!$G$18</definedName>
    <definedName name="T">Circulation!$G:$G</definedName>
    <definedName name="T0">'Circ Model'!$E$11</definedName>
    <definedName name="Tb">Calculations!$G$23</definedName>
    <definedName name="Tcrit">Calculations!$G$10</definedName>
    <definedName name="Te">Calculations!#REF!</definedName>
    <definedName name="Tei">#REF!</definedName>
    <definedName name="tsf">Calculations!#REF!</definedName>
    <definedName name="Tstd">Calculations!$G$5</definedName>
    <definedName name="TVD">'Circ Model'!$E$4</definedName>
    <definedName name="va">Circulation!$N:$N</definedName>
    <definedName name="vah">Circulation!$O:$O</definedName>
    <definedName name="vm">Calculations!$G$55</definedName>
    <definedName name="vp">#REF!</definedName>
    <definedName name="vr">#REF!</definedName>
    <definedName name="vsg">Circulation!#REF!</definedName>
    <definedName name="vsl">Calculations!#REF!</definedName>
    <definedName name="vsw">Circulation!#REF!</definedName>
    <definedName name="vt">Calculations!#REF!</definedName>
    <definedName name="We">Buckling!$C$12</definedName>
    <definedName name="xg">Calculations!#REF!</definedName>
    <definedName name="Xlm">Circulation!#REF!</definedName>
    <definedName name="xrat">Circulation!$R:$R</definedName>
    <definedName name="Z">Circulation!$J:$J</definedName>
    <definedName name="Za">Calculations!#REF!</definedName>
    <definedName name="Zc">Calculations!#REF!</definedName>
    <definedName name="Zp">Calculations!#REF!</definedName>
    <definedName name="Zs">Calculations!#REF!</definedName>
  </definedNames>
  <calcPr calcId="145621" fullCalcOnLoad="1"/>
</workbook>
</file>

<file path=xl/calcChain.xml><?xml version="1.0" encoding="utf-8"?>
<calcChain xmlns="http://schemas.openxmlformats.org/spreadsheetml/2006/main">
  <c r="J7" i="9" l="1"/>
  <c r="F60" i="6"/>
  <c r="E60" i="6"/>
  <c r="D60" i="6"/>
  <c r="H60" i="6"/>
  <c r="I60" i="6"/>
  <c r="J60" i="6"/>
  <c r="K60" i="6"/>
  <c r="L60" i="6"/>
  <c r="N60" i="6"/>
  <c r="N57" i="6"/>
  <c r="H57" i="6"/>
  <c r="I57" i="6"/>
  <c r="J57" i="6"/>
  <c r="K57" i="6"/>
  <c r="L57" i="6"/>
  <c r="F57" i="6"/>
  <c r="E57" i="6"/>
  <c r="D57" i="6"/>
  <c r="N51" i="6"/>
  <c r="H51" i="6"/>
  <c r="I51" i="6"/>
  <c r="J51" i="6"/>
  <c r="K51" i="6"/>
  <c r="L51" i="6"/>
  <c r="D51" i="6"/>
  <c r="E51" i="6"/>
  <c r="F51" i="6"/>
  <c r="H59" i="6"/>
  <c r="I59" i="6"/>
  <c r="J59" i="6"/>
  <c r="K59" i="6"/>
  <c r="L59" i="6"/>
  <c r="N59" i="6"/>
  <c r="F59" i="6"/>
  <c r="E59" i="6"/>
  <c r="D59" i="6"/>
  <c r="N52" i="6"/>
  <c r="I52" i="6"/>
  <c r="J52" i="6"/>
  <c r="K52" i="6"/>
  <c r="L52" i="6"/>
  <c r="H52" i="6"/>
  <c r="F52" i="6"/>
  <c r="E52" i="6"/>
  <c r="D52" i="6"/>
  <c r="N56" i="6"/>
  <c r="H56" i="6"/>
  <c r="I56" i="6"/>
  <c r="J56" i="6"/>
  <c r="K56" i="6"/>
  <c r="L56" i="6"/>
  <c r="F56" i="6"/>
  <c r="E56" i="6"/>
  <c r="D56" i="6"/>
  <c r="H50" i="6"/>
  <c r="I50" i="6"/>
  <c r="J50" i="6"/>
  <c r="K50" i="6"/>
  <c r="L50" i="6"/>
  <c r="F50" i="6"/>
  <c r="E50" i="6"/>
  <c r="D50" i="6"/>
  <c r="E18" i="1"/>
  <c r="C17" i="11"/>
  <c r="E17" i="11"/>
  <c r="C22" i="1"/>
  <c r="K6" i="9"/>
  <c r="K5" i="9"/>
  <c r="K4" i="9"/>
  <c r="L3" i="9"/>
  <c r="E36" i="1" s="1"/>
  <c r="E17" i="1"/>
  <c r="H79" i="6"/>
  <c r="I79" i="6"/>
  <c r="F79" i="6"/>
  <c r="E79" i="6"/>
  <c r="H78" i="6"/>
  <c r="I78" i="6"/>
  <c r="J78" i="6"/>
  <c r="K78" i="6"/>
  <c r="L78" i="6"/>
  <c r="F78" i="6"/>
  <c r="E78" i="6"/>
  <c r="J79" i="6"/>
  <c r="K79" i="6"/>
  <c r="L79" i="6"/>
  <c r="L83" i="6"/>
  <c r="L82" i="6"/>
  <c r="F5" i="9"/>
  <c r="F4" i="9"/>
  <c r="B18" i="10"/>
  <c r="B19" i="10"/>
  <c r="B20" i="10"/>
  <c r="B21" i="10"/>
  <c r="B22" i="10"/>
  <c r="B17" i="10"/>
  <c r="I11" i="1"/>
  <c r="E11" i="1" s="1"/>
  <c r="E10" i="10"/>
  <c r="E18" i="10"/>
  <c r="E11" i="10"/>
  <c r="E19" i="10"/>
  <c r="E12" i="10"/>
  <c r="E20" i="10"/>
  <c r="E13" i="10"/>
  <c r="E21" i="10"/>
  <c r="E14" i="10"/>
  <c r="E22" i="10"/>
  <c r="F5" i="10"/>
  <c r="F9" i="10"/>
  <c r="F17" i="10"/>
  <c r="G5" i="10"/>
  <c r="G9" i="10"/>
  <c r="G17" i="10"/>
  <c r="H5" i="10"/>
  <c r="H9" i="10"/>
  <c r="H17" i="10"/>
  <c r="I5" i="10"/>
  <c r="I9" i="10"/>
  <c r="I17" i="10"/>
  <c r="J5" i="10"/>
  <c r="J9" i="10"/>
  <c r="J17" i="10"/>
  <c r="E5" i="10"/>
  <c r="E9" i="10"/>
  <c r="E17" i="10"/>
  <c r="F10" i="10"/>
  <c r="F18" i="10"/>
  <c r="G10" i="10"/>
  <c r="G18" i="10"/>
  <c r="H10" i="10"/>
  <c r="H18" i="10"/>
  <c r="I10" i="10"/>
  <c r="I18" i="10"/>
  <c r="J10" i="10"/>
  <c r="J18" i="10"/>
  <c r="F11" i="10"/>
  <c r="F19" i="10"/>
  <c r="G11" i="10"/>
  <c r="G19" i="10"/>
  <c r="H11" i="10"/>
  <c r="H19" i="10"/>
  <c r="I11" i="10"/>
  <c r="I19" i="10"/>
  <c r="J11" i="10"/>
  <c r="J19" i="10"/>
  <c r="F12" i="10"/>
  <c r="F20" i="10"/>
  <c r="G12" i="10"/>
  <c r="G20" i="10"/>
  <c r="H12" i="10"/>
  <c r="H20" i="10"/>
  <c r="I12" i="10"/>
  <c r="I20" i="10"/>
  <c r="J12" i="10"/>
  <c r="J20" i="10"/>
  <c r="F13" i="10"/>
  <c r="F21" i="10"/>
  <c r="G13" i="10"/>
  <c r="G21" i="10"/>
  <c r="H13" i="10"/>
  <c r="H21" i="10"/>
  <c r="I13" i="10"/>
  <c r="I21" i="10"/>
  <c r="J13" i="10"/>
  <c r="J21" i="10"/>
  <c r="F14" i="10"/>
  <c r="F22" i="10"/>
  <c r="G14" i="10"/>
  <c r="G22" i="10"/>
  <c r="H14" i="10"/>
  <c r="H22" i="10"/>
  <c r="I14" i="10"/>
  <c r="I22" i="10"/>
  <c r="J14" i="10"/>
  <c r="J22" i="10"/>
  <c r="I23" i="1"/>
  <c r="E23" i="1" s="1"/>
  <c r="C15" i="9"/>
  <c r="F6" i="9"/>
  <c r="C17" i="1"/>
  <c r="G33" i="5"/>
  <c r="I33" i="5" s="1"/>
  <c r="C29" i="9"/>
  <c r="E29" i="9"/>
  <c r="C30" i="9"/>
  <c r="E30" i="9"/>
  <c r="H13" i="9"/>
  <c r="G13" i="9"/>
  <c r="C16" i="9"/>
  <c r="C17" i="9"/>
  <c r="C18" i="9"/>
  <c r="C19" i="9"/>
  <c r="C20" i="9"/>
  <c r="C21" i="9"/>
  <c r="C22" i="9"/>
  <c r="C23" i="9"/>
  <c r="C24" i="9"/>
  <c r="C25" i="9"/>
  <c r="C26" i="9"/>
  <c r="C27" i="9"/>
  <c r="C28" i="9"/>
  <c r="D16" i="9"/>
  <c r="E16" i="9"/>
  <c r="D17" i="9"/>
  <c r="E17" i="9"/>
  <c r="D18" i="9"/>
  <c r="E18" i="9"/>
  <c r="D19" i="9"/>
  <c r="E19" i="9"/>
  <c r="D20" i="9"/>
  <c r="E20" i="9"/>
  <c r="D21" i="9"/>
  <c r="E21" i="9"/>
  <c r="D22" i="9"/>
  <c r="E22" i="9"/>
  <c r="D23" i="9"/>
  <c r="E23" i="9"/>
  <c r="D24" i="9"/>
  <c r="E24" i="9"/>
  <c r="D25" i="9"/>
  <c r="E25" i="9"/>
  <c r="E26" i="9"/>
  <c r="E27" i="9"/>
  <c r="E28" i="9"/>
  <c r="E15" i="9"/>
  <c r="D15" i="9"/>
  <c r="G5" i="5"/>
  <c r="I5" i="5"/>
  <c r="E6" i="5"/>
  <c r="G6" i="5"/>
  <c r="G9" i="5"/>
  <c r="G14" i="5"/>
  <c r="G15" i="5"/>
  <c r="G16" i="5"/>
  <c r="G17" i="5"/>
  <c r="G18" i="5"/>
  <c r="G24" i="5"/>
  <c r="I24" i="5"/>
  <c r="C10" i="4"/>
  <c r="C11" i="4"/>
  <c r="C12" i="4"/>
  <c r="C13" i="4"/>
  <c r="C14" i="4"/>
  <c r="E6" i="1"/>
  <c r="I6" i="1"/>
  <c r="E7" i="1"/>
  <c r="I7" i="1"/>
  <c r="E8" i="1"/>
  <c r="I8" i="1"/>
  <c r="E9" i="1"/>
  <c r="I9" i="1"/>
  <c r="E10" i="1"/>
  <c r="I10" i="1"/>
  <c r="I12" i="1"/>
  <c r="E12" i="1" s="1"/>
  <c r="E16" i="1"/>
  <c r="G32" i="5"/>
  <c r="E20" i="1"/>
  <c r="E21" i="1"/>
  <c r="E5" i="1"/>
  <c r="E4" i="1"/>
  <c r="I4" i="1" s="1"/>
  <c r="K23" i="1"/>
  <c r="I13" i="1"/>
  <c r="E13" i="1" s="1"/>
  <c r="H9" i="4" s="1"/>
  <c r="D19" i="8"/>
  <c r="E7" i="6"/>
  <c r="F7" i="6"/>
  <c r="H7" i="6"/>
  <c r="I7" i="6"/>
  <c r="E10" i="6"/>
  <c r="F10" i="6"/>
  <c r="H10" i="6"/>
  <c r="I10" i="6"/>
  <c r="E13" i="6"/>
  <c r="F13" i="6"/>
  <c r="H13" i="6"/>
  <c r="I13" i="6"/>
  <c r="E16" i="6"/>
  <c r="F16" i="6"/>
  <c r="H16" i="6"/>
  <c r="I16" i="6"/>
  <c r="E19" i="6"/>
  <c r="F19" i="6"/>
  <c r="H19" i="6"/>
  <c r="I19" i="6"/>
  <c r="E20" i="6"/>
  <c r="F20" i="6"/>
  <c r="H20" i="6"/>
  <c r="I20" i="6"/>
  <c r="E23" i="6"/>
  <c r="F23" i="6"/>
  <c r="H23" i="6"/>
  <c r="I23" i="6"/>
  <c r="E26" i="6"/>
  <c r="F26" i="6"/>
  <c r="H26" i="6"/>
  <c r="I26" i="6"/>
  <c r="E29" i="6"/>
  <c r="F29" i="6"/>
  <c r="H29" i="6"/>
  <c r="I29" i="6"/>
  <c r="E32" i="6"/>
  <c r="F32" i="6"/>
  <c r="H32" i="6"/>
  <c r="I32" i="6"/>
  <c r="D35" i="6"/>
  <c r="E35" i="6"/>
  <c r="W84" i="6"/>
  <c r="F35" i="6"/>
  <c r="H35" i="6"/>
  <c r="I35" i="6"/>
  <c r="N35" i="6"/>
  <c r="T84" i="6"/>
  <c r="E36" i="6"/>
  <c r="W85" i="6"/>
  <c r="F36" i="6"/>
  <c r="H36" i="6"/>
  <c r="I36" i="6"/>
  <c r="N36" i="6"/>
  <c r="T85" i="6"/>
  <c r="D39" i="6"/>
  <c r="E39" i="6"/>
  <c r="X84" i="6"/>
  <c r="F39" i="6"/>
  <c r="H39" i="6"/>
  <c r="I39" i="6"/>
  <c r="N39" i="6"/>
  <c r="U84" i="6"/>
  <c r="E40" i="6"/>
  <c r="X85" i="6"/>
  <c r="F40" i="6"/>
  <c r="H40" i="6"/>
  <c r="I40" i="6"/>
  <c r="N40" i="6"/>
  <c r="U85" i="6"/>
  <c r="D43" i="6"/>
  <c r="E43" i="6"/>
  <c r="F43" i="6"/>
  <c r="H43" i="6"/>
  <c r="I43" i="6"/>
  <c r="N43" i="6"/>
  <c r="D46" i="6"/>
  <c r="E46" i="6"/>
  <c r="Y84" i="6"/>
  <c r="K19" i="1"/>
  <c r="F46" i="6"/>
  <c r="H46" i="6"/>
  <c r="I46" i="6"/>
  <c r="J46" i="6"/>
  <c r="N46" i="6"/>
  <c r="V84" i="6"/>
  <c r="I51" i="5"/>
  <c r="E51" i="5" s="1"/>
  <c r="G51" i="5" s="1"/>
  <c r="E47" i="6"/>
  <c r="F47" i="6"/>
  <c r="H47" i="6"/>
  <c r="I47" i="6"/>
  <c r="N47" i="6"/>
  <c r="D48" i="6"/>
  <c r="E48" i="6"/>
  <c r="F48" i="6"/>
  <c r="H48" i="6"/>
  <c r="I48" i="6"/>
  <c r="N48" i="6"/>
  <c r="V85" i="6"/>
  <c r="D66" i="6"/>
  <c r="E66" i="6"/>
  <c r="F66" i="6"/>
  <c r="G66" i="6"/>
  <c r="H66" i="6"/>
  <c r="I66" i="6"/>
  <c r="J66" i="6"/>
  <c r="K66" i="6"/>
  <c r="L66" i="6"/>
  <c r="E67" i="6"/>
  <c r="F67" i="6"/>
  <c r="G67" i="6"/>
  <c r="H67" i="6"/>
  <c r="I67" i="6"/>
  <c r="D68" i="6"/>
  <c r="E68" i="6"/>
  <c r="F68" i="6"/>
  <c r="J68" i="6"/>
  <c r="K68" i="6"/>
  <c r="L68" i="6"/>
  <c r="G68" i="6"/>
  <c r="H68" i="6"/>
  <c r="I68" i="6"/>
  <c r="E71" i="6"/>
  <c r="F71" i="6"/>
  <c r="H71" i="6"/>
  <c r="I71" i="6"/>
  <c r="E74" i="6"/>
  <c r="F74" i="6"/>
  <c r="H74" i="6"/>
  <c r="I74" i="6"/>
  <c r="Y85" i="6"/>
  <c r="J71" i="6"/>
  <c r="K71" i="6"/>
  <c r="L71" i="6"/>
  <c r="J23" i="6"/>
  <c r="K23" i="6"/>
  <c r="L23" i="6"/>
  <c r="K46" i="6"/>
  <c r="L46" i="6"/>
  <c r="S84" i="6"/>
  <c r="E19" i="1"/>
  <c r="C19" i="1" s="1"/>
  <c r="J39" i="6"/>
  <c r="K39" i="6"/>
  <c r="L39" i="6"/>
  <c r="R84" i="6"/>
  <c r="J16" i="6"/>
  <c r="K16" i="6"/>
  <c r="L16" i="6"/>
  <c r="J13" i="6"/>
  <c r="K13" i="6"/>
  <c r="L13" i="6"/>
  <c r="J7" i="6"/>
  <c r="K7" i="6"/>
  <c r="L7" i="6"/>
  <c r="J43" i="6"/>
  <c r="K43" i="6"/>
  <c r="L43" i="6"/>
  <c r="G26" i="5"/>
  <c r="I26" i="5" s="1"/>
  <c r="G27" i="5"/>
  <c r="D11" i="4"/>
  <c r="D113" i="4"/>
  <c r="I5" i="1"/>
  <c r="D9" i="4"/>
  <c r="D13" i="4"/>
  <c r="D12" i="4"/>
  <c r="D10" i="4"/>
  <c r="J74" i="6"/>
  <c r="K74" i="6"/>
  <c r="L74" i="6"/>
  <c r="J47" i="6"/>
  <c r="K47" i="6"/>
  <c r="L47" i="6"/>
  <c r="J35" i="6"/>
  <c r="K35" i="6"/>
  <c r="L35" i="6"/>
  <c r="Q84" i="6"/>
  <c r="J67" i="6"/>
  <c r="K67" i="6"/>
  <c r="L67" i="6"/>
  <c r="J36" i="6"/>
  <c r="K36" i="6"/>
  <c r="L36" i="6"/>
  <c r="Q85" i="6"/>
  <c r="J19" i="6"/>
  <c r="K19" i="6"/>
  <c r="L19" i="6"/>
  <c r="D114" i="4"/>
  <c r="J26" i="6"/>
  <c r="K26" i="6"/>
  <c r="L26" i="6"/>
  <c r="G35" i="5"/>
  <c r="D115" i="4"/>
  <c r="D111" i="4"/>
  <c r="D116" i="4"/>
  <c r="C11" i="11"/>
  <c r="C10" i="11"/>
  <c r="E26" i="5"/>
  <c r="E11" i="4"/>
  <c r="F11" i="4" s="1"/>
  <c r="O9" i="4"/>
  <c r="A11" i="4"/>
  <c r="A113" i="4"/>
  <c r="U11" i="4"/>
  <c r="E12" i="4"/>
  <c r="F12" i="4" s="1"/>
  <c r="A12" i="4"/>
  <c r="E9" i="4"/>
  <c r="F9" i="4" s="1"/>
  <c r="E10" i="4"/>
  <c r="F10" i="4" s="1"/>
  <c r="U12" i="4"/>
  <c r="E13" i="4"/>
  <c r="F13" i="4" s="1"/>
  <c r="A9" i="4"/>
  <c r="U9" i="4"/>
  <c r="A13" i="4"/>
  <c r="U10" i="4"/>
  <c r="U13" i="4"/>
  <c r="A10" i="4"/>
  <c r="A114" i="4"/>
  <c r="A115" i="4"/>
  <c r="Q111" i="4"/>
  <c r="A111" i="4"/>
  <c r="A112" i="4"/>
  <c r="A116" i="4"/>
  <c r="I19" i="1"/>
  <c r="K24" i="1"/>
  <c r="D117" i="4"/>
  <c r="C15" i="4"/>
  <c r="D14" i="4"/>
  <c r="U14" i="4" s="1"/>
  <c r="J48" i="6"/>
  <c r="K48" i="6"/>
  <c r="L48" i="6"/>
  <c r="J40" i="6"/>
  <c r="K40" i="6"/>
  <c r="L40" i="6"/>
  <c r="R85" i="6"/>
  <c r="J32" i="6"/>
  <c r="K32" i="6"/>
  <c r="L32" i="6"/>
  <c r="J29" i="6"/>
  <c r="K29" i="6"/>
  <c r="L29" i="6"/>
  <c r="J20" i="6"/>
  <c r="K20" i="6"/>
  <c r="L20" i="6"/>
  <c r="J10" i="6"/>
  <c r="K10" i="6"/>
  <c r="L10" i="6"/>
  <c r="G34" i="5"/>
  <c r="I34" i="5" s="1"/>
  <c r="C16" i="4"/>
  <c r="D118" i="4"/>
  <c r="D15" i="4"/>
  <c r="A15" i="4" s="1"/>
  <c r="D119" i="4"/>
  <c r="A119" i="4" s="1"/>
  <c r="C17" i="4"/>
  <c r="D16" i="4"/>
  <c r="U16" i="4" s="1"/>
  <c r="C18" i="4"/>
  <c r="D120" i="4"/>
  <c r="D17" i="4"/>
  <c r="D121" i="4"/>
  <c r="D18" i="4"/>
  <c r="E18" i="4"/>
  <c r="F18" i="4" s="1"/>
  <c r="C19" i="4"/>
  <c r="C20" i="4"/>
  <c r="D19" i="4"/>
  <c r="D122" i="4"/>
  <c r="A122" i="4" s="1"/>
  <c r="A19" i="4"/>
  <c r="D123" i="4"/>
  <c r="A123" i="4"/>
  <c r="D20" i="4"/>
  <c r="C21" i="4"/>
  <c r="U20" i="4"/>
  <c r="D21" i="4"/>
  <c r="A21" i="4" s="1"/>
  <c r="D124" i="4"/>
  <c r="C22" i="4"/>
  <c r="D22" i="4"/>
  <c r="D125" i="4"/>
  <c r="A125" i="4"/>
  <c r="C23" i="4"/>
  <c r="U21" i="4"/>
  <c r="C24" i="4"/>
  <c r="D126" i="4"/>
  <c r="A126" i="4" s="1"/>
  <c r="D23" i="4"/>
  <c r="U23" i="4" s="1"/>
  <c r="D24" i="4"/>
  <c r="E24" i="4" s="1"/>
  <c r="F24" i="4" s="1"/>
  <c r="D127" i="4"/>
  <c r="C25" i="4"/>
  <c r="D128" i="4"/>
  <c r="C26" i="4"/>
  <c r="D25" i="4"/>
  <c r="A25" i="4" s="1"/>
  <c r="D26" i="4"/>
  <c r="D129" i="4"/>
  <c r="A129" i="4" s="1"/>
  <c r="C27" i="4"/>
  <c r="D27" i="4"/>
  <c r="U27" i="4" s="1"/>
  <c r="C28" i="4"/>
  <c r="D130" i="4"/>
  <c r="A130" i="4" s="1"/>
  <c r="U26" i="4"/>
  <c r="C29" i="4"/>
  <c r="D28" i="4"/>
  <c r="D131" i="4"/>
  <c r="C30" i="4"/>
  <c r="D132" i="4"/>
  <c r="D29" i="4"/>
  <c r="A29" i="4" s="1"/>
  <c r="D30" i="4"/>
  <c r="U30" i="4" s="1"/>
  <c r="D133" i="4"/>
  <c r="A133" i="4" s="1"/>
  <c r="C31" i="4"/>
  <c r="D134" i="4"/>
  <c r="C32" i="4"/>
  <c r="D31" i="4"/>
  <c r="E31" i="4" s="1"/>
  <c r="F31" i="4" s="1"/>
  <c r="A30" i="4"/>
  <c r="C33" i="4"/>
  <c r="D32" i="4"/>
  <c r="A32" i="4" s="1"/>
  <c r="D135" i="4"/>
  <c r="A135" i="4" s="1"/>
  <c r="D136" i="4"/>
  <c r="A136" i="4" s="1"/>
  <c r="D33" i="4"/>
  <c r="A33" i="4" s="1"/>
  <c r="C34" i="4"/>
  <c r="C35" i="4"/>
  <c r="D34" i="4"/>
  <c r="A34" i="4" s="1"/>
  <c r="D137" i="4"/>
  <c r="D138" i="4"/>
  <c r="A138" i="4" s="1"/>
  <c r="D35" i="4"/>
  <c r="U35" i="4" s="1"/>
  <c r="C36" i="4"/>
  <c r="D139" i="4"/>
  <c r="C37" i="4"/>
  <c r="D36" i="4"/>
  <c r="E36" i="4" s="1"/>
  <c r="F36" i="4" s="1"/>
  <c r="D140" i="4"/>
  <c r="C38" i="4"/>
  <c r="D37" i="4"/>
  <c r="A37" i="4" s="1"/>
  <c r="C39" i="4"/>
  <c r="D38" i="4"/>
  <c r="E38" i="4" s="1"/>
  <c r="F38" i="4" s="1"/>
  <c r="D141" i="4"/>
  <c r="C40" i="4"/>
  <c r="D39" i="4"/>
  <c r="A39" i="4" s="1"/>
  <c r="D142" i="4"/>
  <c r="D143" i="4"/>
  <c r="D40" i="4"/>
  <c r="U40" i="4"/>
  <c r="C41" i="4"/>
  <c r="C42" i="4"/>
  <c r="D144" i="4"/>
  <c r="A144" i="4"/>
  <c r="D41" i="4"/>
  <c r="E41" i="4"/>
  <c r="F41" i="4" s="1"/>
  <c r="C43" i="4"/>
  <c r="D42" i="4"/>
  <c r="D145" i="4"/>
  <c r="A145" i="4"/>
  <c r="D146" i="4"/>
  <c r="C44" i="4"/>
  <c r="D43" i="4"/>
  <c r="E43" i="4" s="1"/>
  <c r="F43" i="4" s="1"/>
  <c r="D147" i="4"/>
  <c r="C45" i="4"/>
  <c r="D44" i="4"/>
  <c r="E44" i="4"/>
  <c r="F44" i="4" s="1"/>
  <c r="D45" i="4"/>
  <c r="C46" i="4"/>
  <c r="D148" i="4"/>
  <c r="A148" i="4" s="1"/>
  <c r="C47" i="4"/>
  <c r="D149" i="4"/>
  <c r="A149" i="4" s="1"/>
  <c r="D46" i="4"/>
  <c r="E45" i="4"/>
  <c r="F45" i="4" s="1"/>
  <c r="D150" i="4"/>
  <c r="D47" i="4"/>
  <c r="C48" i="4"/>
  <c r="D48" i="4"/>
  <c r="A48" i="4" s="1"/>
  <c r="C49" i="4"/>
  <c r="D151" i="4"/>
  <c r="A151" i="4" s="1"/>
  <c r="D152" i="4"/>
  <c r="A152" i="4" s="1"/>
  <c r="C50" i="4"/>
  <c r="D49" i="4"/>
  <c r="E49" i="4" s="1"/>
  <c r="F49" i="4" s="1"/>
  <c r="D153" i="4"/>
  <c r="C51" i="4"/>
  <c r="D50" i="4"/>
  <c r="E50" i="4"/>
  <c r="F50" i="4" s="1"/>
  <c r="C52" i="4"/>
  <c r="D51" i="4"/>
  <c r="E51" i="4" s="1"/>
  <c r="F51" i="4" s="1"/>
  <c r="D154" i="4"/>
  <c r="A154" i="4" s="1"/>
  <c r="D52" i="4"/>
  <c r="U52" i="4" s="1"/>
  <c r="C53" i="4"/>
  <c r="D155" i="4"/>
  <c r="D156" i="4"/>
  <c r="D53" i="4"/>
  <c r="A53" i="4" s="1"/>
  <c r="C54" i="4"/>
  <c r="C55" i="4"/>
  <c r="D54" i="4"/>
  <c r="U54" i="4" s="1"/>
  <c r="D157" i="4"/>
  <c r="A157" i="4" s="1"/>
  <c r="D158" i="4"/>
  <c r="C56" i="4"/>
  <c r="D55" i="4"/>
  <c r="D56" i="4"/>
  <c r="C57" i="4"/>
  <c r="D159" i="4"/>
  <c r="A159" i="4" s="1"/>
  <c r="C58" i="4"/>
  <c r="D57" i="4"/>
  <c r="U57" i="4" s="1"/>
  <c r="D160" i="4"/>
  <c r="A160" i="4" s="1"/>
  <c r="D58" i="4"/>
  <c r="E58" i="4" s="1"/>
  <c r="F58" i="4" s="1"/>
  <c r="C59" i="4"/>
  <c r="D161" i="4"/>
  <c r="D162" i="4"/>
  <c r="A162" i="4" s="1"/>
  <c r="C60" i="4"/>
  <c r="D59" i="4"/>
  <c r="U58" i="4"/>
  <c r="D60" i="4"/>
  <c r="C61" i="4"/>
  <c r="D163" i="4"/>
  <c r="A163" i="4" s="1"/>
  <c r="D61" i="4"/>
  <c r="E61" i="4" s="1"/>
  <c r="F61" i="4" s="1"/>
  <c r="C62" i="4"/>
  <c r="D164" i="4"/>
  <c r="C63" i="4"/>
  <c r="D62" i="4"/>
  <c r="D165" i="4"/>
  <c r="C64" i="4"/>
  <c r="D63" i="4"/>
  <c r="U63" i="4" s="1"/>
  <c r="D166" i="4"/>
  <c r="A166" i="4" s="1"/>
  <c r="A63" i="4"/>
  <c r="C65" i="4"/>
  <c r="D64" i="4"/>
  <c r="A64" i="4"/>
  <c r="D167" i="4"/>
  <c r="E64" i="4"/>
  <c r="F64" i="4" s="1"/>
  <c r="C66" i="4"/>
  <c r="D168" i="4"/>
  <c r="A168" i="4" s="1"/>
  <c r="D65" i="4"/>
  <c r="A65" i="4" s="1"/>
  <c r="C67" i="4"/>
  <c r="D66" i="4"/>
  <c r="D169" i="4"/>
  <c r="A169" i="4" s="1"/>
  <c r="D170" i="4"/>
  <c r="A170" i="4" s="1"/>
  <c r="C68" i="4"/>
  <c r="D67" i="4"/>
  <c r="D171" i="4"/>
  <c r="C69" i="4"/>
  <c r="D68" i="4"/>
  <c r="D69" i="4"/>
  <c r="U69" i="4"/>
  <c r="C70" i="4"/>
  <c r="D172" i="4"/>
  <c r="D173" i="4"/>
  <c r="A173" i="4"/>
  <c r="C71" i="4"/>
  <c r="D70" i="4"/>
  <c r="A70" i="4" s="1"/>
  <c r="D174" i="4"/>
  <c r="A174" i="4" s="1"/>
  <c r="C72" i="4"/>
  <c r="D71" i="4"/>
  <c r="A71" i="4" s="1"/>
  <c r="C73" i="4"/>
  <c r="D175" i="4"/>
  <c r="D72" i="4"/>
  <c r="U72" i="4" s="1"/>
  <c r="D73" i="4"/>
  <c r="A73" i="4" s="1"/>
  <c r="C74" i="4"/>
  <c r="D176" i="4"/>
  <c r="D177" i="4"/>
  <c r="C75" i="4"/>
  <c r="D74" i="4"/>
  <c r="A74" i="4" s="1"/>
  <c r="D178" i="4"/>
  <c r="A178" i="4" s="1"/>
  <c r="D75" i="4"/>
  <c r="U75" i="4" s="1"/>
  <c r="C76" i="4"/>
  <c r="D76" i="4"/>
  <c r="C77" i="4"/>
  <c r="D179" i="4"/>
  <c r="D180" i="4"/>
  <c r="C78" i="4"/>
  <c r="D77" i="4"/>
  <c r="U77" i="4" s="1"/>
  <c r="C79" i="4"/>
  <c r="D78" i="4"/>
  <c r="A78" i="4" s="1"/>
  <c r="D181" i="4"/>
  <c r="A181" i="4" s="1"/>
  <c r="C80" i="4"/>
  <c r="D79" i="4"/>
  <c r="U79" i="4"/>
  <c r="D182" i="4"/>
  <c r="A182" i="4"/>
  <c r="C81" i="4"/>
  <c r="D80" i="4"/>
  <c r="U80" i="4" s="1"/>
  <c r="D183" i="4"/>
  <c r="A183" i="4" s="1"/>
  <c r="C82" i="4"/>
  <c r="D184" i="4"/>
  <c r="A184" i="4"/>
  <c r="D81" i="4"/>
  <c r="E81" i="4"/>
  <c r="F81" i="4" s="1"/>
  <c r="C83" i="4"/>
  <c r="D185" i="4"/>
  <c r="A185" i="4" s="1"/>
  <c r="D82" i="4"/>
  <c r="E82" i="4" s="1"/>
  <c r="F82" i="4" s="1"/>
  <c r="D186" i="4"/>
  <c r="C84" i="4"/>
  <c r="D83" i="4"/>
  <c r="C85" i="4"/>
  <c r="D84" i="4"/>
  <c r="E84" i="4" s="1"/>
  <c r="F84" i="4" s="1"/>
  <c r="D187" i="4"/>
  <c r="D85" i="4"/>
  <c r="C86" i="4"/>
  <c r="D188" i="4"/>
  <c r="D189" i="4"/>
  <c r="A189" i="4" s="1"/>
  <c r="C87" i="4"/>
  <c r="D86" i="4"/>
  <c r="U86" i="4"/>
  <c r="D87" i="4"/>
  <c r="A87" i="4"/>
  <c r="C88" i="4"/>
  <c r="D190" i="4"/>
  <c r="C89" i="4"/>
  <c r="D88" i="4"/>
  <c r="A88" i="4" s="1"/>
  <c r="D191" i="4"/>
  <c r="C90" i="4"/>
  <c r="D89" i="4"/>
  <c r="U89" i="4"/>
  <c r="D192" i="4"/>
  <c r="A192" i="4"/>
  <c r="D90" i="4"/>
  <c r="A90" i="4"/>
  <c r="C91" i="4"/>
  <c r="D193" i="4"/>
  <c r="D91" i="4"/>
  <c r="A91" i="4"/>
  <c r="C92" i="4"/>
  <c r="D194" i="4"/>
  <c r="A194" i="4" s="1"/>
  <c r="E91" i="4"/>
  <c r="F91" i="4" s="1"/>
  <c r="D195" i="4"/>
  <c r="A195" i="4" s="1"/>
  <c r="C93" i="4"/>
  <c r="D92" i="4"/>
  <c r="C94" i="4"/>
  <c r="D196" i="4"/>
  <c r="A196" i="4" s="1"/>
  <c r="D93" i="4"/>
  <c r="E93" i="4" s="1"/>
  <c r="F93" i="4" s="1"/>
  <c r="E92" i="4"/>
  <c r="F92" i="4" s="1"/>
  <c r="D94" i="4"/>
  <c r="C95" i="4"/>
  <c r="D197" i="4"/>
  <c r="D95" i="4"/>
  <c r="A95" i="4"/>
  <c r="D198" i="4"/>
  <c r="A198" i="4"/>
  <c r="C96" i="4"/>
  <c r="A94" i="4"/>
  <c r="C97" i="4"/>
  <c r="D96" i="4"/>
  <c r="U96" i="4" s="1"/>
  <c r="D199" i="4"/>
  <c r="A199" i="4" s="1"/>
  <c r="D200" i="4"/>
  <c r="A200" i="4" s="1"/>
  <c r="C98" i="4"/>
  <c r="D97" i="4"/>
  <c r="A97" i="4" s="1"/>
  <c r="D201" i="4"/>
  <c r="A201" i="4" s="1"/>
  <c r="C99" i="4"/>
  <c r="D98" i="4"/>
  <c r="D202" i="4"/>
  <c r="A202" i="4" s="1"/>
  <c r="D99" i="4"/>
  <c r="U99" i="4" s="1"/>
  <c r="C100" i="4"/>
  <c r="E98" i="4"/>
  <c r="F98" i="4" s="1"/>
  <c r="C101" i="4"/>
  <c r="D203" i="4"/>
  <c r="A203" i="4" s="1"/>
  <c r="D100" i="4"/>
  <c r="E100" i="4" s="1"/>
  <c r="F100" i="4" s="1"/>
  <c r="D101" i="4"/>
  <c r="E101" i="4" s="1"/>
  <c r="F101" i="4" s="1"/>
  <c r="C102" i="4"/>
  <c r="D204" i="4"/>
  <c r="A204" i="4"/>
  <c r="D102" i="4"/>
  <c r="E102" i="4"/>
  <c r="F102" i="4" s="1"/>
  <c r="C103" i="4"/>
  <c r="D205" i="4"/>
  <c r="C104" i="4"/>
  <c r="D103" i="4"/>
  <c r="E103" i="4" s="1"/>
  <c r="F103" i="4" s="1"/>
  <c r="D206" i="4"/>
  <c r="A206" i="4" s="1"/>
  <c r="D104" i="4"/>
  <c r="A104" i="4" s="1"/>
  <c r="C105" i="4"/>
  <c r="D207" i="4"/>
  <c r="D105" i="4"/>
  <c r="C106" i="4"/>
  <c r="D208" i="4"/>
  <c r="A208" i="4" s="1"/>
  <c r="D209" i="4"/>
  <c r="A209" i="4" s="1"/>
  <c r="C107" i="4"/>
  <c r="D106" i="4"/>
  <c r="E106" i="4" s="1"/>
  <c r="F106" i="4" s="1"/>
  <c r="E105" i="4"/>
  <c r="F105" i="4" s="1"/>
  <c r="D107" i="4"/>
  <c r="C108" i="4"/>
  <c r="D210" i="4"/>
  <c r="D211" i="4"/>
  <c r="C109" i="4"/>
  <c r="D108" i="4"/>
  <c r="A108" i="4" s="1"/>
  <c r="D109" i="4"/>
  <c r="D212" i="4"/>
  <c r="A212" i="4" s="1"/>
  <c r="A75" i="4"/>
  <c r="E69" i="4"/>
  <c r="F69" i="4" s="1"/>
  <c r="A69" i="4"/>
  <c r="A167" i="4"/>
  <c r="A44" i="4"/>
  <c r="A41" i="4"/>
  <c r="A40" i="4"/>
  <c r="E40" i="4"/>
  <c r="F40" i="4" s="1"/>
  <c r="E97" i="4"/>
  <c r="F97" i="4" s="1"/>
  <c r="U95" i="4"/>
  <c r="U92" i="4"/>
  <c r="U91" i="4"/>
  <c r="U87" i="4"/>
  <c r="A86" i="4"/>
  <c r="A85" i="4"/>
  <c r="A188" i="4"/>
  <c r="U81" i="4"/>
  <c r="E80" i="4"/>
  <c r="F80" i="4" s="1"/>
  <c r="E76" i="4"/>
  <c r="F76" i="4" s="1"/>
  <c r="A179" i="4"/>
  <c r="E75" i="4"/>
  <c r="F75" i="4" s="1"/>
  <c r="A176" i="4"/>
  <c r="E73" i="4"/>
  <c r="F73" i="4" s="1"/>
  <c r="E72" i="4"/>
  <c r="F72" i="4" s="1"/>
  <c r="A72" i="4"/>
  <c r="E68" i="4"/>
  <c r="F68" i="4" s="1"/>
  <c r="A68" i="4"/>
  <c r="U67" i="4"/>
  <c r="A67" i="4"/>
  <c r="E66" i="4"/>
  <c r="F66" i="4" s="1"/>
  <c r="A66" i="4"/>
  <c r="E65" i="4"/>
  <c r="F65" i="4" s="1"/>
  <c r="U65" i="4"/>
  <c r="E62" i="4"/>
  <c r="F62" i="4" s="1"/>
  <c r="A62" i="4"/>
  <c r="A164" i="4"/>
  <c r="A61" i="4"/>
  <c r="E60" i="4"/>
  <c r="F60" i="4" s="1"/>
  <c r="A60" i="4"/>
  <c r="A161" i="4"/>
  <c r="A58" i="4"/>
  <c r="E54" i="4"/>
  <c r="F54" i="4" s="1"/>
  <c r="A54" i="4"/>
  <c r="U53" i="4"/>
  <c r="E52" i="4"/>
  <c r="F52" i="4" s="1"/>
  <c r="A52" i="4"/>
  <c r="U51" i="4"/>
  <c r="A46" i="4"/>
  <c r="U46" i="4"/>
  <c r="A147" i="4"/>
  <c r="U44" i="4"/>
  <c r="U41" i="4"/>
  <c r="E32" i="4"/>
  <c r="F32" i="4" s="1"/>
  <c r="A24" i="4"/>
  <c r="A18" i="4"/>
  <c r="A17" i="4"/>
  <c r="E16" i="4"/>
  <c r="F16" i="4" s="1"/>
  <c r="A16" i="4"/>
  <c r="E39" i="4"/>
  <c r="F39" i="4" s="1"/>
  <c r="U38" i="4"/>
  <c r="A187" i="4"/>
  <c r="A186" i="4"/>
  <c r="A155" i="4"/>
  <c r="A153" i="4"/>
  <c r="A146" i="4"/>
  <c r="A140" i="4"/>
  <c r="A137" i="4"/>
  <c r="A210" i="4"/>
  <c r="A207" i="4"/>
  <c r="A131" i="4"/>
  <c r="A127" i="4"/>
  <c r="D110" i="4"/>
  <c r="A110" i="4" s="1"/>
  <c r="A107" i="4"/>
  <c r="E107" i="4"/>
  <c r="F107" i="4"/>
  <c r="A51" i="4"/>
  <c r="A50" i="4"/>
  <c r="U83" i="4"/>
  <c r="E83" i="4"/>
  <c r="F83" i="4" s="1"/>
  <c r="A77" i="4"/>
  <c r="U68" i="4"/>
  <c r="U43" i="4"/>
  <c r="A42" i="4"/>
  <c r="E42" i="4"/>
  <c r="F42" i="4" s="1"/>
  <c r="U39" i="4"/>
  <c r="E37" i="4"/>
  <c r="F37" i="4" s="1"/>
  <c r="U32" i="4"/>
  <c r="A31" i="4"/>
  <c r="A20" i="4"/>
  <c r="E14" i="4"/>
  <c r="F14" i="4" s="1"/>
  <c r="E34" i="4"/>
  <c r="F34" i="4" s="1"/>
  <c r="U34" i="4"/>
  <c r="U22" i="4"/>
  <c r="U17" i="4"/>
  <c r="A35" i="4"/>
  <c r="U106" i="4"/>
  <c r="E21" i="4"/>
  <c r="F21" i="4" s="1"/>
  <c r="U15" i="4"/>
  <c r="A175" i="4"/>
  <c r="E67" i="4"/>
  <c r="F67" i="4" s="1"/>
  <c r="A139" i="4"/>
  <c r="U66" i="4"/>
  <c r="A121" i="4"/>
  <c r="A120" i="4"/>
  <c r="A191" i="4"/>
  <c r="E88" i="4"/>
  <c r="F88" i="4" s="1"/>
  <c r="U33" i="4"/>
  <c r="E30" i="4"/>
  <c r="F30" i="4" s="1"/>
  <c r="A132" i="4"/>
  <c r="E99" i="4"/>
  <c r="F99" i="4" s="1"/>
  <c r="U82" i="4"/>
  <c r="A80" i="4"/>
  <c r="A76" i="4"/>
  <c r="E71" i="4"/>
  <c r="F71" i="4" s="1"/>
  <c r="U70" i="4"/>
  <c r="E48" i="4"/>
  <c r="F48" i="4" s="1"/>
  <c r="A47" i="4"/>
  <c r="A177" i="4"/>
  <c r="A142" i="4"/>
  <c r="U103" i="4"/>
  <c r="U98" i="4"/>
  <c r="E70" i="4"/>
  <c r="F70" i="4" s="1"/>
  <c r="A165" i="4"/>
  <c r="U48" i="4"/>
  <c r="A45" i="4"/>
  <c r="U29" i="4"/>
  <c r="E28" i="4"/>
  <c r="F28" i="4" s="1"/>
  <c r="E22" i="4"/>
  <c r="F22" i="4" s="1"/>
  <c r="U18" i="4"/>
  <c r="A118" i="4"/>
  <c r="A117" i="4"/>
  <c r="A103" i="4"/>
  <c r="U101" i="4"/>
  <c r="U100" i="4"/>
  <c r="A193" i="4"/>
  <c r="E90" i="4"/>
  <c r="F90" i="4" s="1"/>
  <c r="E85" i="4"/>
  <c r="F85" i="4" s="1"/>
  <c r="U84" i="4"/>
  <c r="U78" i="4"/>
  <c r="A180" i="4"/>
  <c r="E63" i="4"/>
  <c r="F63" i="4" s="1"/>
  <c r="U61" i="4"/>
  <c r="U60" i="4"/>
  <c r="E59" i="4"/>
  <c r="F59" i="4" s="1"/>
  <c r="U55" i="4"/>
  <c r="A26" i="4"/>
  <c r="E23" i="4"/>
  <c r="F23" i="4" s="1"/>
  <c r="U19" i="4"/>
  <c r="E19" i="4"/>
  <c r="F19" i="4" s="1"/>
  <c r="U36" i="4"/>
  <c r="A27" i="4"/>
  <c r="A128" i="4"/>
  <c r="U76" i="4"/>
  <c r="U74" i="4"/>
  <c r="A171" i="4"/>
  <c r="A59" i="4"/>
  <c r="E56" i="4"/>
  <c r="F56" i="4"/>
  <c r="A158" i="4"/>
  <c r="E55" i="4"/>
  <c r="F55" i="4" s="1"/>
  <c r="A143" i="4"/>
  <c r="E29" i="4"/>
  <c r="F29" i="4" s="1"/>
  <c r="U28" i="4"/>
  <c r="E27" i="4"/>
  <c r="F27" i="4" s="1"/>
  <c r="E26" i="4"/>
  <c r="F26" i="4" s="1"/>
  <c r="U25" i="4"/>
  <c r="U24" i="4"/>
  <c r="A23" i="4"/>
  <c r="A22" i="4"/>
  <c r="A124" i="4"/>
  <c r="E20" i="4"/>
  <c r="F20" i="4" s="1"/>
  <c r="A211" i="4"/>
  <c r="A106" i="4"/>
  <c r="A105" i="4"/>
  <c r="A100" i="4"/>
  <c r="A99" i="4"/>
  <c r="A98" i="4"/>
  <c r="A96" i="4"/>
  <c r="U94" i="4"/>
  <c r="A89" i="4"/>
  <c r="U85" i="4"/>
  <c r="A81" i="4"/>
  <c r="U73" i="4"/>
  <c r="U71" i="4"/>
  <c r="U64" i="4"/>
  <c r="U62" i="4"/>
  <c r="A57" i="4"/>
  <c r="A55" i="4"/>
  <c r="E46" i="4"/>
  <c r="F46" i="4" s="1"/>
  <c r="U104" i="4"/>
  <c r="E109" i="4"/>
  <c r="F109" i="4"/>
  <c r="A109" i="4"/>
  <c r="E108" i="4"/>
  <c r="F108" i="4" s="1"/>
  <c r="E104" i="4"/>
  <c r="F104" i="4" s="1"/>
  <c r="U102" i="4"/>
  <c r="U97" i="4"/>
  <c r="E96" i="4"/>
  <c r="F96" i="4" s="1"/>
  <c r="U93" i="4"/>
  <c r="E87" i="4"/>
  <c r="F87" i="4" s="1"/>
  <c r="A83" i="4"/>
  <c r="A79" i="4"/>
  <c r="E78" i="4"/>
  <c r="F78" i="4" s="1"/>
  <c r="E74" i="4"/>
  <c r="F74" i="4" s="1"/>
  <c r="U59" i="4"/>
  <c r="E57" i="4"/>
  <c r="F57" i="4" s="1"/>
  <c r="U56" i="4"/>
  <c r="A156" i="4"/>
  <c r="A49" i="4"/>
  <c r="U47" i="4"/>
  <c r="U45" i="4"/>
  <c r="U42" i="4"/>
  <c r="A141" i="4"/>
  <c r="E35" i="4"/>
  <c r="F35" i="4" s="1"/>
  <c r="A134" i="4"/>
  <c r="U31" i="4"/>
  <c r="E17" i="4"/>
  <c r="F17" i="4" s="1"/>
  <c r="U107" i="4"/>
  <c r="A102" i="4"/>
  <c r="A205" i="4"/>
  <c r="A101" i="4"/>
  <c r="E95" i="4"/>
  <c r="F95" i="4" s="1"/>
  <c r="A197" i="4"/>
  <c r="A92" i="4"/>
  <c r="U90" i="4"/>
  <c r="E89" i="4"/>
  <c r="F89" i="4" s="1"/>
  <c r="A190" i="4"/>
  <c r="E86" i="4"/>
  <c r="F86" i="4" s="1"/>
  <c r="A84" i="4"/>
  <c r="A82" i="4"/>
  <c r="A56" i="4"/>
  <c r="U50" i="4"/>
  <c r="U49" i="4"/>
  <c r="E47" i="4"/>
  <c r="F47" i="4" s="1"/>
  <c r="A150" i="4"/>
  <c r="A43" i="4"/>
  <c r="U37" i="4"/>
  <c r="A36" i="4"/>
  <c r="E79" i="4"/>
  <c r="F79" i="4" s="1"/>
  <c r="C35" i="1"/>
  <c r="O10" i="4"/>
  <c r="O11" i="4"/>
  <c r="O12" i="4"/>
  <c r="O13" i="4"/>
  <c r="O14" i="4"/>
  <c r="O15" i="4"/>
  <c r="O16" i="4"/>
  <c r="O17" i="4"/>
  <c r="O18" i="4"/>
  <c r="O19" i="4"/>
  <c r="O20" i="4"/>
  <c r="O21" i="4"/>
  <c r="O22" i="4"/>
  <c r="O23" i="4"/>
  <c r="O24" i="4"/>
  <c r="O25" i="4"/>
  <c r="O27" i="4"/>
  <c r="O26"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Q64" i="4"/>
  <c r="R64" i="4"/>
  <c r="Q65" i="4"/>
  <c r="R65" i="4"/>
  <c r="Q66" i="4"/>
  <c r="R66" i="4"/>
  <c r="Q67" i="4"/>
  <c r="R67" i="4"/>
  <c r="Q68" i="4"/>
  <c r="R68" i="4"/>
  <c r="Q69" i="4"/>
  <c r="R69" i="4"/>
  <c r="Q70" i="4"/>
  <c r="R70" i="4"/>
  <c r="Q71" i="4"/>
  <c r="R71" i="4"/>
  <c r="Q72" i="4"/>
  <c r="R72" i="4"/>
  <c r="Q73" i="4"/>
  <c r="R73" i="4"/>
  <c r="Q74" i="4"/>
  <c r="R74" i="4"/>
  <c r="Q75" i="4"/>
  <c r="R75" i="4"/>
  <c r="Q76" i="4"/>
  <c r="R76" i="4"/>
  <c r="R77" i="4"/>
  <c r="Q77" i="4"/>
  <c r="Q78" i="4"/>
  <c r="R78" i="4"/>
  <c r="Q79" i="4"/>
  <c r="R79" i="4"/>
  <c r="Q80" i="4"/>
  <c r="R80" i="4"/>
  <c r="R81" i="4"/>
  <c r="Q81" i="4"/>
  <c r="Q82" i="4"/>
  <c r="R82" i="4"/>
  <c r="Q83" i="4"/>
  <c r="R83" i="4"/>
  <c r="Q84" i="4"/>
  <c r="R84" i="4"/>
  <c r="Q85" i="4"/>
  <c r="R85" i="4"/>
  <c r="Q86" i="4"/>
  <c r="R86" i="4"/>
  <c r="Q87" i="4"/>
  <c r="R87" i="4"/>
  <c r="R88" i="4"/>
  <c r="Q88" i="4"/>
  <c r="Q89" i="4"/>
  <c r="R89" i="4"/>
  <c r="R90" i="4"/>
  <c r="Q90" i="4"/>
  <c r="R91" i="4"/>
  <c r="Q91" i="4"/>
  <c r="Q92" i="4"/>
  <c r="R92" i="4"/>
  <c r="R93" i="4"/>
  <c r="Q93" i="4"/>
  <c r="Q94" i="4"/>
  <c r="R94" i="4"/>
  <c r="Q95" i="4"/>
  <c r="R95" i="4"/>
  <c r="Q96" i="4"/>
  <c r="R96" i="4"/>
  <c r="Q97" i="4"/>
  <c r="R97" i="4"/>
  <c r="Q98" i="4"/>
  <c r="Q99" i="4"/>
  <c r="R98" i="4"/>
  <c r="Q100" i="4"/>
  <c r="R99" i="4"/>
  <c r="Q101" i="4"/>
  <c r="R100" i="4"/>
  <c r="R102" i="4"/>
  <c r="Q102" i="4"/>
  <c r="R101" i="4"/>
  <c r="Q103" i="4"/>
  <c r="R103" i="4"/>
  <c r="R104" i="4"/>
  <c r="Q104" i="4"/>
  <c r="Q105" i="4"/>
  <c r="R105" i="4"/>
  <c r="Q106" i="4"/>
  <c r="R106" i="4"/>
  <c r="Q107" i="4"/>
  <c r="R107" i="4"/>
  <c r="Q108" i="4"/>
  <c r="R108" i="4"/>
  <c r="Q109" i="4"/>
  <c r="R109"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212" i="4"/>
  <c r="G107" i="4" l="1"/>
  <c r="L107" i="4" s="1"/>
  <c r="G167" i="4"/>
  <c r="L167" i="4" s="1"/>
  <c r="G41" i="4"/>
  <c r="L41" i="4" s="1"/>
  <c r="G40" i="4"/>
  <c r="L40" i="4" s="1"/>
  <c r="G93" i="4"/>
  <c r="L93" i="4" s="1"/>
  <c r="G195" i="4"/>
  <c r="L195" i="4" s="1"/>
  <c r="G194" i="4"/>
  <c r="L194" i="4" s="1"/>
  <c r="G84" i="4"/>
  <c r="L84" i="4" s="1"/>
  <c r="G181" i="4"/>
  <c r="L181" i="4" s="1"/>
  <c r="G176" i="4"/>
  <c r="L176" i="4" s="1"/>
  <c r="G69" i="4"/>
  <c r="L69" i="4" s="1"/>
  <c r="G164" i="4"/>
  <c r="L164" i="4" s="1"/>
  <c r="G58" i="4"/>
  <c r="L58" i="4" s="1"/>
  <c r="G53" i="4"/>
  <c r="L53" i="4" s="1"/>
  <c r="G145" i="4"/>
  <c r="L145" i="4" s="1"/>
  <c r="G24" i="4"/>
  <c r="L24" i="4" s="1"/>
  <c r="G159" i="4"/>
  <c r="L159" i="4" s="1"/>
  <c r="G204" i="4"/>
  <c r="L204" i="4" s="1"/>
  <c r="G31" i="4"/>
  <c r="L31" i="4" s="1"/>
  <c r="G152" i="4"/>
  <c r="L152" i="4" s="1"/>
  <c r="G200" i="4"/>
  <c r="L200" i="4" s="1"/>
  <c r="G80" i="4"/>
  <c r="L80" i="4" s="1"/>
  <c r="G149" i="4"/>
  <c r="L149" i="4" s="1"/>
  <c r="G129" i="4"/>
  <c r="L129" i="4" s="1"/>
  <c r="G21" i="4"/>
  <c r="L21" i="4" s="1"/>
  <c r="G106" i="4"/>
  <c r="L106" i="4" s="1"/>
  <c r="G202" i="4"/>
  <c r="L202" i="4" s="1"/>
  <c r="G183" i="4"/>
  <c r="L183" i="4" s="1"/>
  <c r="G169" i="4"/>
  <c r="L169" i="4" s="1"/>
  <c r="G103" i="4"/>
  <c r="L103" i="4" s="1"/>
  <c r="G130" i="4"/>
  <c r="L130" i="4" s="1"/>
  <c r="G23" i="4"/>
  <c r="L23" i="4" s="1"/>
  <c r="G108" i="4"/>
  <c r="L108" i="4" s="1"/>
  <c r="G90" i="4"/>
  <c r="L90" i="4" s="1"/>
  <c r="G63" i="4"/>
  <c r="L63" i="4" s="1"/>
  <c r="G162" i="4"/>
  <c r="L162" i="4" s="1"/>
  <c r="G25" i="4"/>
  <c r="L25" i="4" s="1"/>
  <c r="G126" i="4"/>
  <c r="L126" i="4" s="1"/>
  <c r="G209" i="4"/>
  <c r="L209" i="4" s="1"/>
  <c r="G101" i="4"/>
  <c r="L101" i="4" s="1"/>
  <c r="G182" i="4"/>
  <c r="L182" i="4" s="1"/>
  <c r="G77" i="4"/>
  <c r="L77" i="4" s="1"/>
  <c r="G70" i="4"/>
  <c r="L70" i="4" s="1"/>
  <c r="G50" i="4"/>
  <c r="L50" i="4" s="1"/>
  <c r="G48" i="4"/>
  <c r="L48" i="4" s="1"/>
  <c r="G206" i="4"/>
  <c r="L206" i="4" s="1"/>
  <c r="G100" i="4"/>
  <c r="L100" i="4" s="1"/>
  <c r="G196" i="4"/>
  <c r="L196" i="4" s="1"/>
  <c r="G91" i="4"/>
  <c r="L91" i="4" s="1"/>
  <c r="G189" i="4"/>
  <c r="L189" i="4" s="1"/>
  <c r="G178" i="4"/>
  <c r="L178" i="4" s="1"/>
  <c r="G174" i="4"/>
  <c r="L174" i="4" s="1"/>
  <c r="G71" i="4"/>
  <c r="L71" i="4" s="1"/>
  <c r="G65" i="4"/>
  <c r="L65" i="4" s="1"/>
  <c r="G64" i="4"/>
  <c r="L64" i="4" s="1"/>
  <c r="G154" i="4"/>
  <c r="L154" i="4" s="1"/>
  <c r="G36" i="4"/>
  <c r="L36" i="4" s="1"/>
  <c r="G136" i="4"/>
  <c r="L136" i="4" s="1"/>
  <c r="G208" i="4"/>
  <c r="L208" i="4" s="1"/>
  <c r="G97" i="4"/>
  <c r="L97" i="4" s="1"/>
  <c r="G198" i="4"/>
  <c r="L198" i="4" s="1"/>
  <c r="G57" i="4"/>
  <c r="L57" i="4" s="1"/>
  <c r="G35" i="4"/>
  <c r="L35" i="4" s="1"/>
  <c r="G75" i="4"/>
  <c r="L75" i="4" s="1"/>
  <c r="G44" i="4"/>
  <c r="L44" i="4" s="1"/>
  <c r="G99" i="4"/>
  <c r="L99" i="4" s="1"/>
  <c r="G88" i="4"/>
  <c r="L88" i="4" s="1"/>
  <c r="G82" i="4"/>
  <c r="L82" i="4" s="1"/>
  <c r="G73" i="4"/>
  <c r="L73" i="4" s="1"/>
  <c r="G61" i="4"/>
  <c r="L61" i="4" s="1"/>
  <c r="G161" i="4"/>
  <c r="L161" i="4" s="1"/>
  <c r="G51" i="4"/>
  <c r="L51" i="4" s="1"/>
  <c r="G18" i="4"/>
  <c r="L18" i="4" s="1"/>
  <c r="G138" i="4"/>
  <c r="L138" i="4" s="1"/>
  <c r="G52" i="4"/>
  <c r="L52" i="4" s="1"/>
  <c r="G38" i="4"/>
  <c r="L38" i="4" s="1"/>
  <c r="G37" i="4"/>
  <c r="L37" i="4" s="1"/>
  <c r="G32" i="4"/>
  <c r="L32" i="4" s="1"/>
  <c r="G14" i="4"/>
  <c r="L14" i="4" s="1"/>
  <c r="G34" i="4"/>
  <c r="L34" i="4" s="1"/>
  <c r="G123" i="4"/>
  <c r="L123" i="4" s="1"/>
  <c r="G203" i="4"/>
  <c r="L203" i="4" s="1"/>
  <c r="G135" i="4"/>
  <c r="L135" i="4" s="1"/>
  <c r="G122" i="4"/>
  <c r="L122" i="4" s="1"/>
  <c r="G15" i="4"/>
  <c r="L15" i="4" s="1"/>
  <c r="G184" i="4"/>
  <c r="L184" i="4" s="1"/>
  <c r="G33" i="4"/>
  <c r="L33" i="4" s="1"/>
  <c r="G30" i="4"/>
  <c r="L30" i="4" s="1"/>
  <c r="G201" i="4"/>
  <c r="L201" i="4" s="1"/>
  <c r="G79" i="4"/>
  <c r="L79" i="4" s="1"/>
  <c r="G160" i="4"/>
  <c r="L160" i="4" s="1"/>
  <c r="G199" i="4"/>
  <c r="L199" i="4" s="1"/>
  <c r="G212" i="4"/>
  <c r="L212" i="4" s="1"/>
  <c r="G119" i="4"/>
  <c r="L119" i="4" s="1"/>
  <c r="G104" i="4"/>
  <c r="L104" i="4" s="1"/>
  <c r="G168" i="4"/>
  <c r="L168" i="4" s="1"/>
  <c r="G163" i="4"/>
  <c r="L163" i="4" s="1"/>
  <c r="G39" i="4"/>
  <c r="L39" i="4" s="1"/>
  <c r="G72" i="4"/>
  <c r="L72" i="4" s="1"/>
  <c r="G173" i="4"/>
  <c r="L173" i="4" s="1"/>
  <c r="G170" i="4"/>
  <c r="L170" i="4" s="1"/>
  <c r="G49" i="4"/>
  <c r="L49" i="4" s="1"/>
  <c r="G151" i="4"/>
  <c r="L151" i="4" s="1"/>
  <c r="G43" i="4"/>
  <c r="L43" i="4" s="1"/>
  <c r="G95" i="4"/>
  <c r="L95" i="4" s="1"/>
  <c r="G81" i="4"/>
  <c r="L81" i="4" s="1"/>
  <c r="G148" i="4"/>
  <c r="L148" i="4" s="1"/>
  <c r="G16" i="4"/>
  <c r="L16" i="4" s="1"/>
  <c r="G102" i="4"/>
  <c r="L102" i="4" s="1"/>
  <c r="G96" i="4"/>
  <c r="L96" i="4" s="1"/>
  <c r="G144" i="4"/>
  <c r="L144" i="4" s="1"/>
  <c r="G133" i="4"/>
  <c r="L133" i="4" s="1"/>
  <c r="G74" i="4"/>
  <c r="L74" i="4" s="1"/>
  <c r="G211" i="4"/>
  <c r="L211" i="4" s="1"/>
  <c r="G109" i="4"/>
  <c r="L109" i="4" s="1"/>
  <c r="I9" i="4"/>
  <c r="J9" i="4"/>
  <c r="B9" i="4"/>
  <c r="G213" i="4"/>
  <c r="G23" i="5"/>
  <c r="G113" i="4"/>
  <c r="L113" i="4" s="1"/>
  <c r="G13" i="4"/>
  <c r="L13" i="4" s="1"/>
  <c r="G19" i="4"/>
  <c r="L19" i="4" s="1"/>
  <c r="G20" i="4"/>
  <c r="L20" i="4" s="1"/>
  <c r="G125" i="4"/>
  <c r="L125" i="4" s="1"/>
  <c r="G131" i="4"/>
  <c r="L131" i="4" s="1"/>
  <c r="G139" i="4"/>
  <c r="L139" i="4" s="1"/>
  <c r="G142" i="4"/>
  <c r="L142" i="4" s="1"/>
  <c r="G147" i="4"/>
  <c r="L147" i="4" s="1"/>
  <c r="G153" i="4"/>
  <c r="L153" i="4" s="1"/>
  <c r="G155" i="4"/>
  <c r="L155" i="4" s="1"/>
  <c r="G54" i="4"/>
  <c r="L54" i="4" s="1"/>
  <c r="G59" i="4"/>
  <c r="L59" i="4" s="1"/>
  <c r="G166" i="4"/>
  <c r="L166" i="4" s="1"/>
  <c r="G67" i="4"/>
  <c r="L67" i="4" s="1"/>
  <c r="G179" i="4"/>
  <c r="L179" i="4" s="1"/>
  <c r="G78" i="4"/>
  <c r="L78" i="4" s="1"/>
  <c r="G188" i="4"/>
  <c r="L188" i="4" s="1"/>
  <c r="G86" i="4"/>
  <c r="L86" i="4" s="1"/>
  <c r="G89" i="4"/>
  <c r="L89" i="4" s="1"/>
  <c r="G192" i="4"/>
  <c r="L192" i="4" s="1"/>
  <c r="G207" i="4"/>
  <c r="L207" i="4" s="1"/>
  <c r="G210" i="4"/>
  <c r="L210" i="4" s="1"/>
  <c r="G22" i="5"/>
  <c r="E22" i="5" s="1"/>
  <c r="I22" i="5" s="1"/>
  <c r="G11" i="4"/>
  <c r="L11" i="4" s="1"/>
  <c r="K42" i="5"/>
  <c r="G10" i="4"/>
  <c r="L10" i="4" s="1"/>
  <c r="G9" i="4"/>
  <c r="G114" i="4"/>
  <c r="L114" i="4" s="1"/>
  <c r="G115" i="4"/>
  <c r="L115" i="4" s="1"/>
  <c r="G111" i="4"/>
  <c r="L111" i="4" s="1"/>
  <c r="G116" i="4"/>
  <c r="L116" i="4" s="1"/>
  <c r="G118" i="4"/>
  <c r="L118" i="4" s="1"/>
  <c r="G17" i="4"/>
  <c r="L17" i="4" s="1"/>
  <c r="G27" i="4"/>
  <c r="L27" i="4" s="1"/>
  <c r="G132" i="4"/>
  <c r="L132" i="4" s="1"/>
  <c r="G140" i="4"/>
  <c r="L140" i="4" s="1"/>
  <c r="G146" i="4"/>
  <c r="L146" i="4" s="1"/>
  <c r="G45" i="4"/>
  <c r="L45" i="4" s="1"/>
  <c r="G47" i="4"/>
  <c r="L47" i="4" s="1"/>
  <c r="G157" i="4"/>
  <c r="L157" i="4" s="1"/>
  <c r="G56" i="4"/>
  <c r="L56" i="4" s="1"/>
  <c r="G60" i="4"/>
  <c r="L60" i="4" s="1"/>
  <c r="G165" i="4"/>
  <c r="L165" i="4" s="1"/>
  <c r="G66" i="4"/>
  <c r="L66" i="4" s="1"/>
  <c r="G175" i="4"/>
  <c r="L175" i="4" s="1"/>
  <c r="G76" i="4"/>
  <c r="L76" i="4" s="1"/>
  <c r="G185" i="4"/>
  <c r="L185" i="4" s="1"/>
  <c r="G85" i="4"/>
  <c r="L85" i="4" s="1"/>
  <c r="G87" i="4"/>
  <c r="L87" i="4" s="1"/>
  <c r="G205" i="4"/>
  <c r="L205" i="4" s="1"/>
  <c r="G197" i="4"/>
  <c r="L197" i="4" s="1"/>
  <c r="G94" i="4"/>
  <c r="L94" i="4" s="1"/>
  <c r="G193" i="4"/>
  <c r="L193" i="4" s="1"/>
  <c r="G190" i="4"/>
  <c r="L190" i="4" s="1"/>
  <c r="G187" i="4"/>
  <c r="L187" i="4" s="1"/>
  <c r="G180" i="4"/>
  <c r="L180" i="4" s="1"/>
  <c r="G172" i="4"/>
  <c r="L172" i="4" s="1"/>
  <c r="G68" i="4"/>
  <c r="L68" i="4" s="1"/>
  <c r="G171" i="4"/>
  <c r="L171" i="4" s="1"/>
  <c r="G156" i="4"/>
  <c r="L156" i="4" s="1"/>
  <c r="G150" i="4"/>
  <c r="L150" i="4" s="1"/>
  <c r="G46" i="4"/>
  <c r="L46" i="4" s="1"/>
  <c r="G42" i="4"/>
  <c r="L42" i="4" s="1"/>
  <c r="G143" i="4"/>
  <c r="L143" i="4" s="1"/>
  <c r="G141" i="4"/>
  <c r="L141" i="4" s="1"/>
  <c r="G137" i="4"/>
  <c r="L137" i="4" s="1"/>
  <c r="G134" i="4"/>
  <c r="L134" i="4" s="1"/>
  <c r="E25" i="4"/>
  <c r="F25" i="4" s="1"/>
  <c r="G26" i="4"/>
  <c r="L26" i="4" s="1"/>
  <c r="G120" i="4"/>
  <c r="L120" i="4" s="1"/>
  <c r="A14" i="4"/>
  <c r="G98" i="4"/>
  <c r="L98" i="4" s="1"/>
  <c r="G92" i="4"/>
  <c r="L92" i="4" s="1"/>
  <c r="G191" i="4"/>
  <c r="L191" i="4" s="1"/>
  <c r="G83" i="4"/>
  <c r="L83" i="4" s="1"/>
  <c r="G186" i="4"/>
  <c r="L186" i="4" s="1"/>
  <c r="G177" i="4"/>
  <c r="L177" i="4" s="1"/>
  <c r="A172" i="4"/>
  <c r="G62" i="4"/>
  <c r="L62" i="4" s="1"/>
  <c r="G55" i="4"/>
  <c r="L55" i="4" s="1"/>
  <c r="G158" i="4"/>
  <c r="L158" i="4" s="1"/>
  <c r="E53" i="4"/>
  <c r="F53" i="4" s="1"/>
  <c r="G29" i="4"/>
  <c r="L29" i="4" s="1"/>
  <c r="G28" i="4"/>
  <c r="L28" i="4" s="1"/>
  <c r="G128" i="4"/>
  <c r="L128" i="4" s="1"/>
  <c r="G127" i="4"/>
  <c r="L127" i="4" s="1"/>
  <c r="G22" i="4"/>
  <c r="L22" i="4" s="1"/>
  <c r="G124" i="4"/>
  <c r="L124" i="4" s="1"/>
  <c r="G121" i="4"/>
  <c r="L121" i="4" s="1"/>
  <c r="G117" i="4"/>
  <c r="L117" i="4" s="1"/>
  <c r="G12" i="4"/>
  <c r="L12" i="4" s="1"/>
  <c r="U105" i="4"/>
  <c r="G105" i="4"/>
  <c r="L105" i="4" s="1"/>
  <c r="E94" i="4"/>
  <c r="F94" i="4" s="1"/>
  <c r="A93" i="4"/>
  <c r="U88" i="4"/>
  <c r="E77" i="4"/>
  <c r="F77" i="4" s="1"/>
  <c r="A38" i="4"/>
  <c r="E33" i="4"/>
  <c r="F33" i="4" s="1"/>
  <c r="A28" i="4"/>
  <c r="E15" i="4"/>
  <c r="F15" i="4" s="1"/>
  <c r="G44" i="5"/>
  <c r="G45" i="5"/>
  <c r="G46" i="5" s="1"/>
  <c r="K9" i="4" l="1"/>
  <c r="M9" i="4" s="1"/>
  <c r="N9" i="4" s="1"/>
  <c r="L9" i="4"/>
  <c r="E23" i="5"/>
  <c r="I31" i="1"/>
  <c r="I23" i="5"/>
  <c r="E31" i="1"/>
  <c r="G31" i="1"/>
  <c r="K46" i="5"/>
  <c r="L46" i="5" s="1"/>
  <c r="S9" i="4" l="1"/>
  <c r="Q9" i="4"/>
  <c r="G42" i="5"/>
  <c r="L42" i="5" s="1"/>
  <c r="T9" i="4"/>
  <c r="R9" i="4"/>
  <c r="P9" i="4"/>
  <c r="H10" i="4" s="1"/>
  <c r="K10" i="4" l="1"/>
  <c r="J10" i="4"/>
  <c r="I10" i="4"/>
  <c r="B10" i="4"/>
  <c r="Q10" i="4" l="1"/>
  <c r="S10" i="4"/>
  <c r="M10" i="4"/>
  <c r="N10" i="4" s="1"/>
  <c r="T10" i="4" s="1"/>
  <c r="P10" i="4" l="1"/>
  <c r="H11" i="4" s="1"/>
  <c r="R10" i="4"/>
  <c r="I11" i="4" l="1"/>
  <c r="B11" i="4"/>
  <c r="K11" i="4"/>
  <c r="J11" i="4"/>
  <c r="Q11" i="4" l="1"/>
  <c r="S11" i="4"/>
  <c r="M11" i="4"/>
  <c r="N11" i="4" s="1"/>
  <c r="T11" i="4" s="1"/>
  <c r="P11" i="4" l="1"/>
  <c r="H12" i="4" s="1"/>
  <c r="R11" i="4"/>
  <c r="B12" i="4" l="1"/>
  <c r="I12" i="4"/>
  <c r="K12" i="4"/>
  <c r="J12" i="4"/>
  <c r="S12" i="4" l="1"/>
  <c r="Q12" i="4"/>
  <c r="M12" i="4"/>
  <c r="N12" i="4" s="1"/>
  <c r="T12" i="4" s="1"/>
  <c r="P12" i="4" l="1"/>
  <c r="H13" i="4" s="1"/>
  <c r="R12" i="4"/>
  <c r="K13" i="4" l="1"/>
  <c r="J13" i="4"/>
  <c r="B13" i="4"/>
  <c r="I13" i="4"/>
  <c r="Q13" i="4" l="1"/>
  <c r="S13" i="4"/>
  <c r="M13" i="4"/>
  <c r="N13" i="4" s="1"/>
  <c r="T13" i="4" s="1"/>
  <c r="R13" i="4" l="1"/>
  <c r="P13" i="4"/>
  <c r="H14" i="4" s="1"/>
  <c r="I14" i="4" l="1"/>
  <c r="J14" i="4"/>
  <c r="B14" i="4"/>
  <c r="K14" i="4"/>
  <c r="Q14" i="4" l="1"/>
  <c r="S14" i="4"/>
  <c r="M14" i="4"/>
  <c r="N14" i="4" s="1"/>
  <c r="T14" i="4" s="1"/>
  <c r="P14" i="4" l="1"/>
  <c r="H15" i="4" s="1"/>
  <c r="R14" i="4"/>
  <c r="I15" i="4" l="1"/>
  <c r="K15" i="4"/>
  <c r="J15" i="4"/>
  <c r="B15" i="4"/>
  <c r="S15" i="4" l="1"/>
  <c r="Q15" i="4"/>
  <c r="M15" i="4"/>
  <c r="N15" i="4" s="1"/>
  <c r="T15" i="4" s="1"/>
  <c r="R15" i="4" l="1"/>
  <c r="P15" i="4"/>
  <c r="H16" i="4" s="1"/>
  <c r="J16" i="4" l="1"/>
  <c r="K16" i="4"/>
  <c r="B16" i="4"/>
  <c r="I16" i="4"/>
  <c r="S16" i="4" l="1"/>
  <c r="Q16" i="4"/>
  <c r="M16" i="4"/>
  <c r="N16" i="4" s="1"/>
  <c r="T16" i="4" s="1"/>
  <c r="P16" i="4" l="1"/>
  <c r="H17" i="4" s="1"/>
  <c r="R16" i="4"/>
  <c r="I17" i="4" l="1"/>
  <c r="K17" i="4"/>
  <c r="J17" i="4"/>
  <c r="B17" i="4"/>
  <c r="Q17" i="4" l="1"/>
  <c r="S17" i="4"/>
  <c r="M17" i="4"/>
  <c r="N17" i="4" s="1"/>
  <c r="T17" i="4" s="1"/>
  <c r="R17" i="4" l="1"/>
  <c r="P17" i="4"/>
  <c r="H18" i="4" s="1"/>
  <c r="J18" i="4" l="1"/>
  <c r="I18" i="4"/>
  <c r="B18" i="4"/>
  <c r="K18" i="4"/>
  <c r="Q18" i="4" l="1"/>
  <c r="S18" i="4"/>
  <c r="M18" i="4"/>
  <c r="N18" i="4" s="1"/>
  <c r="T18" i="4" l="1"/>
  <c r="P18" i="4"/>
  <c r="H19" i="4" s="1"/>
  <c r="R18" i="4"/>
  <c r="I19" i="4" l="1"/>
  <c r="B19" i="4"/>
  <c r="K19" i="4"/>
  <c r="J19" i="4"/>
  <c r="S19" i="4" l="1"/>
  <c r="Q19" i="4"/>
  <c r="M19" i="4"/>
  <c r="N19" i="4" s="1"/>
  <c r="T19" i="4" s="1"/>
  <c r="R19" i="4" l="1"/>
  <c r="P19" i="4"/>
  <c r="H20" i="4" s="1"/>
  <c r="J20" i="4" l="1"/>
  <c r="I20" i="4"/>
  <c r="B20" i="4"/>
  <c r="K20" i="4"/>
  <c r="S20" i="4" l="1"/>
  <c r="Q20" i="4"/>
  <c r="M20" i="4"/>
  <c r="N20" i="4" s="1"/>
  <c r="T20" i="4" s="1"/>
  <c r="R20" i="4" l="1"/>
  <c r="P20" i="4"/>
  <c r="H21" i="4" s="1"/>
  <c r="K21" i="4" l="1"/>
  <c r="I21" i="4"/>
  <c r="B21" i="4"/>
  <c r="J21" i="4"/>
  <c r="S21" i="4" l="1"/>
  <c r="Q21" i="4"/>
  <c r="M21" i="4"/>
  <c r="N21" i="4" s="1"/>
  <c r="T21" i="4" s="1"/>
  <c r="R21" i="4" l="1"/>
  <c r="P21" i="4"/>
  <c r="H22" i="4" s="1"/>
  <c r="J22" i="4" l="1"/>
  <c r="B22" i="4"/>
  <c r="I22" i="4"/>
  <c r="K22" i="4"/>
  <c r="Q22" i="4" l="1"/>
  <c r="S22" i="4"/>
  <c r="M22" i="4"/>
  <c r="N22" i="4" s="1"/>
  <c r="T22" i="4" l="1"/>
  <c r="R22" i="4"/>
  <c r="P22" i="4"/>
  <c r="H23" i="4" s="1"/>
  <c r="K23" i="4" l="1"/>
  <c r="I23" i="4"/>
  <c r="B23" i="4"/>
  <c r="J23" i="4"/>
  <c r="Q23" i="4" l="1"/>
  <c r="S23" i="4"/>
  <c r="M23" i="4"/>
  <c r="N23" i="4" s="1"/>
  <c r="T23" i="4" s="1"/>
  <c r="R23" i="4" l="1"/>
  <c r="P23" i="4"/>
  <c r="H24" i="4" s="1"/>
  <c r="J24" i="4" l="1"/>
  <c r="B24" i="4"/>
  <c r="K24" i="4"/>
  <c r="I24" i="4"/>
  <c r="S24" i="4" l="1"/>
  <c r="Q24" i="4"/>
  <c r="M24" i="4"/>
  <c r="N24" i="4" s="1"/>
  <c r="T24" i="4" s="1"/>
  <c r="R24" i="4" l="1"/>
  <c r="P24" i="4"/>
  <c r="H25" i="4" s="1"/>
  <c r="I25" i="4" l="1"/>
  <c r="B25" i="4"/>
  <c r="K25" i="4"/>
  <c r="J25" i="4"/>
  <c r="S25" i="4" l="1"/>
  <c r="Q25" i="4"/>
  <c r="M25" i="4"/>
  <c r="N25" i="4" s="1"/>
  <c r="T25" i="4" s="1"/>
  <c r="P25" i="4" l="1"/>
  <c r="H26" i="4" s="1"/>
  <c r="R25" i="4"/>
  <c r="B26" i="4" l="1"/>
  <c r="I26" i="4"/>
  <c r="J26" i="4"/>
  <c r="K26" i="4"/>
  <c r="S26" i="4" l="1"/>
  <c r="Q26" i="4"/>
  <c r="M26" i="4"/>
  <c r="N26" i="4" s="1"/>
  <c r="T26" i="4" s="1"/>
  <c r="R26" i="4" l="1"/>
  <c r="P26" i="4"/>
  <c r="H27" i="4" s="1"/>
  <c r="J27" i="4" l="1"/>
  <c r="I27" i="4"/>
  <c r="B27" i="4"/>
  <c r="K27" i="4"/>
  <c r="Q27" i="4" l="1"/>
  <c r="S27" i="4"/>
  <c r="M27" i="4"/>
  <c r="N27" i="4" s="1"/>
  <c r="T27" i="4" l="1"/>
  <c r="R27" i="4"/>
  <c r="P27" i="4"/>
  <c r="H28" i="4" s="1"/>
  <c r="K28" i="4" l="1"/>
  <c r="J28" i="4"/>
  <c r="I28" i="4"/>
  <c r="B28" i="4"/>
  <c r="S28" i="4" l="1"/>
  <c r="Q28" i="4"/>
  <c r="M28" i="4"/>
  <c r="N28" i="4" s="1"/>
  <c r="T28" i="4" s="1"/>
  <c r="R28" i="4" l="1"/>
  <c r="P28" i="4"/>
  <c r="H29" i="4" s="1"/>
  <c r="J29" i="4" l="1"/>
  <c r="B29" i="4"/>
  <c r="I29" i="4"/>
  <c r="K29" i="4"/>
  <c r="S29" i="4" l="1"/>
  <c r="Q29" i="4"/>
  <c r="M29" i="4"/>
  <c r="N29" i="4" s="1"/>
  <c r="T29" i="4" s="1"/>
  <c r="P29" i="4" l="1"/>
  <c r="H30" i="4" s="1"/>
  <c r="R29" i="4"/>
  <c r="I30" i="4" l="1"/>
  <c r="J30" i="4"/>
  <c r="K30" i="4"/>
  <c r="B30" i="4"/>
  <c r="S30" i="4" l="1"/>
  <c r="Q30" i="4"/>
  <c r="M30" i="4"/>
  <c r="N30" i="4" s="1"/>
  <c r="T30" i="4" s="1"/>
  <c r="R30" i="4" l="1"/>
  <c r="P30" i="4"/>
  <c r="H31" i="4" s="1"/>
  <c r="B31" i="4" l="1"/>
  <c r="I31" i="4"/>
  <c r="J31" i="4"/>
  <c r="K31" i="4"/>
  <c r="S31" i="4" l="1"/>
  <c r="Q31" i="4"/>
  <c r="M31" i="4"/>
  <c r="N31" i="4" s="1"/>
  <c r="T31" i="4" s="1"/>
  <c r="R31" i="4" l="1"/>
  <c r="P31" i="4"/>
  <c r="H32" i="4" s="1"/>
  <c r="I32" i="4" l="1"/>
  <c r="B32" i="4"/>
  <c r="K32" i="4"/>
  <c r="J32" i="4"/>
  <c r="Q32" i="4" l="1"/>
  <c r="S32" i="4"/>
  <c r="M32" i="4"/>
  <c r="N32" i="4" s="1"/>
  <c r="T32" i="4" s="1"/>
  <c r="R32" i="4" l="1"/>
  <c r="P32" i="4"/>
  <c r="H33" i="4" s="1"/>
  <c r="I33" i="4" l="1"/>
  <c r="K33" i="4"/>
  <c r="B33" i="4"/>
  <c r="J33" i="4"/>
  <c r="S33" i="4" l="1"/>
  <c r="Q33" i="4"/>
  <c r="M33" i="4"/>
  <c r="N33" i="4" s="1"/>
  <c r="T33" i="4" s="1"/>
  <c r="R33" i="4" l="1"/>
  <c r="P33" i="4"/>
  <c r="H34" i="4" s="1"/>
  <c r="I34" i="4" l="1"/>
  <c r="K34" i="4"/>
  <c r="J34" i="4"/>
  <c r="B34" i="4"/>
  <c r="S34" i="4" l="1"/>
  <c r="Q34" i="4"/>
  <c r="M34" i="4"/>
  <c r="N34" i="4" s="1"/>
  <c r="T34" i="4" s="1"/>
  <c r="R34" i="4" l="1"/>
  <c r="P34" i="4"/>
  <c r="H35" i="4" s="1"/>
  <c r="I35" i="4" l="1"/>
  <c r="K35" i="4"/>
  <c r="J35" i="4"/>
  <c r="B35" i="4"/>
  <c r="S35" i="4" l="1"/>
  <c r="Q35" i="4"/>
  <c r="M35" i="4"/>
  <c r="N35" i="4" s="1"/>
  <c r="T35" i="4" s="1"/>
  <c r="R35" i="4" l="1"/>
  <c r="P35" i="4"/>
  <c r="H36" i="4" s="1"/>
  <c r="I36" i="4" l="1"/>
  <c r="K36" i="4"/>
  <c r="B36" i="4"/>
  <c r="J36" i="4"/>
  <c r="Q36" i="4" l="1"/>
  <c r="S36" i="4"/>
  <c r="M36" i="4"/>
  <c r="N36" i="4" s="1"/>
  <c r="T36" i="4" s="1"/>
  <c r="P36" i="4" l="1"/>
  <c r="H37" i="4" s="1"/>
  <c r="R36" i="4"/>
  <c r="I37" i="4" l="1"/>
  <c r="K37" i="4"/>
  <c r="B37" i="4"/>
  <c r="J37" i="4"/>
  <c r="S37" i="4" l="1"/>
  <c r="Q37" i="4"/>
  <c r="M37" i="4"/>
  <c r="N37" i="4" s="1"/>
  <c r="T37" i="4" s="1"/>
  <c r="R37" i="4" l="1"/>
  <c r="P37" i="4"/>
  <c r="H38" i="4" s="1"/>
  <c r="B38" i="4" l="1"/>
  <c r="J38" i="4"/>
  <c r="I38" i="4"/>
  <c r="K38" i="4"/>
  <c r="S38" i="4" l="1"/>
  <c r="Q38" i="4"/>
  <c r="M38" i="4"/>
  <c r="N38" i="4" s="1"/>
  <c r="T38" i="4" s="1"/>
  <c r="R38" i="4" l="1"/>
  <c r="P38" i="4"/>
  <c r="H39" i="4" s="1"/>
  <c r="I39" i="4" l="1"/>
  <c r="K39" i="4"/>
  <c r="B39" i="4"/>
  <c r="J39" i="4"/>
  <c r="Q39" i="4" l="1"/>
  <c r="S39" i="4"/>
  <c r="M39" i="4"/>
  <c r="N39" i="4" s="1"/>
  <c r="T39" i="4" s="1"/>
  <c r="R39" i="4" l="1"/>
  <c r="P39" i="4"/>
  <c r="H40" i="4" s="1"/>
  <c r="J40" i="4" l="1"/>
  <c r="B40" i="4"/>
  <c r="I40" i="4"/>
  <c r="K40" i="4"/>
  <c r="S40" i="4" l="1"/>
  <c r="Q40" i="4"/>
  <c r="M40" i="4"/>
  <c r="N40" i="4" s="1"/>
  <c r="T40" i="4" s="1"/>
  <c r="R40" i="4" l="1"/>
  <c r="P40" i="4"/>
  <c r="H41" i="4" s="1"/>
  <c r="I41" i="4" l="1"/>
  <c r="B41" i="4"/>
  <c r="K41" i="4"/>
  <c r="J41" i="4"/>
  <c r="S41" i="4" l="1"/>
  <c r="Q41" i="4"/>
  <c r="M41" i="4"/>
  <c r="N41" i="4" s="1"/>
  <c r="T41" i="4" s="1"/>
  <c r="R41" i="4" l="1"/>
  <c r="P41" i="4"/>
  <c r="H42" i="4" s="1"/>
  <c r="J42" i="4" l="1"/>
  <c r="K42" i="4"/>
  <c r="I42" i="4"/>
  <c r="B42" i="4"/>
  <c r="S42" i="4" l="1"/>
  <c r="Q42" i="4"/>
  <c r="M42" i="4"/>
  <c r="N42" i="4" s="1"/>
  <c r="T42" i="4" s="1"/>
  <c r="R42" i="4" l="1"/>
  <c r="P42" i="4"/>
  <c r="H43" i="4" s="1"/>
  <c r="I43" i="4" l="1"/>
  <c r="B43" i="4"/>
  <c r="K43" i="4"/>
  <c r="J43" i="4"/>
  <c r="S43" i="4" l="1"/>
  <c r="Q43" i="4"/>
  <c r="M43" i="4"/>
  <c r="N43" i="4" s="1"/>
  <c r="T43" i="4" s="1"/>
  <c r="R43" i="4" l="1"/>
  <c r="P43" i="4"/>
  <c r="H44" i="4" s="1"/>
  <c r="K44" i="4" l="1"/>
  <c r="I44" i="4"/>
  <c r="B44" i="4"/>
  <c r="J44" i="4"/>
  <c r="S44" i="4" l="1"/>
  <c r="Q44" i="4"/>
  <c r="M44" i="4"/>
  <c r="N44" i="4" s="1"/>
  <c r="T44" i="4" s="1"/>
  <c r="R44" i="4" l="1"/>
  <c r="P44" i="4"/>
  <c r="H45" i="4" s="1"/>
  <c r="K45" i="4" l="1"/>
  <c r="B45" i="4"/>
  <c r="J45" i="4"/>
  <c r="I45" i="4"/>
  <c r="Q45" i="4" l="1"/>
  <c r="S45" i="4"/>
  <c r="M45" i="4"/>
  <c r="N45" i="4" s="1"/>
  <c r="T45" i="4" s="1"/>
  <c r="R45" i="4" l="1"/>
  <c r="P45" i="4"/>
  <c r="H46" i="4" s="1"/>
  <c r="I46" i="4" l="1"/>
  <c r="J46" i="4"/>
  <c r="K46" i="4"/>
  <c r="B46" i="4"/>
  <c r="S46" i="4" l="1"/>
  <c r="Q46" i="4"/>
  <c r="M46" i="4"/>
  <c r="N46" i="4" s="1"/>
  <c r="T46" i="4" s="1"/>
  <c r="R46" i="4" l="1"/>
  <c r="P46" i="4"/>
  <c r="H47" i="4" s="1"/>
  <c r="K47" i="4" l="1"/>
  <c r="B47" i="4"/>
  <c r="I47" i="4"/>
  <c r="J47" i="4"/>
  <c r="Q47" i="4" l="1"/>
  <c r="S47" i="4"/>
  <c r="M47" i="4"/>
  <c r="N47" i="4" s="1"/>
  <c r="T47" i="4" s="1"/>
  <c r="R47" i="4" l="1"/>
  <c r="P47" i="4"/>
  <c r="H48" i="4" s="1"/>
  <c r="B48" i="4" l="1"/>
  <c r="J48" i="4"/>
  <c r="K48" i="4"/>
  <c r="I48" i="4"/>
  <c r="S48" i="4" l="1"/>
  <c r="Q48" i="4"/>
  <c r="M48" i="4"/>
  <c r="N48" i="4" s="1"/>
  <c r="T48" i="4" s="1"/>
  <c r="R48" i="4" l="1"/>
  <c r="P48" i="4"/>
  <c r="H49" i="4" s="1"/>
  <c r="I49" i="4" l="1"/>
  <c r="K49" i="4"/>
  <c r="J49" i="4"/>
  <c r="B49" i="4"/>
  <c r="Q49" i="4" l="1"/>
  <c r="S49" i="4"/>
  <c r="M49" i="4"/>
  <c r="N49" i="4" s="1"/>
  <c r="T49" i="4" s="1"/>
  <c r="R49" i="4" l="1"/>
  <c r="P49" i="4"/>
  <c r="H50" i="4" s="1"/>
  <c r="B50" i="4" l="1"/>
  <c r="J50" i="4"/>
  <c r="I50" i="4"/>
  <c r="K50" i="4"/>
  <c r="S50" i="4" l="1"/>
  <c r="Q50" i="4"/>
  <c r="M50" i="4"/>
  <c r="N50" i="4" s="1"/>
  <c r="T50" i="4" s="1"/>
  <c r="R50" i="4" l="1"/>
  <c r="P50" i="4"/>
  <c r="H51" i="4" s="1"/>
  <c r="B51" i="4" l="1"/>
  <c r="J51" i="4"/>
  <c r="K51" i="4"/>
  <c r="I51" i="4"/>
  <c r="Q51" i="4" l="1"/>
  <c r="S51" i="4"/>
  <c r="M51" i="4"/>
  <c r="N51" i="4" s="1"/>
  <c r="T51" i="4" s="1"/>
  <c r="R51" i="4" l="1"/>
  <c r="P51" i="4"/>
  <c r="H52" i="4" s="1"/>
  <c r="I52" i="4" l="1"/>
  <c r="K52" i="4"/>
  <c r="J52" i="4"/>
  <c r="B52" i="4"/>
  <c r="Q52" i="4" l="1"/>
  <c r="S52" i="4"/>
  <c r="M52" i="4"/>
  <c r="N52" i="4" s="1"/>
  <c r="T52" i="4" s="1"/>
  <c r="R52" i="4" l="1"/>
  <c r="P52" i="4"/>
  <c r="H53" i="4" s="1"/>
  <c r="B53" i="4" l="1"/>
  <c r="K53" i="4"/>
  <c r="I53" i="4"/>
  <c r="J53" i="4"/>
  <c r="Q53" i="4" l="1"/>
  <c r="S53" i="4"/>
  <c r="M53" i="4"/>
  <c r="N53" i="4" s="1"/>
  <c r="T53" i="4" s="1"/>
  <c r="R53" i="4" l="1"/>
  <c r="P53" i="4"/>
  <c r="H54" i="4" s="1"/>
  <c r="J54" i="4" l="1"/>
  <c r="I54" i="4"/>
  <c r="K54" i="4"/>
  <c r="B54" i="4"/>
  <c r="S54" i="4" l="1"/>
  <c r="Q54" i="4"/>
  <c r="R54" i="4"/>
  <c r="M54" i="4"/>
  <c r="N54" i="4" s="1"/>
  <c r="T54" i="4" l="1"/>
  <c r="P54" i="4"/>
  <c r="H55" i="4" s="1"/>
  <c r="I55" i="4" l="1"/>
  <c r="B55" i="4"/>
  <c r="K55" i="4"/>
  <c r="J55" i="4"/>
  <c r="Q55" i="4" l="1"/>
  <c r="S55" i="4"/>
  <c r="M55" i="4"/>
  <c r="N55" i="4" s="1"/>
  <c r="T55" i="4" s="1"/>
  <c r="R55" i="4" l="1"/>
  <c r="P55" i="4"/>
  <c r="H56" i="4" s="1"/>
  <c r="I56" i="4" l="1"/>
  <c r="K56" i="4"/>
  <c r="B56" i="4"/>
  <c r="J56" i="4"/>
  <c r="Q56" i="4" l="1"/>
  <c r="S56" i="4"/>
  <c r="M56" i="4"/>
  <c r="N56" i="4" s="1"/>
  <c r="T56" i="4" s="1"/>
  <c r="P56" i="4" l="1"/>
  <c r="H57" i="4" s="1"/>
  <c r="R56" i="4"/>
  <c r="K57" i="4" l="1"/>
  <c r="J57" i="4"/>
  <c r="B57" i="4"/>
  <c r="I57" i="4"/>
  <c r="Q57" i="4" l="1"/>
  <c r="S57" i="4"/>
  <c r="M57" i="4"/>
  <c r="N57" i="4" s="1"/>
  <c r="T57" i="4" s="1"/>
  <c r="P57" i="4" l="1"/>
  <c r="H58" i="4" s="1"/>
  <c r="R57" i="4"/>
  <c r="J58" i="4" l="1"/>
  <c r="I58" i="4"/>
  <c r="K58" i="4"/>
  <c r="B58" i="4"/>
  <c r="Q58" i="4" l="1"/>
  <c r="S58" i="4"/>
  <c r="M58" i="4"/>
  <c r="N58" i="4" s="1"/>
  <c r="R58" i="4" s="1"/>
  <c r="T58" i="4" l="1"/>
  <c r="O58" i="4"/>
  <c r="P58" i="4"/>
  <c r="H59" i="4" s="1"/>
  <c r="B59" i="4" l="1"/>
  <c r="K59" i="4"/>
  <c r="J59" i="4"/>
  <c r="I59" i="4"/>
  <c r="Q59" i="4" l="1"/>
  <c r="S59" i="4"/>
  <c r="M59" i="4"/>
  <c r="N59" i="4" s="1"/>
  <c r="R59" i="4" s="1"/>
  <c r="O59" i="4" l="1"/>
  <c r="T59" i="4"/>
  <c r="P59" i="4"/>
  <c r="H60" i="4" s="1"/>
  <c r="B60" i="4" l="1"/>
  <c r="J60" i="4"/>
  <c r="I60" i="4"/>
  <c r="K60" i="4"/>
  <c r="Q60" i="4" l="1"/>
  <c r="S60" i="4"/>
  <c r="M60" i="4"/>
  <c r="N60" i="4" s="1"/>
  <c r="R60" i="4" s="1"/>
  <c r="T60" i="4" l="1"/>
  <c r="O60" i="4"/>
  <c r="P60" i="4"/>
  <c r="H61" i="4" s="1"/>
  <c r="J61" i="4" l="1"/>
  <c r="K61" i="4"/>
  <c r="B61" i="4"/>
  <c r="I61" i="4"/>
  <c r="Q61" i="4" l="1"/>
  <c r="S61" i="4"/>
  <c r="M61" i="4"/>
  <c r="N61" i="4" s="1"/>
  <c r="R61" i="4" s="1"/>
  <c r="O61" i="4" l="1"/>
  <c r="T61" i="4"/>
  <c r="P61" i="4"/>
  <c r="H62" i="4" s="1"/>
  <c r="K62" i="4" l="1"/>
  <c r="B62" i="4"/>
  <c r="I62" i="4"/>
  <c r="J62" i="4"/>
  <c r="Q62" i="4" l="1"/>
  <c r="S62" i="4"/>
  <c r="M62" i="4"/>
  <c r="N62" i="4" s="1"/>
  <c r="R62" i="4" s="1"/>
  <c r="T62" i="4" l="1"/>
  <c r="O62" i="4"/>
  <c r="P62" i="4"/>
  <c r="H63" i="4" s="1"/>
  <c r="K63" i="4" l="1"/>
  <c r="I63" i="4"/>
  <c r="J63" i="4"/>
  <c r="B63" i="4"/>
  <c r="Q63" i="4" l="1"/>
  <c r="S63" i="4"/>
  <c r="M63" i="4"/>
  <c r="N63" i="4" s="1"/>
  <c r="R63" i="4" s="1"/>
  <c r="E32" i="1" l="1"/>
  <c r="G32" i="1"/>
  <c r="H32" i="1" s="1"/>
  <c r="O63" i="4"/>
  <c r="T63" i="4"/>
  <c r="P63" i="4"/>
  <c r="H64" i="4" s="1"/>
  <c r="B64" i="4" l="1"/>
  <c r="I64" i="4"/>
  <c r="K64" i="4"/>
  <c r="J64" i="4"/>
  <c r="S64" i="4" l="1"/>
  <c r="M64" i="4"/>
  <c r="N64" i="4" s="1"/>
  <c r="T64" i="4" l="1"/>
  <c r="O64" i="4"/>
  <c r="P64" i="4"/>
  <c r="H65" i="4" s="1"/>
  <c r="K65" i="4" l="1"/>
  <c r="I65" i="4"/>
  <c r="B65" i="4"/>
  <c r="J65" i="4"/>
  <c r="S65" i="4" l="1"/>
  <c r="M65" i="4"/>
  <c r="N65" i="4" s="1"/>
  <c r="O65" i="4" l="1"/>
  <c r="T65" i="4"/>
  <c r="P65" i="4"/>
  <c r="H66" i="4" s="1"/>
  <c r="K66" i="4" l="1"/>
  <c r="B66" i="4"/>
  <c r="J66" i="4"/>
  <c r="I66" i="4"/>
  <c r="S66" i="4" l="1"/>
  <c r="M66" i="4"/>
  <c r="N66" i="4" s="1"/>
  <c r="T66" i="4" l="1"/>
  <c r="O66" i="4"/>
  <c r="P66" i="4"/>
  <c r="H67" i="4" s="1"/>
  <c r="J67" i="4" l="1"/>
  <c r="I67" i="4"/>
  <c r="K67" i="4"/>
  <c r="B67" i="4"/>
  <c r="S67" i="4" l="1"/>
  <c r="M67" i="4"/>
  <c r="N67" i="4" s="1"/>
  <c r="O67" i="4" l="1"/>
  <c r="T67" i="4"/>
  <c r="P67" i="4"/>
  <c r="H68" i="4" s="1"/>
  <c r="J68" i="4" l="1"/>
  <c r="I68" i="4"/>
  <c r="K68" i="4"/>
  <c r="B68" i="4"/>
  <c r="S68" i="4" l="1"/>
  <c r="M68" i="4"/>
  <c r="N68" i="4" s="1"/>
  <c r="T68" i="4" l="1"/>
  <c r="O68" i="4"/>
  <c r="P68" i="4"/>
  <c r="H69" i="4" s="1"/>
  <c r="K69" i="4" l="1"/>
  <c r="J69" i="4"/>
  <c r="B69" i="4"/>
  <c r="I69" i="4"/>
  <c r="S69" i="4" l="1"/>
  <c r="M69" i="4"/>
  <c r="N69" i="4" s="1"/>
  <c r="O69" i="4" l="1"/>
  <c r="T69" i="4"/>
  <c r="P69" i="4"/>
  <c r="H70" i="4" s="1"/>
  <c r="K70" i="4" l="1"/>
  <c r="J70" i="4"/>
  <c r="I70" i="4"/>
  <c r="B70" i="4"/>
  <c r="S70" i="4" l="1"/>
  <c r="M70" i="4"/>
  <c r="N70" i="4" s="1"/>
  <c r="O70" i="4" l="1"/>
  <c r="T70" i="4"/>
  <c r="P70" i="4"/>
  <c r="H71" i="4" s="1"/>
  <c r="K71" i="4" l="1"/>
  <c r="I71" i="4"/>
  <c r="B71" i="4"/>
  <c r="J71" i="4"/>
  <c r="S71" i="4" l="1"/>
  <c r="M71" i="4"/>
  <c r="N71" i="4" s="1"/>
  <c r="T71" i="4" l="1"/>
  <c r="O71" i="4"/>
  <c r="P71" i="4"/>
  <c r="H72" i="4" s="1"/>
  <c r="K72" i="4" l="1"/>
  <c r="J72" i="4"/>
  <c r="I72" i="4"/>
  <c r="B72" i="4"/>
  <c r="S72" i="4" l="1"/>
  <c r="M72" i="4"/>
  <c r="N72" i="4" s="1"/>
  <c r="T72" i="4" l="1"/>
  <c r="O72" i="4"/>
  <c r="P72" i="4"/>
  <c r="H73" i="4" s="1"/>
  <c r="K73" i="4" l="1"/>
  <c r="I73" i="4"/>
  <c r="B73" i="4"/>
  <c r="J73" i="4"/>
  <c r="S73" i="4" l="1"/>
  <c r="M73" i="4"/>
  <c r="N73" i="4" s="1"/>
  <c r="O73" i="4" l="1"/>
  <c r="T73" i="4"/>
  <c r="P73" i="4"/>
  <c r="H74" i="4" s="1"/>
  <c r="I74" i="4" l="1"/>
  <c r="K74" i="4"/>
  <c r="B74" i="4"/>
  <c r="J74" i="4"/>
  <c r="S74" i="4" l="1"/>
  <c r="M74" i="4"/>
  <c r="N74" i="4" s="1"/>
  <c r="T74" i="4" l="1"/>
  <c r="O74" i="4"/>
  <c r="P74" i="4"/>
  <c r="H75" i="4" s="1"/>
  <c r="K75" i="4" l="1"/>
  <c r="B75" i="4"/>
  <c r="I75" i="4"/>
  <c r="J75" i="4"/>
  <c r="S75" i="4" l="1"/>
  <c r="M75" i="4"/>
  <c r="N75" i="4" s="1"/>
  <c r="O75" i="4" l="1"/>
  <c r="T75" i="4"/>
  <c r="P75" i="4"/>
  <c r="H76" i="4" s="1"/>
  <c r="I76" i="4" l="1"/>
  <c r="K76" i="4"/>
  <c r="J76" i="4"/>
  <c r="B76" i="4"/>
  <c r="S76" i="4" l="1"/>
  <c r="M76" i="4"/>
  <c r="N76" i="4" s="1"/>
  <c r="O76" i="4" l="1"/>
  <c r="T76" i="4"/>
  <c r="P76" i="4"/>
  <c r="H77" i="4" s="1"/>
  <c r="B77" i="4" l="1"/>
  <c r="K77" i="4"/>
  <c r="J77" i="4"/>
  <c r="I77" i="4"/>
  <c r="S77" i="4" l="1"/>
  <c r="M77" i="4"/>
  <c r="N77" i="4" s="1"/>
  <c r="O77" i="4" l="1"/>
  <c r="T77" i="4"/>
  <c r="P77" i="4"/>
  <c r="H78" i="4" s="1"/>
  <c r="J78" i="4" l="1"/>
  <c r="K78" i="4"/>
  <c r="B78" i="4"/>
  <c r="I78" i="4"/>
  <c r="S78" i="4" l="1"/>
  <c r="M78" i="4"/>
  <c r="N78" i="4" s="1"/>
  <c r="T78" i="4" l="1"/>
  <c r="O78" i="4"/>
  <c r="P78" i="4"/>
  <c r="H79" i="4" s="1"/>
  <c r="B79" i="4" l="1"/>
  <c r="K79" i="4"/>
  <c r="I79" i="4"/>
  <c r="J79" i="4"/>
  <c r="S79" i="4" l="1"/>
  <c r="M79" i="4"/>
  <c r="N79" i="4" s="1"/>
  <c r="T79" i="4" l="1"/>
  <c r="O79" i="4"/>
  <c r="P79" i="4"/>
  <c r="H80" i="4" s="1"/>
  <c r="B80" i="4" l="1"/>
  <c r="K80" i="4"/>
  <c r="J80" i="4"/>
  <c r="I80" i="4"/>
  <c r="S80" i="4" l="1"/>
  <c r="M80" i="4"/>
  <c r="N80" i="4" s="1"/>
  <c r="O80" i="4" l="1"/>
  <c r="T80" i="4"/>
  <c r="P80" i="4"/>
  <c r="H81" i="4" s="1"/>
  <c r="I81" i="4" l="1"/>
  <c r="K81" i="4"/>
  <c r="B81" i="4"/>
  <c r="J81" i="4"/>
  <c r="S81" i="4" l="1"/>
  <c r="M81" i="4"/>
  <c r="N81" i="4" s="1"/>
  <c r="O81" i="4" l="1"/>
  <c r="T81" i="4"/>
  <c r="P81" i="4"/>
  <c r="H82" i="4" s="1"/>
  <c r="B82" i="4" l="1"/>
  <c r="K82" i="4"/>
  <c r="I82" i="4"/>
  <c r="J82" i="4"/>
  <c r="S82" i="4" l="1"/>
  <c r="M82" i="4"/>
  <c r="N82" i="4" s="1"/>
  <c r="T82" i="4" l="1"/>
  <c r="O82" i="4"/>
  <c r="P82" i="4"/>
  <c r="H83" i="4" s="1"/>
  <c r="J83" i="4" l="1"/>
  <c r="K83" i="4"/>
  <c r="I83" i="4"/>
  <c r="B83" i="4"/>
  <c r="S83" i="4" l="1"/>
  <c r="M83" i="4"/>
  <c r="N83" i="4" s="1"/>
  <c r="O83" i="4" l="1"/>
  <c r="T83" i="4"/>
  <c r="P83" i="4"/>
  <c r="H84" i="4" s="1"/>
  <c r="J84" i="4" l="1"/>
  <c r="B84" i="4"/>
  <c r="I84" i="4"/>
  <c r="K84" i="4"/>
  <c r="S84" i="4" l="1"/>
  <c r="M84" i="4"/>
  <c r="N84" i="4" s="1"/>
  <c r="T84" i="4" l="1"/>
  <c r="O84" i="4"/>
  <c r="P84" i="4"/>
  <c r="H85" i="4" s="1"/>
  <c r="K85" i="4" l="1"/>
  <c r="I85" i="4"/>
  <c r="B85" i="4"/>
  <c r="J85" i="4"/>
  <c r="S85" i="4" l="1"/>
  <c r="M85" i="4"/>
  <c r="N85" i="4" s="1"/>
  <c r="O85" i="4" l="1"/>
  <c r="T85" i="4"/>
  <c r="P85" i="4"/>
  <c r="H86" i="4" s="1"/>
  <c r="K86" i="4" l="1"/>
  <c r="B86" i="4"/>
  <c r="I86" i="4"/>
  <c r="J86" i="4"/>
  <c r="S86" i="4" l="1"/>
  <c r="M86" i="4"/>
  <c r="N86" i="4" s="1"/>
  <c r="T86" i="4" l="1"/>
  <c r="O86" i="4"/>
  <c r="P86" i="4"/>
  <c r="H87" i="4" s="1"/>
  <c r="I87" i="4" l="1"/>
  <c r="K87" i="4"/>
  <c r="J87" i="4"/>
  <c r="B87" i="4"/>
  <c r="S87" i="4" l="1"/>
  <c r="M87" i="4"/>
  <c r="N87" i="4" s="1"/>
  <c r="O87" i="4" l="1"/>
  <c r="T87" i="4"/>
  <c r="P87" i="4"/>
  <c r="H88" i="4" s="1"/>
  <c r="I88" i="4" l="1"/>
  <c r="B88" i="4"/>
  <c r="J88" i="4"/>
  <c r="K88" i="4"/>
  <c r="S88" i="4" l="1"/>
  <c r="M88" i="4"/>
  <c r="N88" i="4" s="1"/>
  <c r="T88" i="4" l="1"/>
  <c r="O88" i="4"/>
  <c r="P88" i="4"/>
  <c r="H89" i="4" s="1"/>
  <c r="I89" i="4" l="1"/>
  <c r="B89" i="4"/>
  <c r="J89" i="4"/>
  <c r="K89" i="4"/>
  <c r="S89" i="4" l="1"/>
  <c r="M89" i="4"/>
  <c r="N89" i="4" s="1"/>
  <c r="O89" i="4" l="1"/>
  <c r="T89" i="4"/>
  <c r="P89" i="4"/>
  <c r="H90" i="4" s="1"/>
  <c r="I90" i="4" l="1"/>
  <c r="B90" i="4"/>
  <c r="J90" i="4"/>
  <c r="K90" i="4"/>
  <c r="S90" i="4" l="1"/>
  <c r="M90" i="4"/>
  <c r="N90" i="4" s="1"/>
  <c r="O90" i="4" l="1"/>
  <c r="T90" i="4"/>
  <c r="P90" i="4"/>
  <c r="H91" i="4" s="1"/>
  <c r="J91" i="4" l="1"/>
  <c r="B91" i="4"/>
  <c r="I91" i="4"/>
  <c r="K91" i="4"/>
  <c r="S91" i="4" l="1"/>
  <c r="M91" i="4"/>
  <c r="N91" i="4" s="1"/>
  <c r="T91" i="4" l="1"/>
  <c r="O91" i="4"/>
  <c r="P91" i="4"/>
  <c r="H92" i="4" s="1"/>
  <c r="B92" i="4" l="1"/>
  <c r="K92" i="4"/>
  <c r="J92" i="4"/>
  <c r="I92" i="4"/>
  <c r="S92" i="4" l="1"/>
  <c r="M92" i="4"/>
  <c r="N92" i="4" s="1"/>
  <c r="T92" i="4" l="1"/>
  <c r="O92" i="4"/>
  <c r="P92" i="4"/>
  <c r="H93" i="4" s="1"/>
  <c r="J93" i="4" l="1"/>
  <c r="I93" i="4"/>
  <c r="K93" i="4"/>
  <c r="B93" i="4"/>
  <c r="S93" i="4" l="1"/>
  <c r="M93" i="4"/>
  <c r="N93" i="4" s="1"/>
  <c r="T93" i="4" l="1"/>
  <c r="O93" i="4"/>
  <c r="P93" i="4"/>
  <c r="H94" i="4" s="1"/>
  <c r="B94" i="4" l="1"/>
  <c r="I94" i="4"/>
  <c r="K94" i="4"/>
  <c r="J94" i="4"/>
  <c r="S94" i="4" l="1"/>
  <c r="M94" i="4"/>
  <c r="N94" i="4" s="1"/>
  <c r="O94" i="4" l="1"/>
  <c r="T94" i="4"/>
  <c r="P94" i="4"/>
  <c r="H95" i="4" s="1"/>
  <c r="I95" i="4" l="1"/>
  <c r="J95" i="4"/>
  <c r="K95" i="4"/>
  <c r="B95" i="4"/>
  <c r="S95" i="4" l="1"/>
  <c r="M95" i="4"/>
  <c r="N95" i="4" s="1"/>
  <c r="O95" i="4" l="1"/>
  <c r="T95" i="4"/>
  <c r="P95" i="4"/>
  <c r="H96" i="4" s="1"/>
  <c r="J96" i="4" l="1"/>
  <c r="I96" i="4"/>
  <c r="B96" i="4"/>
  <c r="K96" i="4"/>
  <c r="S96" i="4" l="1"/>
  <c r="M96" i="4"/>
  <c r="N96" i="4" s="1"/>
  <c r="O96" i="4" l="1"/>
  <c r="T96" i="4"/>
  <c r="P96" i="4"/>
  <c r="H97" i="4" s="1"/>
  <c r="B97" i="4" l="1"/>
  <c r="J97" i="4"/>
  <c r="K97" i="4"/>
  <c r="I97" i="4"/>
  <c r="S97" i="4" l="1"/>
  <c r="M97" i="4"/>
  <c r="N97" i="4" s="1"/>
  <c r="T97" i="4" l="1"/>
  <c r="O97" i="4"/>
  <c r="P97" i="4"/>
  <c r="H98" i="4" s="1"/>
  <c r="J98" i="4" l="1"/>
  <c r="K98" i="4"/>
  <c r="B98" i="4"/>
  <c r="I98" i="4"/>
  <c r="S98" i="4" l="1"/>
  <c r="M98" i="4"/>
  <c r="N98" i="4" s="1"/>
  <c r="T98" i="4" l="1"/>
  <c r="O98" i="4"/>
  <c r="P98" i="4"/>
  <c r="H99" i="4" s="1"/>
  <c r="J99" i="4" l="1"/>
  <c r="B99" i="4"/>
  <c r="I99" i="4"/>
  <c r="K99" i="4"/>
  <c r="S99" i="4" l="1"/>
  <c r="M99" i="4"/>
  <c r="N99" i="4" s="1"/>
  <c r="O99" i="4" l="1"/>
  <c r="T99" i="4"/>
  <c r="P99" i="4"/>
  <c r="H100" i="4" s="1"/>
  <c r="K100" i="4" l="1"/>
  <c r="I100" i="4"/>
  <c r="J100" i="4"/>
  <c r="B100" i="4"/>
  <c r="S100" i="4" l="1"/>
  <c r="M100" i="4"/>
  <c r="N100" i="4" s="1"/>
  <c r="T100" i="4" l="1"/>
  <c r="O100" i="4"/>
  <c r="P100" i="4"/>
  <c r="H101" i="4" s="1"/>
  <c r="I101" i="4" l="1"/>
  <c r="K101" i="4"/>
  <c r="B101" i="4"/>
  <c r="J101" i="4"/>
  <c r="S101" i="4" l="1"/>
  <c r="M101" i="4"/>
  <c r="N101" i="4" s="1"/>
  <c r="T101" i="4" l="1"/>
  <c r="O101" i="4"/>
  <c r="P101" i="4"/>
  <c r="H102" i="4" s="1"/>
  <c r="J102" i="4" l="1"/>
  <c r="I102" i="4"/>
  <c r="B102" i="4"/>
  <c r="K102" i="4"/>
  <c r="S102" i="4" l="1"/>
  <c r="M102" i="4"/>
  <c r="N102" i="4" s="1"/>
  <c r="T102" i="4" l="1"/>
  <c r="O102" i="4"/>
  <c r="P102" i="4"/>
  <c r="H103" i="4" s="1"/>
  <c r="B103" i="4" l="1"/>
  <c r="K103" i="4"/>
  <c r="I103" i="4"/>
  <c r="J103" i="4"/>
  <c r="S103" i="4" l="1"/>
  <c r="M103" i="4"/>
  <c r="N103" i="4" s="1"/>
  <c r="O103" i="4" l="1"/>
  <c r="T103" i="4"/>
  <c r="P103" i="4"/>
  <c r="H104" i="4" s="1"/>
  <c r="J104" i="4" l="1"/>
  <c r="K104" i="4"/>
  <c r="I104" i="4"/>
  <c r="B104" i="4"/>
  <c r="S104" i="4" l="1"/>
  <c r="M104" i="4"/>
  <c r="N104" i="4" s="1"/>
  <c r="T104" i="4" l="1"/>
  <c r="O104" i="4"/>
  <c r="P104" i="4"/>
  <c r="H105" i="4" s="1"/>
  <c r="I105" i="4" l="1"/>
  <c r="K105" i="4"/>
  <c r="J105" i="4"/>
  <c r="B105" i="4"/>
  <c r="S105" i="4" l="1"/>
  <c r="M105" i="4"/>
  <c r="N105" i="4" s="1"/>
  <c r="T105" i="4" l="1"/>
  <c r="O105" i="4"/>
  <c r="P105" i="4"/>
  <c r="H106" i="4" s="1"/>
  <c r="K106" i="4" l="1"/>
  <c r="I106" i="4"/>
  <c r="J106" i="4"/>
  <c r="B106" i="4"/>
  <c r="S106" i="4" l="1"/>
  <c r="M106" i="4"/>
  <c r="N106" i="4" s="1"/>
  <c r="O106" i="4" l="1"/>
  <c r="T106" i="4"/>
  <c r="P106" i="4"/>
  <c r="H107" i="4" s="1"/>
  <c r="B107" i="4" l="1"/>
  <c r="K107" i="4"/>
  <c r="I107" i="4"/>
  <c r="J107" i="4"/>
  <c r="S107" i="4" l="1"/>
  <c r="M107" i="4"/>
  <c r="N107" i="4" s="1"/>
  <c r="T107" i="4" l="1"/>
  <c r="O107" i="4"/>
  <c r="P107" i="4"/>
  <c r="H108" i="4" s="1"/>
  <c r="K108" i="4" l="1"/>
  <c r="I108" i="4"/>
  <c r="J108" i="4"/>
  <c r="B108" i="4"/>
  <c r="S108" i="4" l="1"/>
  <c r="M108" i="4"/>
  <c r="N108" i="4" s="1"/>
  <c r="O108" i="4" l="1"/>
  <c r="T108" i="4"/>
  <c r="P108" i="4"/>
  <c r="H109" i="4" s="1"/>
  <c r="G63" i="5" l="1"/>
  <c r="K109" i="4"/>
  <c r="B109" i="4"/>
  <c r="B110" i="4" s="1"/>
  <c r="I109" i="4"/>
  <c r="I110" i="4" s="1"/>
  <c r="J109" i="4"/>
  <c r="G30" i="1"/>
  <c r="S109" i="4" l="1"/>
  <c r="G41" i="5"/>
  <c r="M109" i="4"/>
  <c r="N109" i="4" s="1"/>
  <c r="E63" i="5"/>
  <c r="I63" i="5"/>
  <c r="I30" i="1"/>
  <c r="E30" i="1"/>
  <c r="K41" i="5"/>
  <c r="L41" i="5" s="1"/>
  <c r="O109" i="4" l="1"/>
  <c r="E33" i="1" s="1"/>
  <c r="T109" i="4"/>
  <c r="P109" i="4"/>
  <c r="G38" i="5"/>
  <c r="G48" i="5" s="1"/>
  <c r="G53" i="5"/>
  <c r="G39" i="5"/>
  <c r="C12" i="11"/>
  <c r="C15" i="11" s="1"/>
  <c r="G40" i="5"/>
  <c r="E53" i="5" l="1"/>
  <c r="I53" i="5"/>
  <c r="G62" i="5"/>
  <c r="G50" i="5"/>
  <c r="G55" i="5"/>
  <c r="G56" i="5" s="1"/>
  <c r="H11" i="9"/>
  <c r="G49" i="5"/>
  <c r="E49" i="5" s="1"/>
  <c r="I49" i="5" s="1"/>
  <c r="G36" i="1"/>
  <c r="I36" i="1" s="1"/>
  <c r="G11" i="9"/>
  <c r="I48" i="5"/>
  <c r="E48" i="5"/>
  <c r="C16" i="11"/>
  <c r="E15" i="11"/>
  <c r="I33" i="1"/>
  <c r="E34" i="1"/>
  <c r="G34" i="1" s="1"/>
  <c r="G33" i="1"/>
  <c r="G24" i="9" l="1"/>
  <c r="G23" i="9"/>
  <c r="G16" i="9"/>
  <c r="G15" i="9"/>
  <c r="G25" i="9"/>
  <c r="G19" i="9"/>
  <c r="G18" i="9"/>
  <c r="G22" i="9"/>
  <c r="G21" i="9"/>
  <c r="G20" i="9"/>
  <c r="G17" i="9"/>
  <c r="I56" i="5"/>
  <c r="E56" i="5"/>
  <c r="E50" i="5"/>
  <c r="I50" i="5" s="1"/>
  <c r="K56" i="5"/>
  <c r="L56" i="5" s="1"/>
  <c r="G52" i="5"/>
  <c r="G61" i="5" s="1"/>
  <c r="C18" i="11"/>
  <c r="E16" i="11"/>
  <c r="H30" i="9"/>
  <c r="H28" i="9"/>
  <c r="H18" i="9"/>
  <c r="H23" i="9"/>
  <c r="H24" i="9"/>
  <c r="H16" i="9"/>
  <c r="H26" i="9"/>
  <c r="H15" i="9"/>
  <c r="H20" i="9"/>
  <c r="H19" i="9"/>
  <c r="H17" i="9"/>
  <c r="H27" i="9"/>
  <c r="H22" i="9"/>
  <c r="H21" i="9"/>
  <c r="H29" i="9"/>
  <c r="H25" i="9"/>
  <c r="K53" i="5"/>
  <c r="L53" i="5" s="1"/>
  <c r="E62" i="5"/>
  <c r="I62" i="5"/>
  <c r="K52" i="5" l="1"/>
  <c r="L52" i="5" s="1"/>
  <c r="E61" i="5"/>
  <c r="I61" i="5"/>
  <c r="E52" i="5"/>
  <c r="I52" i="5" s="1"/>
  <c r="E26" i="1"/>
  <c r="C26" i="1" s="1"/>
  <c r="E28" i="1"/>
  <c r="E18" i="11"/>
  <c r="C19" i="11"/>
  <c r="E19" i="11" s="1"/>
  <c r="B29" i="11" l="1"/>
  <c r="G37" i="1"/>
  <c r="G28" i="1"/>
  <c r="I28" i="1" s="1"/>
  <c r="H111" i="4"/>
  <c r="G59" i="5" l="1"/>
  <c r="I111" i="4"/>
  <c r="B111" i="4"/>
  <c r="B112" i="4" s="1"/>
  <c r="J111" i="4"/>
  <c r="K111" i="4"/>
  <c r="M111" i="4" s="1"/>
  <c r="N111" i="4" s="1"/>
  <c r="H113" i="4"/>
  <c r="I113" i="4" l="1"/>
  <c r="K113" i="4"/>
  <c r="J113" i="4"/>
  <c r="B113" i="4"/>
  <c r="E59" i="5"/>
  <c r="I59" i="5"/>
  <c r="G60" i="5"/>
  <c r="K38" i="5" l="1"/>
  <c r="L38" i="5" s="1"/>
  <c r="E60" i="5"/>
  <c r="I60" i="5"/>
  <c r="M113" i="4"/>
  <c r="N113" i="4" s="1"/>
  <c r="E35" i="1" s="1"/>
  <c r="K48" i="5"/>
  <c r="L48" i="5" s="1"/>
  <c r="P113" i="4" l="1"/>
  <c r="H114" i="4" s="1"/>
  <c r="C20" i="11"/>
  <c r="G35" i="1"/>
  <c r="E20" i="11" l="1"/>
  <c r="C21" i="11"/>
  <c r="J114" i="4"/>
  <c r="K114" i="4"/>
  <c r="I114" i="4"/>
  <c r="B114" i="4"/>
  <c r="M114" i="4" l="1"/>
  <c r="N114" i="4" s="1"/>
  <c r="P114" i="4" s="1"/>
  <c r="H115" i="4" s="1"/>
  <c r="E21" i="11"/>
  <c r="C23" i="11"/>
  <c r="K115" i="4" l="1"/>
  <c r="J115" i="4"/>
  <c r="B115" i="4"/>
  <c r="I115" i="4"/>
  <c r="C24" i="11"/>
  <c r="E24" i="11" s="1"/>
  <c r="E23" i="11"/>
  <c r="G23" i="11" s="1"/>
  <c r="G38" i="1" l="1"/>
  <c r="B30" i="11"/>
  <c r="M115" i="4"/>
  <c r="N115" i="4" s="1"/>
  <c r="P115" i="4" s="1"/>
  <c r="H116" i="4" s="1"/>
  <c r="J116" i="4" l="1"/>
  <c r="I116" i="4"/>
  <c r="K116" i="4"/>
  <c r="B116" i="4"/>
  <c r="M116" i="4" l="1"/>
  <c r="N116" i="4" s="1"/>
  <c r="P116" i="4" s="1"/>
  <c r="H117" i="4" s="1"/>
  <c r="I117" i="4" l="1"/>
  <c r="K117" i="4"/>
  <c r="J117" i="4"/>
  <c r="B117" i="4"/>
  <c r="M117" i="4" l="1"/>
  <c r="N117" i="4" s="1"/>
  <c r="P117" i="4" s="1"/>
  <c r="H118" i="4" s="1"/>
  <c r="K118" i="4" l="1"/>
  <c r="J118" i="4"/>
  <c r="B118" i="4"/>
  <c r="I118" i="4"/>
  <c r="M118" i="4" l="1"/>
  <c r="N118" i="4" s="1"/>
  <c r="P118" i="4" s="1"/>
  <c r="H119" i="4" s="1"/>
  <c r="I119" i="4" l="1"/>
  <c r="K119" i="4"/>
  <c r="J119" i="4"/>
  <c r="B119" i="4"/>
  <c r="M119" i="4" l="1"/>
  <c r="N119" i="4" s="1"/>
  <c r="P119" i="4" s="1"/>
  <c r="H120" i="4" s="1"/>
  <c r="K120" i="4" l="1"/>
  <c r="J120" i="4"/>
  <c r="I120" i="4"/>
  <c r="B120" i="4"/>
  <c r="M120" i="4" l="1"/>
  <c r="N120" i="4" s="1"/>
  <c r="P120" i="4" s="1"/>
  <c r="H121" i="4" s="1"/>
  <c r="K121" i="4" l="1"/>
  <c r="B121" i="4"/>
  <c r="I121" i="4"/>
  <c r="J121" i="4"/>
  <c r="M121" i="4" l="1"/>
  <c r="N121" i="4" s="1"/>
  <c r="P121" i="4" s="1"/>
  <c r="H122" i="4" s="1"/>
  <c r="J122" i="4" l="1"/>
  <c r="K122" i="4"/>
  <c r="B122" i="4"/>
  <c r="I122" i="4"/>
  <c r="M122" i="4" l="1"/>
  <c r="N122" i="4" s="1"/>
  <c r="P122" i="4" s="1"/>
  <c r="H123" i="4" s="1"/>
  <c r="I123" i="4" l="1"/>
  <c r="K123" i="4"/>
  <c r="B123" i="4"/>
  <c r="J123" i="4"/>
  <c r="M123" i="4" l="1"/>
  <c r="N123" i="4" s="1"/>
  <c r="P123" i="4" s="1"/>
  <c r="H124" i="4" s="1"/>
  <c r="J124" i="4" l="1"/>
  <c r="K124" i="4"/>
  <c r="I124" i="4"/>
  <c r="B124" i="4"/>
  <c r="M124" i="4" l="1"/>
  <c r="N124" i="4" s="1"/>
  <c r="P124" i="4" s="1"/>
  <c r="H125" i="4" s="1"/>
  <c r="J125" i="4" l="1"/>
  <c r="B125" i="4"/>
  <c r="I125" i="4"/>
  <c r="K125" i="4"/>
  <c r="M125" i="4" l="1"/>
  <c r="N125" i="4" s="1"/>
  <c r="P125" i="4" s="1"/>
  <c r="H126" i="4" s="1"/>
  <c r="K126" i="4" l="1"/>
  <c r="I126" i="4"/>
  <c r="J126" i="4"/>
  <c r="B126" i="4"/>
  <c r="M126" i="4" l="1"/>
  <c r="N126" i="4" s="1"/>
  <c r="P126" i="4" s="1"/>
  <c r="H127" i="4" s="1"/>
  <c r="J127" i="4" l="1"/>
  <c r="I127" i="4"/>
  <c r="B127" i="4"/>
  <c r="K127" i="4"/>
  <c r="M127" i="4" l="1"/>
  <c r="N127" i="4" s="1"/>
  <c r="P127" i="4" s="1"/>
  <c r="H128" i="4" s="1"/>
  <c r="K128" i="4" l="1"/>
  <c r="I128" i="4"/>
  <c r="J128" i="4"/>
  <c r="B128" i="4"/>
  <c r="M128" i="4" l="1"/>
  <c r="N128" i="4" s="1"/>
  <c r="P128" i="4" s="1"/>
  <c r="H129" i="4" s="1"/>
  <c r="B129" i="4" l="1"/>
  <c r="J129" i="4"/>
  <c r="K129" i="4"/>
  <c r="I129" i="4"/>
  <c r="M129" i="4" l="1"/>
  <c r="N129" i="4" s="1"/>
  <c r="P129" i="4" s="1"/>
  <c r="H130" i="4" s="1"/>
  <c r="I130" i="4" l="1"/>
  <c r="K130" i="4"/>
  <c r="B130" i="4"/>
  <c r="J130" i="4"/>
  <c r="M130" i="4" l="1"/>
  <c r="N130" i="4" s="1"/>
  <c r="P130" i="4" s="1"/>
  <c r="H131" i="4" s="1"/>
  <c r="B131" i="4" l="1"/>
  <c r="I131" i="4"/>
  <c r="K131" i="4"/>
  <c r="J131" i="4"/>
  <c r="M131" i="4" l="1"/>
  <c r="N131" i="4" s="1"/>
  <c r="P131" i="4" s="1"/>
  <c r="H132" i="4" s="1"/>
  <c r="I132" i="4" l="1"/>
  <c r="K132" i="4"/>
  <c r="J132" i="4"/>
  <c r="B132" i="4"/>
  <c r="M132" i="4" l="1"/>
  <c r="N132" i="4" s="1"/>
  <c r="P132" i="4" s="1"/>
  <c r="H133" i="4" s="1"/>
  <c r="J133" i="4" l="1"/>
  <c r="I133" i="4"/>
  <c r="K133" i="4"/>
  <c r="B133" i="4"/>
  <c r="M133" i="4" l="1"/>
  <c r="N133" i="4" s="1"/>
  <c r="P133" i="4" s="1"/>
  <c r="H134" i="4" s="1"/>
  <c r="K134" i="4" l="1"/>
  <c r="B134" i="4"/>
  <c r="I134" i="4"/>
  <c r="J134" i="4"/>
  <c r="M134" i="4" l="1"/>
  <c r="N134" i="4" s="1"/>
  <c r="P134" i="4" s="1"/>
  <c r="H135" i="4" s="1"/>
  <c r="J135" i="4" l="1"/>
  <c r="K135" i="4"/>
  <c r="I135" i="4"/>
  <c r="B135" i="4"/>
  <c r="M135" i="4" l="1"/>
  <c r="N135" i="4" s="1"/>
  <c r="P135" i="4" s="1"/>
  <c r="H136" i="4" s="1"/>
  <c r="I136" i="4" l="1"/>
  <c r="J136" i="4"/>
  <c r="B136" i="4"/>
  <c r="K136" i="4"/>
  <c r="M136" i="4" l="1"/>
  <c r="N136" i="4" s="1"/>
  <c r="P136" i="4" s="1"/>
  <c r="H137" i="4" s="1"/>
  <c r="I137" i="4" l="1"/>
  <c r="J137" i="4"/>
  <c r="K137" i="4"/>
  <c r="B137" i="4"/>
  <c r="M137" i="4" l="1"/>
  <c r="N137" i="4" s="1"/>
  <c r="P137" i="4" s="1"/>
  <c r="H138" i="4" s="1"/>
  <c r="K138" i="4" l="1"/>
  <c r="I138" i="4"/>
  <c r="B138" i="4"/>
  <c r="J138" i="4"/>
  <c r="M138" i="4" l="1"/>
  <c r="N138" i="4" s="1"/>
  <c r="P138" i="4" s="1"/>
  <c r="H139" i="4" s="1"/>
  <c r="J139" i="4" l="1"/>
  <c r="I139" i="4"/>
  <c r="B139" i="4"/>
  <c r="K139" i="4"/>
  <c r="M139" i="4" l="1"/>
  <c r="N139" i="4" s="1"/>
  <c r="P139" i="4" s="1"/>
  <c r="H140" i="4" s="1"/>
  <c r="B140" i="4" l="1"/>
  <c r="K140" i="4"/>
  <c r="J140" i="4"/>
  <c r="I140" i="4"/>
  <c r="M140" i="4" l="1"/>
  <c r="N140" i="4" s="1"/>
  <c r="P140" i="4" s="1"/>
  <c r="H141" i="4" s="1"/>
  <c r="K141" i="4" l="1"/>
  <c r="I141" i="4"/>
  <c r="B141" i="4"/>
  <c r="J141" i="4"/>
  <c r="M141" i="4" l="1"/>
  <c r="N141" i="4" s="1"/>
  <c r="P141" i="4" s="1"/>
  <c r="H142" i="4" s="1"/>
  <c r="B142" i="4" l="1"/>
  <c r="K142" i="4"/>
  <c r="J142" i="4"/>
  <c r="I142" i="4"/>
  <c r="M142" i="4" l="1"/>
  <c r="N142" i="4" s="1"/>
  <c r="P142" i="4" s="1"/>
  <c r="H143" i="4" s="1"/>
  <c r="B143" i="4" l="1"/>
  <c r="K143" i="4"/>
  <c r="I143" i="4"/>
  <c r="J143" i="4"/>
  <c r="M143" i="4" l="1"/>
  <c r="N143" i="4" s="1"/>
  <c r="P143" i="4" s="1"/>
  <c r="H144" i="4" s="1"/>
  <c r="J144" i="4" l="1"/>
  <c r="B144" i="4"/>
  <c r="I144" i="4"/>
  <c r="K144" i="4"/>
  <c r="M144" i="4" l="1"/>
  <c r="N144" i="4" s="1"/>
  <c r="P144" i="4" s="1"/>
  <c r="H145" i="4" s="1"/>
  <c r="K145" i="4" l="1"/>
  <c r="J145" i="4"/>
  <c r="B145" i="4"/>
  <c r="I145" i="4"/>
  <c r="M145" i="4" l="1"/>
  <c r="N145" i="4" s="1"/>
  <c r="P145" i="4" s="1"/>
  <c r="H146" i="4" s="1"/>
  <c r="I146" i="4" l="1"/>
  <c r="J146" i="4"/>
  <c r="K146" i="4"/>
  <c r="B146" i="4"/>
  <c r="M146" i="4" l="1"/>
  <c r="N146" i="4" s="1"/>
  <c r="P146" i="4" s="1"/>
  <c r="H147" i="4" s="1"/>
  <c r="K147" i="4" l="1"/>
  <c r="J147" i="4"/>
  <c r="I147" i="4"/>
  <c r="B147" i="4"/>
  <c r="M147" i="4" l="1"/>
  <c r="N147" i="4" s="1"/>
  <c r="P147" i="4" s="1"/>
  <c r="H148" i="4" s="1"/>
  <c r="I148" i="4" l="1"/>
  <c r="J148" i="4"/>
  <c r="K148" i="4"/>
  <c r="B148" i="4"/>
  <c r="M148" i="4" l="1"/>
  <c r="N148" i="4" s="1"/>
  <c r="P148" i="4" s="1"/>
  <c r="H149" i="4" s="1"/>
  <c r="J149" i="4" l="1"/>
  <c r="K149" i="4"/>
  <c r="I149" i="4"/>
  <c r="B149" i="4"/>
  <c r="M149" i="4" l="1"/>
  <c r="N149" i="4" s="1"/>
  <c r="P149" i="4" s="1"/>
  <c r="H150" i="4" s="1"/>
  <c r="K150" i="4" l="1"/>
  <c r="I150" i="4"/>
  <c r="J150" i="4"/>
  <c r="B150" i="4"/>
  <c r="M150" i="4" l="1"/>
  <c r="N150" i="4" s="1"/>
  <c r="P150" i="4" s="1"/>
  <c r="H151" i="4" s="1"/>
  <c r="J151" i="4" l="1"/>
  <c r="K151" i="4"/>
  <c r="B151" i="4"/>
  <c r="I151" i="4"/>
  <c r="M151" i="4" l="1"/>
  <c r="N151" i="4" s="1"/>
  <c r="P151" i="4" s="1"/>
  <c r="H152" i="4" s="1"/>
  <c r="I152" i="4" l="1"/>
  <c r="B152" i="4"/>
  <c r="J152" i="4"/>
  <c r="K152" i="4"/>
  <c r="Q152" i="4" s="1"/>
  <c r="M152" i="4" l="1"/>
  <c r="N152" i="4" s="1"/>
  <c r="P152" i="4" s="1"/>
  <c r="H153" i="4" s="1"/>
  <c r="K153" i="4" l="1"/>
  <c r="Q153" i="4" s="1"/>
  <c r="B153" i="4"/>
  <c r="J153" i="4"/>
  <c r="I153" i="4"/>
  <c r="M153" i="4" l="1"/>
  <c r="N153" i="4" s="1"/>
  <c r="P153" i="4" s="1"/>
  <c r="H154" i="4" s="1"/>
  <c r="B154" i="4" l="1"/>
  <c r="K154" i="4"/>
  <c r="Q154" i="4" s="1"/>
  <c r="J154" i="4"/>
  <c r="I154" i="4"/>
  <c r="M154" i="4" l="1"/>
  <c r="N154" i="4" s="1"/>
  <c r="P154" i="4" s="1"/>
  <c r="H155" i="4" s="1"/>
  <c r="K155" i="4" l="1"/>
  <c r="Q155" i="4" s="1"/>
  <c r="J155" i="4"/>
  <c r="B155" i="4"/>
  <c r="I155" i="4"/>
  <c r="M155" i="4" l="1"/>
  <c r="N155" i="4" s="1"/>
  <c r="P155" i="4" s="1"/>
  <c r="H156" i="4" s="1"/>
  <c r="B156" i="4" l="1"/>
  <c r="I156" i="4"/>
  <c r="J156" i="4"/>
  <c r="K156" i="4"/>
  <c r="Q156" i="4" s="1"/>
  <c r="M156" i="4" l="1"/>
  <c r="N156" i="4" s="1"/>
  <c r="P156" i="4" s="1"/>
  <c r="H157" i="4" s="1"/>
  <c r="I157" i="4" l="1"/>
  <c r="B157" i="4"/>
  <c r="J157" i="4"/>
  <c r="K157" i="4"/>
  <c r="Q157" i="4" s="1"/>
  <c r="M157" i="4" l="1"/>
  <c r="N157" i="4" s="1"/>
  <c r="P157" i="4" s="1"/>
  <c r="H158" i="4" s="1"/>
  <c r="B158" i="4" l="1"/>
  <c r="I158" i="4"/>
  <c r="J158" i="4"/>
  <c r="K158" i="4"/>
  <c r="Q158" i="4" s="1"/>
  <c r="M158" i="4" l="1"/>
  <c r="N158" i="4" s="1"/>
  <c r="P158" i="4" s="1"/>
  <c r="H159" i="4" s="1"/>
  <c r="B159" i="4" l="1"/>
  <c r="K159" i="4"/>
  <c r="Q159" i="4" s="1"/>
  <c r="I159" i="4"/>
  <c r="J159" i="4"/>
  <c r="M159" i="4" l="1"/>
  <c r="N159" i="4" s="1"/>
  <c r="P159" i="4" s="1"/>
  <c r="H160" i="4" s="1"/>
  <c r="I160" i="4" l="1"/>
  <c r="J160" i="4"/>
  <c r="B160" i="4"/>
  <c r="K160" i="4"/>
  <c r="Q160" i="4" s="1"/>
  <c r="M160" i="4" l="1"/>
  <c r="N160" i="4" s="1"/>
  <c r="P160" i="4" s="1"/>
  <c r="H161" i="4" s="1"/>
  <c r="B161" i="4" l="1"/>
  <c r="K161" i="4"/>
  <c r="Q161" i="4" s="1"/>
  <c r="J161" i="4"/>
  <c r="I161" i="4"/>
  <c r="M161" i="4" l="1"/>
  <c r="N161" i="4" s="1"/>
  <c r="P161" i="4" s="1"/>
  <c r="H162" i="4" s="1"/>
  <c r="J162" i="4" l="1"/>
  <c r="B162" i="4"/>
  <c r="I162" i="4"/>
  <c r="K162" i="4"/>
  <c r="Q162" i="4" s="1"/>
  <c r="M162" i="4" l="1"/>
  <c r="N162" i="4" s="1"/>
  <c r="P162" i="4" s="1"/>
  <c r="H163" i="4" s="1"/>
  <c r="K163" i="4" l="1"/>
  <c r="Q163" i="4" s="1"/>
  <c r="I163" i="4"/>
  <c r="J163" i="4"/>
  <c r="B163" i="4"/>
  <c r="M163" i="4" l="1"/>
  <c r="N163" i="4" s="1"/>
  <c r="P163" i="4" s="1"/>
  <c r="H164" i="4" s="1"/>
  <c r="J164" i="4" l="1"/>
  <c r="B164" i="4"/>
  <c r="I164" i="4"/>
  <c r="K164" i="4"/>
  <c r="Q164" i="4" l="1"/>
  <c r="M164" i="4"/>
  <c r="N164" i="4" s="1"/>
  <c r="P164" i="4"/>
  <c r="H165" i="4" l="1"/>
  <c r="I165" i="4" l="1"/>
  <c r="K165" i="4"/>
  <c r="J165" i="4"/>
  <c r="B165" i="4"/>
  <c r="M165" i="4" l="1"/>
  <c r="N165" i="4" s="1"/>
  <c r="P165" i="4" s="1"/>
  <c r="Q165" i="4"/>
  <c r="H166" i="4" l="1"/>
  <c r="J166" i="4" l="1"/>
  <c r="K166" i="4"/>
  <c r="B166" i="4"/>
  <c r="I166" i="4"/>
  <c r="Q166" i="4" l="1"/>
  <c r="M166" i="4"/>
  <c r="N166" i="4" s="1"/>
  <c r="P166" i="4" s="1"/>
  <c r="H167" i="4" l="1"/>
  <c r="K167" i="4" l="1"/>
  <c r="J167" i="4"/>
  <c r="B167" i="4"/>
  <c r="I167" i="4"/>
  <c r="Q167" i="4" l="1"/>
  <c r="M167" i="4"/>
  <c r="N167" i="4" s="1"/>
  <c r="P167" i="4" s="1"/>
  <c r="H168" i="4" l="1"/>
  <c r="K168" i="4" l="1"/>
  <c r="I168" i="4"/>
  <c r="J168" i="4"/>
  <c r="B168" i="4"/>
  <c r="M168" i="4" l="1"/>
  <c r="N168" i="4" s="1"/>
  <c r="P168" i="4" s="1"/>
  <c r="Q168" i="4"/>
  <c r="H169" i="4" l="1"/>
  <c r="I169" i="4" l="1"/>
  <c r="J169" i="4"/>
  <c r="B169" i="4"/>
  <c r="K169" i="4"/>
  <c r="M169" i="4" l="1"/>
  <c r="N169" i="4" s="1"/>
  <c r="P169" i="4" s="1"/>
  <c r="Q169" i="4"/>
  <c r="H170" i="4" l="1"/>
  <c r="I170" i="4" l="1"/>
  <c r="B170" i="4"/>
  <c r="K170" i="4"/>
  <c r="J170" i="4"/>
  <c r="Q170" i="4" l="1"/>
  <c r="M170" i="4"/>
  <c r="N170" i="4" s="1"/>
  <c r="P170" i="4"/>
  <c r="H171" i="4" l="1"/>
  <c r="B171" i="4" l="1"/>
  <c r="J171" i="4"/>
  <c r="I171" i="4"/>
  <c r="K171" i="4"/>
  <c r="Q171" i="4" l="1"/>
  <c r="M171" i="4"/>
  <c r="N171" i="4" s="1"/>
  <c r="P171" i="4"/>
  <c r="H172" i="4" l="1"/>
  <c r="B172" i="4" l="1"/>
  <c r="J172" i="4"/>
  <c r="I172" i="4"/>
  <c r="K172" i="4"/>
  <c r="Q172" i="4" l="1"/>
  <c r="M172" i="4"/>
  <c r="N172" i="4" s="1"/>
  <c r="P172" i="4" s="1"/>
  <c r="H173" i="4" l="1"/>
  <c r="K173" i="4" l="1"/>
  <c r="I173" i="4"/>
  <c r="B173" i="4"/>
  <c r="J173" i="4"/>
  <c r="P173" i="4" l="1"/>
  <c r="M173" i="4"/>
  <c r="N173" i="4" s="1"/>
  <c r="Q173" i="4"/>
  <c r="H174" i="4" l="1"/>
  <c r="K174" i="4" s="1"/>
  <c r="B174" i="4" l="1"/>
  <c r="I174" i="4"/>
  <c r="J174" i="4"/>
  <c r="M174" i="4"/>
  <c r="N174" i="4" s="1"/>
  <c r="P174" i="4" s="1"/>
  <c r="Q174" i="4"/>
  <c r="H175" i="4" l="1"/>
  <c r="J175" i="4" l="1"/>
  <c r="K175" i="4"/>
  <c r="I175" i="4"/>
  <c r="B175" i="4"/>
  <c r="M175" i="4" l="1"/>
  <c r="N175" i="4" s="1"/>
  <c r="P175" i="4" s="1"/>
  <c r="Q175" i="4"/>
  <c r="H176" i="4" l="1"/>
  <c r="K176" i="4" l="1"/>
  <c r="I176" i="4"/>
  <c r="J176" i="4"/>
  <c r="B176" i="4"/>
  <c r="M176" i="4" l="1"/>
  <c r="N176" i="4" s="1"/>
  <c r="Q176" i="4"/>
  <c r="P176" i="4"/>
  <c r="H177" i="4" l="1"/>
  <c r="I177" i="4" l="1"/>
  <c r="J177" i="4"/>
  <c r="B177" i="4"/>
  <c r="K177" i="4"/>
  <c r="M177" i="4" l="1"/>
  <c r="N177" i="4" s="1"/>
  <c r="P177" i="4" s="1"/>
  <c r="Q177" i="4"/>
  <c r="H178" i="4" l="1"/>
  <c r="I178" i="4" l="1"/>
  <c r="J178" i="4"/>
  <c r="K178" i="4"/>
  <c r="B178" i="4"/>
  <c r="Q178" i="4" l="1"/>
  <c r="M178" i="4"/>
  <c r="N178" i="4" s="1"/>
  <c r="P178" i="4"/>
  <c r="H179" i="4" l="1"/>
  <c r="I179" i="4" l="1"/>
  <c r="J179" i="4"/>
  <c r="K179" i="4"/>
  <c r="B179" i="4"/>
  <c r="Q179" i="4" l="1"/>
  <c r="M179" i="4"/>
  <c r="N179" i="4" s="1"/>
  <c r="P179" i="4"/>
  <c r="H180" i="4" l="1"/>
  <c r="K180" i="4" l="1"/>
  <c r="J180" i="4"/>
  <c r="B180" i="4"/>
  <c r="I180" i="4"/>
  <c r="M180" i="4" l="1"/>
  <c r="N180" i="4" s="1"/>
  <c r="Q180" i="4"/>
  <c r="P180" i="4"/>
  <c r="H181" i="4" l="1"/>
  <c r="I181" i="4" l="1"/>
  <c r="K181" i="4"/>
  <c r="J181" i="4"/>
  <c r="B181" i="4"/>
  <c r="M181" i="4" l="1"/>
  <c r="N181" i="4" s="1"/>
  <c r="P181" i="4" s="1"/>
  <c r="Q181" i="4"/>
  <c r="H182" i="4" l="1"/>
  <c r="B182" i="4" l="1"/>
  <c r="K182" i="4"/>
  <c r="J182" i="4"/>
  <c r="I182" i="4"/>
  <c r="Q182" i="4" l="1"/>
  <c r="M182" i="4"/>
  <c r="N182" i="4" s="1"/>
  <c r="P182" i="4" s="1"/>
  <c r="H183" i="4" l="1"/>
  <c r="K183" i="4" l="1"/>
  <c r="J183" i="4"/>
  <c r="I183" i="4"/>
  <c r="B183" i="4"/>
  <c r="Q183" i="4" l="1"/>
  <c r="M183" i="4"/>
  <c r="N183" i="4" s="1"/>
  <c r="P183" i="4" s="1"/>
  <c r="H184" i="4" l="1"/>
  <c r="K184" i="4" l="1"/>
  <c r="B184" i="4"/>
  <c r="J184" i="4"/>
  <c r="I184" i="4"/>
  <c r="Q184" i="4" l="1"/>
  <c r="M184" i="4"/>
  <c r="N184" i="4" s="1"/>
  <c r="P184" i="4" s="1"/>
  <c r="H185" i="4" l="1"/>
  <c r="K185" i="4" l="1"/>
  <c r="J185" i="4"/>
  <c r="B185" i="4"/>
  <c r="I185" i="4"/>
  <c r="M185" i="4" l="1"/>
  <c r="N185" i="4" s="1"/>
  <c r="P185" i="4" s="1"/>
  <c r="Q185" i="4"/>
  <c r="H186" i="4" l="1"/>
  <c r="B186" i="4" l="1"/>
  <c r="J186" i="4"/>
  <c r="I186" i="4"/>
  <c r="K186" i="4"/>
  <c r="Q186" i="4" l="1"/>
  <c r="M186" i="4"/>
  <c r="N186" i="4" s="1"/>
  <c r="P186" i="4"/>
  <c r="H187" i="4" l="1"/>
  <c r="B187" i="4" l="1"/>
  <c r="K187" i="4"/>
  <c r="I187" i="4"/>
  <c r="J187" i="4"/>
  <c r="Q187" i="4" l="1"/>
  <c r="M187" i="4"/>
  <c r="N187" i="4" s="1"/>
  <c r="P187" i="4" s="1"/>
  <c r="H188" i="4" l="1"/>
  <c r="B188" i="4" l="1"/>
  <c r="K188" i="4"/>
  <c r="I188" i="4"/>
  <c r="J188" i="4"/>
  <c r="Q188" i="4" l="1"/>
  <c r="M188" i="4"/>
  <c r="N188" i="4" s="1"/>
  <c r="P188" i="4" s="1"/>
  <c r="H189" i="4" l="1"/>
  <c r="I189" i="4" l="1"/>
  <c r="J189" i="4"/>
  <c r="B189" i="4"/>
  <c r="K189" i="4"/>
  <c r="Q189" i="4" l="1"/>
  <c r="M189" i="4"/>
  <c r="N189" i="4" s="1"/>
  <c r="P189" i="4" s="1"/>
  <c r="H190" i="4" l="1"/>
  <c r="B190" i="4" l="1"/>
  <c r="I190" i="4"/>
  <c r="K190" i="4"/>
  <c r="J190" i="4"/>
  <c r="M190" i="4" l="1"/>
  <c r="N190" i="4" s="1"/>
  <c r="P190" i="4" s="1"/>
  <c r="Q190" i="4"/>
  <c r="H191" i="4" l="1"/>
  <c r="J191" i="4" l="1"/>
  <c r="I191" i="4"/>
  <c r="K191" i="4"/>
  <c r="B191" i="4"/>
  <c r="M191" i="4" l="1"/>
  <c r="N191" i="4" s="1"/>
  <c r="P191" i="4" s="1"/>
  <c r="Q191" i="4"/>
  <c r="H192" i="4" l="1"/>
  <c r="B192" i="4" l="1"/>
  <c r="I192" i="4"/>
  <c r="J192" i="4"/>
  <c r="K192" i="4"/>
  <c r="M192" i="4" l="1"/>
  <c r="N192" i="4" s="1"/>
  <c r="P192" i="4" s="1"/>
  <c r="Q192" i="4"/>
  <c r="H193" i="4" l="1"/>
  <c r="B193" i="4" l="1"/>
  <c r="K193" i="4"/>
  <c r="J193" i="4"/>
  <c r="I193" i="4"/>
  <c r="Q193" i="4" l="1"/>
  <c r="M193" i="4"/>
  <c r="N193" i="4" s="1"/>
  <c r="P193" i="4"/>
  <c r="H194" i="4" l="1"/>
  <c r="K194" i="4" l="1"/>
  <c r="B194" i="4"/>
  <c r="J194" i="4"/>
  <c r="I194" i="4"/>
  <c r="Q194" i="4" l="1"/>
  <c r="M194" i="4"/>
  <c r="N194" i="4" s="1"/>
  <c r="P194" i="4"/>
  <c r="H195" i="4" l="1"/>
  <c r="I195" i="4" l="1"/>
  <c r="J195" i="4"/>
  <c r="B195" i="4"/>
  <c r="K195" i="4"/>
  <c r="Q195" i="4" l="1"/>
  <c r="M195" i="4"/>
  <c r="N195" i="4" s="1"/>
  <c r="P195" i="4" s="1"/>
  <c r="H196" i="4" l="1"/>
  <c r="K196" i="4" l="1"/>
  <c r="J196" i="4"/>
  <c r="I196" i="4"/>
  <c r="B196" i="4"/>
  <c r="Q196" i="4" l="1"/>
  <c r="M196" i="4"/>
  <c r="N196" i="4" s="1"/>
  <c r="P196" i="4"/>
  <c r="H197" i="4" l="1"/>
  <c r="K197" i="4" l="1"/>
  <c r="J197" i="4"/>
  <c r="I197" i="4"/>
  <c r="B197" i="4"/>
  <c r="Q197" i="4" l="1"/>
  <c r="M197" i="4"/>
  <c r="N197" i="4" s="1"/>
  <c r="P197" i="4" s="1"/>
  <c r="H198" i="4" l="1"/>
  <c r="I198" i="4" l="1"/>
  <c r="B198" i="4"/>
  <c r="J198" i="4"/>
  <c r="K198" i="4"/>
  <c r="M198" i="4" l="1"/>
  <c r="N198" i="4" s="1"/>
  <c r="P198" i="4" s="1"/>
  <c r="Q198" i="4"/>
  <c r="H199" i="4" l="1"/>
  <c r="J199" i="4" l="1"/>
  <c r="B199" i="4"/>
  <c r="I199" i="4"/>
  <c r="K199" i="4"/>
  <c r="M199" i="4" l="1"/>
  <c r="N199" i="4" s="1"/>
  <c r="P199" i="4" s="1"/>
  <c r="Q199" i="4"/>
  <c r="H200" i="4" l="1"/>
  <c r="J200" i="4" l="1"/>
  <c r="B200" i="4"/>
  <c r="K200" i="4"/>
  <c r="I200" i="4"/>
  <c r="Q200" i="4" l="1"/>
  <c r="M200" i="4"/>
  <c r="N200" i="4" s="1"/>
  <c r="P200" i="4"/>
  <c r="H201" i="4" l="1"/>
  <c r="K201" i="4" l="1"/>
  <c r="J201" i="4"/>
  <c r="I201" i="4"/>
  <c r="B201" i="4"/>
  <c r="Q201" i="4" l="1"/>
  <c r="M201" i="4"/>
  <c r="N201" i="4" s="1"/>
  <c r="P201" i="4"/>
  <c r="H202" i="4" l="1"/>
  <c r="I202" i="4" l="1"/>
  <c r="B202" i="4"/>
  <c r="J202" i="4"/>
  <c r="K202" i="4"/>
  <c r="M202" i="4" l="1"/>
  <c r="N202" i="4" s="1"/>
  <c r="P202" i="4" s="1"/>
  <c r="Q202" i="4"/>
  <c r="H203" i="4" l="1"/>
  <c r="K203" i="4" l="1"/>
  <c r="J203" i="4"/>
  <c r="B203" i="4"/>
  <c r="I203" i="4"/>
  <c r="Q203" i="4" l="1"/>
  <c r="M203" i="4"/>
  <c r="N203" i="4" s="1"/>
  <c r="P203" i="4" s="1"/>
  <c r="H204" i="4" l="1"/>
  <c r="I204" i="4" l="1"/>
  <c r="B204" i="4"/>
  <c r="K204" i="4"/>
  <c r="J204" i="4"/>
  <c r="M204" i="4" l="1"/>
  <c r="N204" i="4" s="1"/>
  <c r="P204" i="4" s="1"/>
  <c r="Q204" i="4"/>
  <c r="H205" i="4" l="1"/>
  <c r="I205" i="4" l="1"/>
  <c r="K205" i="4"/>
  <c r="J205" i="4"/>
  <c r="B205" i="4"/>
  <c r="Q205" i="4" l="1"/>
  <c r="M205" i="4"/>
  <c r="N205" i="4" s="1"/>
  <c r="P205" i="4"/>
  <c r="H206" i="4" l="1"/>
  <c r="J206" i="4" l="1"/>
  <c r="I206" i="4"/>
  <c r="K206" i="4"/>
  <c r="B206" i="4"/>
  <c r="M206" i="4" l="1"/>
  <c r="N206" i="4" s="1"/>
  <c r="P206" i="4" s="1"/>
  <c r="Q206" i="4"/>
  <c r="H207" i="4" l="1"/>
  <c r="K207" i="4" l="1"/>
  <c r="J207" i="4"/>
  <c r="I207" i="4"/>
  <c r="B207" i="4"/>
  <c r="Q207" i="4" l="1"/>
  <c r="M207" i="4"/>
  <c r="N207" i="4" s="1"/>
  <c r="P207" i="4"/>
  <c r="H208" i="4" l="1"/>
  <c r="B208" i="4" l="1"/>
  <c r="J208" i="4"/>
  <c r="K208" i="4"/>
  <c r="I208" i="4"/>
  <c r="M208" i="4" l="1"/>
  <c r="N208" i="4" s="1"/>
  <c r="P208" i="4" s="1"/>
  <c r="Q208" i="4"/>
  <c r="H209" i="4" l="1"/>
  <c r="J209" i="4" l="1"/>
  <c r="K209" i="4"/>
  <c r="B209" i="4"/>
  <c r="I209" i="4"/>
  <c r="M209" i="4" l="1"/>
  <c r="N209" i="4" s="1"/>
  <c r="P209" i="4" s="1"/>
  <c r="Q209" i="4"/>
  <c r="H210" i="4" l="1"/>
  <c r="J210" i="4" l="1"/>
  <c r="I210" i="4"/>
  <c r="K210" i="4"/>
  <c r="B210" i="4"/>
  <c r="Q210" i="4" l="1"/>
  <c r="M210" i="4"/>
  <c r="N210" i="4" s="1"/>
  <c r="P210" i="4"/>
  <c r="H211" i="4" l="1"/>
  <c r="K211" i="4" l="1"/>
  <c r="B211" i="4"/>
  <c r="J211" i="4"/>
  <c r="I211" i="4"/>
  <c r="Q211" i="4" l="1"/>
  <c r="M211" i="4"/>
  <c r="N211" i="4" s="1"/>
  <c r="P211" i="4" s="1"/>
  <c r="H212" i="4" l="1"/>
  <c r="B212" i="4" l="1"/>
  <c r="J212" i="4"/>
  <c r="K212" i="4"/>
  <c r="I212" i="4"/>
  <c r="M212" i="4" l="1"/>
  <c r="N212" i="4" s="1"/>
  <c r="P212" i="4" s="1"/>
  <c r="H213" i="4" s="1"/>
  <c r="G58" i="5" l="1"/>
  <c r="G29" i="1"/>
  <c r="J213" i="4"/>
  <c r="I213" i="4"/>
  <c r="K213" i="4"/>
  <c r="G37" i="5" s="1"/>
  <c r="I58" i="5" l="1"/>
  <c r="K37" i="5"/>
  <c r="L37" i="5" s="1"/>
  <c r="I29" i="1"/>
  <c r="E58" i="5"/>
  <c r="E29" i="1"/>
</calcChain>
</file>

<file path=xl/sharedStrings.xml><?xml version="1.0" encoding="utf-8"?>
<sst xmlns="http://schemas.openxmlformats.org/spreadsheetml/2006/main" count="722" uniqueCount="492">
  <si>
    <t>Qo</t>
  </si>
  <si>
    <t>m3/s</t>
  </si>
  <si>
    <t>psi</t>
  </si>
  <si>
    <t>Pa</t>
  </si>
  <si>
    <t>m/s</t>
  </si>
  <si>
    <t>m2</t>
  </si>
  <si>
    <t>m</t>
  </si>
  <si>
    <t>in</t>
  </si>
  <si>
    <t>lt</t>
  </si>
  <si>
    <t>dto</t>
  </si>
  <si>
    <t>dti</t>
  </si>
  <si>
    <t>Pa-s</t>
  </si>
  <si>
    <t>kg/m3</t>
  </si>
  <si>
    <t>ID of CT</t>
  </si>
  <si>
    <t>Pp</t>
  </si>
  <si>
    <t>mm</t>
  </si>
  <si>
    <t>Pressure</t>
  </si>
  <si>
    <t>g</t>
  </si>
  <si>
    <t>m/s2</t>
  </si>
  <si>
    <t>L</t>
  </si>
  <si>
    <t>Runiv</t>
  </si>
  <si>
    <t>mwt</t>
  </si>
  <si>
    <t>kg/mol</t>
  </si>
  <si>
    <t>kg/s</t>
  </si>
  <si>
    <t>T</t>
  </si>
  <si>
    <t>K</t>
  </si>
  <si>
    <t>Pchoke</t>
  </si>
  <si>
    <t>i</t>
  </si>
  <si>
    <t>Pi</t>
  </si>
  <si>
    <t>ft</t>
  </si>
  <si>
    <t>k</t>
  </si>
  <si>
    <t>Aa</t>
  </si>
  <si>
    <t>rhorock</t>
  </si>
  <si>
    <t>DP</t>
  </si>
  <si>
    <t>Coiled Tubing/Annulus Circulation Model</t>
  </si>
  <si>
    <t>gas constant</t>
  </si>
  <si>
    <t>xratmin</t>
  </si>
  <si>
    <t>Operating Parameters</t>
  </si>
  <si>
    <t>Z</t>
  </si>
  <si>
    <t>critical pressure</t>
  </si>
  <si>
    <t>critical temperature</t>
  </si>
  <si>
    <t>MPa</t>
  </si>
  <si>
    <t>Tcrit</t>
  </si>
  <si>
    <t>Pcrit</t>
  </si>
  <si>
    <t>mw</t>
  </si>
  <si>
    <t>BB</t>
  </si>
  <si>
    <t>DD</t>
  </si>
  <si>
    <t>Rgas</t>
  </si>
  <si>
    <t>C</t>
  </si>
  <si>
    <t>Annulus Circulation</t>
  </si>
  <si>
    <t>muw</t>
  </si>
  <si>
    <t>CCC</t>
  </si>
  <si>
    <t>Increment</t>
  </si>
  <si>
    <t>N =</t>
  </si>
  <si>
    <t>Temp</t>
  </si>
  <si>
    <t>dT</t>
  </si>
  <si>
    <t>T0</t>
  </si>
  <si>
    <t>Tb</t>
  </si>
  <si>
    <t>Visc Water</t>
  </si>
  <si>
    <t>V</t>
  </si>
  <si>
    <t>References</t>
  </si>
  <si>
    <t>Frank E. Jones, July 2003, http://www.flowcontrolnetwork.com/PastIssues/jul2003/3.asp</t>
  </si>
  <si>
    <t>Ref 2</t>
  </si>
  <si>
    <t>Water Density</t>
  </si>
  <si>
    <t>rhow</t>
  </si>
  <si>
    <t>Water Flow</t>
  </si>
  <si>
    <t>rhowa</t>
  </si>
  <si>
    <t>Surface Pump</t>
  </si>
  <si>
    <t>Qw</t>
  </si>
  <si>
    <t>m^3/s</t>
  </si>
  <si>
    <t>sigmaw</t>
  </si>
  <si>
    <t>dyne/cm</t>
  </si>
  <si>
    <t>N/m</t>
  </si>
  <si>
    <t>dPm</t>
  </si>
  <si>
    <t>SI Units</t>
  </si>
  <si>
    <t>Cuttings density</t>
  </si>
  <si>
    <t>Cuttings size</t>
  </si>
  <si>
    <t>Length of CT</t>
  </si>
  <si>
    <t>bpm</t>
  </si>
  <si>
    <t>fpm</t>
  </si>
  <si>
    <t>inch</t>
  </si>
  <si>
    <t>Am</t>
  </si>
  <si>
    <t>vm</t>
  </si>
  <si>
    <t>US Units</t>
  </si>
  <si>
    <t>lpm</t>
  </si>
  <si>
    <t>F</t>
  </si>
  <si>
    <t>Metric</t>
  </si>
  <si>
    <t>Imperial</t>
  </si>
  <si>
    <t>dmo</t>
  </si>
  <si>
    <t>Pm</t>
  </si>
  <si>
    <t>Ps</t>
  </si>
  <si>
    <t>wt%</t>
  </si>
  <si>
    <t>Henry's Law Solubility @ 298.15K</t>
  </si>
  <si>
    <t>mol/kg-bar</t>
  </si>
  <si>
    <t>dci</t>
  </si>
  <si>
    <t>Make no changes on this sheet</t>
  </si>
  <si>
    <t>ID of Casing</t>
  </si>
  <si>
    <t>Velocity in motor</t>
  </si>
  <si>
    <t>Surface Choke</t>
  </si>
  <si>
    <t xml:space="preserve"> SI  </t>
  </si>
  <si>
    <t>rhowb</t>
  </si>
  <si>
    <t>Flow</t>
  </si>
  <si>
    <t>Velocity</t>
  </si>
  <si>
    <t>TFA</t>
  </si>
  <si>
    <t>gpm</t>
  </si>
  <si>
    <t>3-3/4 7:8 2.3 stage</t>
  </si>
  <si>
    <t>phi</t>
  </si>
  <si>
    <t>3-3/4 5:5 5 stage</t>
  </si>
  <si>
    <t>3-3/4 4:5 3.5 stage</t>
  </si>
  <si>
    <t>3-3/8" 4:5 lobe, 5 stage motor</t>
  </si>
  <si>
    <t>2-7/8, 7:8, 2.5 stage</t>
  </si>
  <si>
    <t>2-7/8, 5:6, 3.3 stage</t>
  </si>
  <si>
    <t>WFD CTD 2-7/8, 7:8 3.6 stage</t>
  </si>
  <si>
    <t>"fluid"</t>
  </si>
  <si>
    <t>"gas</t>
  </si>
  <si>
    <t>dP</t>
  </si>
  <si>
    <t>dP'</t>
  </si>
  <si>
    <t>(estimated)</t>
  </si>
  <si>
    <t>Tstd</t>
  </si>
  <si>
    <t>M1-V</t>
  </si>
  <si>
    <t>Q''</t>
  </si>
  <si>
    <t>deq</t>
  </si>
  <si>
    <t>deq'</t>
  </si>
  <si>
    <t>v</t>
  </si>
  <si>
    <t>Area</t>
  </si>
  <si>
    <t>3-1/8,7:8, 4 stage</t>
  </si>
  <si>
    <t>Motor Hydraulic Data</t>
  </si>
  <si>
    <t>Equivalent Diameter</t>
  </si>
  <si>
    <t>AD</t>
  </si>
  <si>
    <t>nn</t>
  </si>
  <si>
    <t>dbit</t>
  </si>
  <si>
    <t>dPb</t>
  </si>
  <si>
    <t>Metric Units</t>
  </si>
  <si>
    <t>Turbulent Press Drop</t>
  </si>
  <si>
    <t>Increment Static Head</t>
  </si>
  <si>
    <t>Assumptions</t>
  </si>
  <si>
    <t>Motor has no bypass port (through rotor).</t>
  </si>
  <si>
    <t>km</t>
  </si>
  <si>
    <t>Fluid temp in CT and annulus equals ground temperature at depths.</t>
  </si>
  <si>
    <t>rhowp</t>
  </si>
  <si>
    <t>rhows</t>
  </si>
  <si>
    <t>rhowc</t>
  </si>
  <si>
    <t>downhole ambient</t>
  </si>
  <si>
    <t>pump out</t>
  </si>
  <si>
    <t>bit in</t>
  </si>
  <si>
    <t>choke in</t>
  </si>
  <si>
    <t>rhowo</t>
  </si>
  <si>
    <t>std temp, press</t>
  </si>
  <si>
    <t>Temperature</t>
  </si>
  <si>
    <t>Liquid Densities</t>
  </si>
  <si>
    <t>Surface of earth</t>
  </si>
  <si>
    <t>Standard</t>
  </si>
  <si>
    <t>Pstd</t>
  </si>
  <si>
    <t>Universal Constants</t>
  </si>
  <si>
    <t>System Constants</t>
  </si>
  <si>
    <t>Acceleration of gravity</t>
  </si>
  <si>
    <t>Water</t>
  </si>
  <si>
    <t>Nitrogen</t>
  </si>
  <si>
    <t>Bottomhole</t>
  </si>
  <si>
    <t>khs</t>
  </si>
  <si>
    <t>Cdw</t>
  </si>
  <si>
    <t>Mass Flow Rates</t>
  </si>
  <si>
    <t>Density liquid</t>
  </si>
  <si>
    <t>dPbha</t>
  </si>
  <si>
    <t>rhowm</t>
  </si>
  <si>
    <t>mc</t>
  </si>
  <si>
    <t>annulus (to choke)</t>
  </si>
  <si>
    <t>CT (from pump)</t>
  </si>
  <si>
    <t>Liquid flow thru</t>
  </si>
  <si>
    <t>bit</t>
  </si>
  <si>
    <t>Pressures</t>
  </si>
  <si>
    <t>Pb</t>
  </si>
  <si>
    <t>motor in</t>
  </si>
  <si>
    <t>flost</t>
  </si>
  <si>
    <t>Flow Restrictions</t>
  </si>
  <si>
    <t>Ab</t>
  </si>
  <si>
    <t>Bit orifice discharge coefficient</t>
  </si>
  <si>
    <t>Cdb</t>
  </si>
  <si>
    <t>Liquid outlet discharge coefficient</t>
  </si>
  <si>
    <t>BHA Constants</t>
  </si>
  <si>
    <t>No-load Press Drop @ Flow</t>
  </si>
  <si>
    <t>in2</t>
  </si>
  <si>
    <t>Check pressure drop thru motor</t>
  </si>
  <si>
    <t>Check Motor Pressure Drop</t>
  </si>
  <si>
    <t>ml</t>
  </si>
  <si>
    <t>lost to formation</t>
  </si>
  <si>
    <t>Checks</t>
  </si>
  <si>
    <t>Bottomhole temperature</t>
  </si>
  <si>
    <t>1-vs/va</t>
  </si>
  <si>
    <t>xrat</t>
  </si>
  <si>
    <t>Error</t>
  </si>
  <si>
    <t>Ppm</t>
  </si>
  <si>
    <t>Kw</t>
  </si>
  <si>
    <t>standard is 0.15 C</t>
  </si>
  <si>
    <t>standard is 14.7 psi</t>
  </si>
  <si>
    <t>bulk modulus</t>
  </si>
  <si>
    <t>surface tension</t>
  </si>
  <si>
    <t>heat capacity</t>
  </si>
  <si>
    <t>heat capacity ratio</t>
  </si>
  <si>
    <t>virial coefficient</t>
  </si>
  <si>
    <t>molecular weight</t>
  </si>
  <si>
    <t>Universal</t>
  </si>
  <si>
    <t>J/kg-K</t>
  </si>
  <si>
    <t>cpw</t>
  </si>
  <si>
    <t>temperature</t>
  </si>
  <si>
    <t>pressure</t>
  </si>
  <si>
    <t>cp</t>
  </si>
  <si>
    <t>standard is 1.405</t>
  </si>
  <si>
    <t>motor (unloaded)</t>
  </si>
  <si>
    <t>dPm0</t>
  </si>
  <si>
    <t>String and Well Data</t>
  </si>
  <si>
    <t>Motor Gas Separator Calculations</t>
  </si>
  <si>
    <r>
      <t xml:space="preserve">Enter </t>
    </r>
    <r>
      <rPr>
        <sz val="10"/>
        <color indexed="12"/>
        <rFont val="Arial"/>
        <family val="2"/>
      </rPr>
      <t>blue</t>
    </r>
    <r>
      <rPr>
        <sz val="10"/>
        <rFont val="Arial"/>
        <family val="2"/>
      </rPr>
      <t xml:space="preserve"> values only</t>
    </r>
  </si>
  <si>
    <t>dv</t>
  </si>
  <si>
    <t>BHA circ valve</t>
  </si>
  <si>
    <t>dPv</t>
  </si>
  <si>
    <t>Area BHA circ valve min passage</t>
  </si>
  <si>
    <t>Av</t>
  </si>
  <si>
    <t>Pv</t>
  </si>
  <si>
    <t>BHA in</t>
  </si>
  <si>
    <t>M1V</t>
  </si>
  <si>
    <t>X-Treme</t>
  </si>
  <si>
    <t>BOT 1.69</t>
  </si>
  <si>
    <t>1-11/16, 5:6, 5 stage</t>
  </si>
  <si>
    <t>Eq Dia</t>
  </si>
  <si>
    <t>Baker 2.88</t>
  </si>
  <si>
    <t>Drilling</t>
  </si>
  <si>
    <t>Total</t>
  </si>
  <si>
    <t>Operating Diff Press</t>
  </si>
  <si>
    <t>Drilling dP</t>
  </si>
  <si>
    <t>BOT 2.38</t>
  </si>
  <si>
    <t>Qmax</t>
  </si>
  <si>
    <t>Qmin</t>
  </si>
  <si>
    <t>Qmax'</t>
  </si>
  <si>
    <t>Qmin'</t>
  </si>
  <si>
    <t>Max Flow</t>
  </si>
  <si>
    <t>Unlock password is "Tritan"</t>
  </si>
  <si>
    <t>modified 9-15-09 from rhoma to rhowa</t>
  </si>
  <si>
    <t>Measured Depth</t>
  </si>
  <si>
    <t>TVD</t>
  </si>
  <si>
    <t>JetRotor Hydraulic Data</t>
  </si>
  <si>
    <t>Nozzle Head Drop-Down List</t>
  </si>
  <si>
    <t>HeadList</t>
  </si>
  <si>
    <t>BHA Data</t>
  </si>
  <si>
    <t>Bit nozzle diameter</t>
  </si>
  <si>
    <t>Number of bit nozzles</t>
  </si>
  <si>
    <t>dnoz</t>
  </si>
  <si>
    <t>Motor Data</t>
  </si>
  <si>
    <t>red is est no-load press</t>
  </si>
  <si>
    <t>&lt;-----------------Hide columns B-F-----------------------------&gt;</t>
  </si>
  <si>
    <t>motor (drilling torque)</t>
  </si>
  <si>
    <t>qmjr</t>
  </si>
  <si>
    <t>Max flow</t>
  </si>
  <si>
    <t>Total Vertical Depth (TVD)</t>
  </si>
  <si>
    <t>Baker 2.88 + HF Agitator (600 psid)</t>
  </si>
  <si>
    <t>M1-V+HF-AG</t>
  </si>
  <si>
    <t>AD+HF-AG</t>
  </si>
  <si>
    <t>X+ HFAgitator</t>
  </si>
  <si>
    <t>MotorList</t>
  </si>
  <si>
    <t>psig</t>
  </si>
  <si>
    <t>kPa</t>
  </si>
  <si>
    <t>Critical flow va/vc</t>
  </si>
  <si>
    <t>Re =3000</t>
  </si>
  <si>
    <t>vc</t>
  </si>
  <si>
    <t>psia</t>
  </si>
  <si>
    <t>MD</t>
  </si>
  <si>
    <t>Transport ratio for 1-mm sand</t>
  </si>
  <si>
    <t>Casing ID</t>
  </si>
  <si>
    <t>Annulus</t>
  </si>
  <si>
    <t>dhor</t>
  </si>
  <si>
    <t>dcase</t>
  </si>
  <si>
    <t xml:space="preserve"> Vertical cuttings transport ratio (1-mm sand)</t>
  </si>
  <si>
    <t>Measured Depth (MD)</t>
  </si>
  <si>
    <t>Horizontal ID (cased or open hole)</t>
  </si>
  <si>
    <t>(vert)</t>
  </si>
  <si>
    <t>Hydro- static Head</t>
  </si>
  <si>
    <t>BHA Pressure Drops</t>
  </si>
  <si>
    <t>HydroPull</t>
  </si>
  <si>
    <t>dPhp</t>
  </si>
  <si>
    <t>ON BOTTOM</t>
  </si>
  <si>
    <t>OFF BOTTOM</t>
  </si>
  <si>
    <t>OnOffList</t>
  </si>
  <si>
    <t>in^3/s</t>
  </si>
  <si>
    <t>in^2</t>
  </si>
  <si>
    <t>Density</t>
  </si>
  <si>
    <t>Orifice Dia</t>
  </si>
  <si>
    <t>Orifice Area</t>
  </si>
  <si>
    <t>lb/in^3</t>
  </si>
  <si>
    <t>Equivalent Orifice</t>
  </si>
  <si>
    <t>Press Drop</t>
  </si>
  <si>
    <t>from Numerical Models</t>
  </si>
  <si>
    <t>@ 1000 psi BHCP</t>
  </si>
  <si>
    <t>Cbrine</t>
  </si>
  <si>
    <t>Total Flow thru HP</t>
  </si>
  <si>
    <t>Don't forget to save a protected copy in: \Technical\Tempress Tools Marketing\Catalog, Brochures, &amp; Videos\CD Contents Trican and CD Contents US-Baker</t>
  </si>
  <si>
    <t>To unhide, Home, Format, Visibility, Hide-Unhide, Unhide Rows</t>
  </si>
  <si>
    <t>1.69 JR Milling - Lg</t>
  </si>
  <si>
    <t>1.69 JR Milling - Sm</t>
  </si>
  <si>
    <t>1.69 JR Stimulating - XL</t>
  </si>
  <si>
    <t>1.69 JR Stimulating - Lg</t>
  </si>
  <si>
    <t>1.69 JR Stimulating - Med</t>
  </si>
  <si>
    <t>2.06 JR Mill/Stim - HF</t>
  </si>
  <si>
    <t>2.12 JR Mill/Stim - HiFlow</t>
  </si>
  <si>
    <t>2.12 JR Mill/Stim - LoFlow</t>
  </si>
  <si>
    <t>2.06 JR Milling - SD Sm</t>
  </si>
  <si>
    <t>2.06 JR Milling - SD Lg</t>
  </si>
  <si>
    <t>HPList</t>
  </si>
  <si>
    <t>BOT 2.12</t>
  </si>
  <si>
    <t>HPeqOrifice</t>
  </si>
  <si>
    <t>Well is vertical to TVD then horizontal to L (MD).</t>
  </si>
  <si>
    <t>Cd=.85</t>
  </si>
  <si>
    <t>Kfr</t>
  </si>
  <si>
    <t>% reduction</t>
  </si>
  <si>
    <t>Ahp</t>
  </si>
  <si>
    <t>HydroPull equivalent orifice area</t>
  </si>
  <si>
    <t>equiv dia</t>
  </si>
  <si>
    <t>HydroPull Data</t>
  </si>
  <si>
    <t>blue text</t>
  </si>
  <si>
    <t>Enter</t>
  </si>
  <si>
    <t>data only.</t>
  </si>
  <si>
    <t>assuming all gas separated out</t>
  </si>
  <si>
    <t>Pump outlet (gas &amp; liquid)</t>
  </si>
  <si>
    <t>BHA inlet</t>
  </si>
  <si>
    <t>Motor inlet</t>
  </si>
  <si>
    <t>Bit inlet</t>
  </si>
  <si>
    <t>Downhole ambient</t>
  </si>
  <si>
    <t>Motor equiv flow area</t>
  </si>
  <si>
    <t xml:space="preserve"> Bit orifices equivalent area</t>
  </si>
  <si>
    <t>motor total</t>
  </si>
  <si>
    <t>Temperature gradient</t>
  </si>
  <si>
    <r>
      <rPr>
        <sz val="10"/>
        <rFont val="Calibri"/>
        <family val="2"/>
      </rPr>
      <t>°</t>
    </r>
    <r>
      <rPr>
        <sz val="10"/>
        <rFont val="Arial"/>
        <family val="2"/>
      </rPr>
      <t>F/1000 ft</t>
    </r>
  </si>
  <si>
    <r>
      <rPr>
        <sz val="10"/>
        <rFont val="Calibri"/>
        <family val="2"/>
      </rPr>
      <t>°</t>
    </r>
    <r>
      <rPr>
        <sz val="10"/>
        <rFont val="Arial"/>
        <family val="2"/>
      </rPr>
      <t>C/km</t>
    </r>
  </si>
  <si>
    <t>JJK 10 Mar 2008 added 20% turbulent pressure for coil on reel</t>
  </si>
  <si>
    <t>JJK 11 Nov 2009 changed holdup calc to Hasan and Kabir, from Brill and Mukherjee p 54-55,65</t>
  </si>
  <si>
    <t>Brine Density</t>
  </si>
  <si>
    <t>a2</t>
  </si>
  <si>
    <t>a3</t>
  </si>
  <si>
    <t>Sp Gr</t>
  </si>
  <si>
    <t>lb/ft^3</t>
  </si>
  <si>
    <t>Water (std)</t>
  </si>
  <si>
    <t>http://en.wikipedia.org/wiki/Brine</t>
  </si>
  <si>
    <t>from:</t>
  </si>
  <si>
    <t>% wt</t>
  </si>
  <si>
    <t>Concentration</t>
  </si>
  <si>
    <t>http://www.osti.gov/bridge/servlets/purl/7111583-l9lvkU/native/7111583.pdf</t>
  </si>
  <si>
    <t>Pa (1 atm)</t>
  </si>
  <si>
    <r>
      <rPr>
        <sz val="10"/>
        <rFont val="Calibri"/>
        <family val="2"/>
      </rPr>
      <t>°</t>
    </r>
    <r>
      <rPr>
        <sz val="10"/>
        <rFont val="Arial"/>
        <family val="2"/>
      </rPr>
      <t>F</t>
    </r>
  </si>
  <si>
    <r>
      <rPr>
        <sz val="10"/>
        <rFont val="Calibri"/>
        <family val="2"/>
      </rPr>
      <t>°</t>
    </r>
    <r>
      <rPr>
        <sz val="10"/>
        <rFont val="Arial"/>
        <family val="2"/>
      </rPr>
      <t>C</t>
    </r>
  </si>
  <si>
    <r>
      <rPr>
        <sz val="10"/>
        <rFont val="Calibri"/>
        <family val="2"/>
      </rPr>
      <t>°</t>
    </r>
    <r>
      <rPr>
        <sz val="10"/>
        <rFont val="Arial"/>
        <family val="2"/>
      </rPr>
      <t>K/m</t>
    </r>
  </si>
  <si>
    <r>
      <rPr>
        <sz val="10"/>
        <rFont val="Calibri"/>
        <family val="2"/>
      </rPr>
      <t>°</t>
    </r>
    <r>
      <rPr>
        <sz val="10"/>
        <rFont val="Arial"/>
        <family val="2"/>
      </rPr>
      <t>K</t>
    </r>
  </si>
  <si>
    <t>Circulation Model Results</t>
  </si>
  <si>
    <t>BrineList</t>
  </si>
  <si>
    <t>BrineTable</t>
  </si>
  <si>
    <t>(1+Cbrine) is close enough since water density is already adjusted for temp and pressure</t>
  </si>
  <si>
    <t>KT Conclusion:</t>
  </si>
  <si>
    <t>1.69 / 2.12</t>
  </si>
  <si>
    <t>Hide all rows to end of workbook:                                                                            (highlight top row to hide, use ctrl+shift+down arrow twice)</t>
  </si>
  <si>
    <t>HPadv</t>
  </si>
  <si>
    <t>fpm/gpm</t>
  </si>
  <si>
    <t>ft/min</t>
  </si>
  <si>
    <t>m/min</t>
  </si>
  <si>
    <t>from test data</t>
  </si>
  <si>
    <t>match 2.88 test data w/.582 x .060 poppet seat</t>
  </si>
  <si>
    <t>match 1.69 test data w/.450 poppet seat &amp; .035 USR port</t>
  </si>
  <si>
    <t>HP inlet</t>
  </si>
  <si>
    <t>va</t>
  </si>
  <si>
    <t>Fluid velocity</t>
  </si>
  <si>
    <t>Check both "ON BOTTOM" and "OFF BOTTOM" results.</t>
  </si>
  <si>
    <t>Other Units</t>
  </si>
  <si>
    <t>Fluid velocity in horizontal</t>
  </si>
  <si>
    <t>vah</t>
  </si>
  <si>
    <t>CT Circulation</t>
  </si>
  <si>
    <t>|</t>
  </si>
  <si>
    <t>BHA--&gt;</t>
  </si>
  <si>
    <t>1.2 m/s (236 fpm) for hole cleaning in horizontal section SPE91958 (we use 1.0 m/s, 200 fpm)</t>
  </si>
  <si>
    <t>Surge and swab from coil axial movement are not considered.</t>
  </si>
  <si>
    <t>Water Hammer Pulse in Annulus</t>
  </si>
  <si>
    <t>2.88 HydroBlast Nozzle</t>
  </si>
  <si>
    <t>1.69 HydroBlast Nozzle</t>
  </si>
  <si>
    <t>Maximum flow</t>
  </si>
  <si>
    <t># Ports</t>
  </si>
  <si>
    <t>Dia</t>
  </si>
  <si>
    <t>Cd</t>
  </si>
  <si>
    <t>Observed</t>
  </si>
  <si>
    <t>Estimated</t>
  </si>
  <si>
    <t>2,88 Hi-Flo Nozzle</t>
  </si>
  <si>
    <t>2.12 Hi-Flo Nozzle</t>
  </si>
  <si>
    <t>BOT M1V PDM</t>
  </si>
  <si>
    <t>BOT X-treme PDM</t>
  </si>
  <si>
    <t>dhp</t>
  </si>
  <si>
    <t>N</t>
  </si>
  <si>
    <t>lbf</t>
  </si>
  <si>
    <t>Water Hammer Pull Force</t>
  </si>
  <si>
    <t>Hydraulic Pull Rate</t>
  </si>
  <si>
    <t>Pump pressure</t>
  </si>
  <si>
    <t>Fluid Pump Flow Rate</t>
  </si>
  <si>
    <t>Friction Reducer Effect</t>
  </si>
  <si>
    <t>Brine Concentration</t>
  </si>
  <si>
    <t>Wellhead Pressure (gage)</t>
  </si>
  <si>
    <t>Off-Bottom (Tripping) or On-Bottom (Milling)</t>
  </si>
  <si>
    <t>Total BHA Pressure Drop</t>
  </si>
  <si>
    <t>Well Designation</t>
  </si>
  <si>
    <t>Coiled Tubing OD</t>
  </si>
  <si>
    <t>CT Wall</t>
  </si>
  <si>
    <t>Average Surface Temperature</t>
  </si>
  <si>
    <t>Estimated Fluid Lost to Formation</t>
  </si>
  <si>
    <t>Minimum Upstream BHA Flow Passage</t>
  </si>
  <si>
    <t>Motorhead, Valves, Etc.</t>
  </si>
  <si>
    <t>Created 28 Sept 2011 JK</t>
  </si>
  <si>
    <t>Data</t>
  </si>
  <si>
    <t>fc</t>
  </si>
  <si>
    <t>closed fraction, FROM TEST DATA</t>
  </si>
  <si>
    <t>Max Fluid Velocity Horizontal</t>
  </si>
  <si>
    <t>200 fpm Recommended</t>
  </si>
  <si>
    <t>call Tempress at 425.251.8120 for assistance</t>
  </si>
  <si>
    <t>Bottomhole Circulating Pressure (BHCP)</t>
  </si>
  <si>
    <t>Hi-Flow HydroBlast</t>
  </si>
  <si>
    <t>Med-Flow HydroBlast</t>
  </si>
  <si>
    <t>Low-Flow HydroBlast</t>
  </si>
  <si>
    <t>HydroPull or HydroBlast</t>
  </si>
  <si>
    <t>Coil Lockup Analysis</t>
  </si>
  <si>
    <t>E</t>
  </si>
  <si>
    <t>Coiled Tubing Properties</t>
  </si>
  <si>
    <t>Steel Modulus of Elasticity</t>
  </si>
  <si>
    <t>rhosteel</t>
  </si>
  <si>
    <t>CT moment of inertia</t>
  </si>
  <si>
    <t>Ict</t>
  </si>
  <si>
    <t>=PI()/64*(d^4-id^4)</t>
  </si>
  <si>
    <t>m^-4</t>
  </si>
  <si>
    <t>weight/length</t>
  </si>
  <si>
    <t>We</t>
  </si>
  <si>
    <t>CT section area</t>
  </si>
  <si>
    <t>Act</t>
  </si>
  <si>
    <t>Buckling onset</t>
  </si>
  <si>
    <t>Helical buckling</t>
  </si>
  <si>
    <t>Friction</t>
  </si>
  <si>
    <t>murock</t>
  </si>
  <si>
    <t>Minimum push force</t>
  </si>
  <si>
    <t>HP pull force</t>
  </si>
  <si>
    <t>Net Force</t>
  </si>
  <si>
    <t>Helical buckling factor</t>
  </si>
  <si>
    <t>Khb</t>
  </si>
  <si>
    <t>extra H reach</t>
  </si>
  <si>
    <t>=2sqrt(2EIWe/r) - CTES Tubing Forces Model.pdf</t>
  </si>
  <si>
    <t>Horizontal Buckling length w/o HP</t>
  </si>
  <si>
    <t>Horizontal buckling length w/HP</t>
  </si>
  <si>
    <t>Lockup MD without HP</t>
  </si>
  <si>
    <t>Lockup MD w/HydroPull</t>
  </si>
  <si>
    <t xml:space="preserve">Coil Lockup Depth without HydroPull™ Tool </t>
  </si>
  <si>
    <t xml:space="preserve">Coil Lockup Depth with HydroPull™ Tool </t>
  </si>
  <si>
    <r>
      <t>HydroPull</t>
    </r>
    <r>
      <rPr>
        <b/>
        <sz val="14"/>
        <rFont val="Calibri"/>
        <family val="2"/>
      </rPr>
      <t>™</t>
    </r>
    <r>
      <rPr>
        <b/>
        <i/>
        <sz val="14"/>
        <rFont val="Arial"/>
        <family val="2"/>
      </rPr>
      <t xml:space="preserve"> &amp; HydroBlast</t>
    </r>
    <r>
      <rPr>
        <b/>
        <i/>
        <sz val="11"/>
        <rFont val="Arial"/>
        <family val="2"/>
      </rPr>
      <t>™</t>
    </r>
    <r>
      <rPr>
        <b/>
        <i/>
        <sz val="14"/>
        <rFont val="Arial"/>
        <family val="2"/>
      </rPr>
      <t xml:space="preserve"> Performance</t>
    </r>
  </si>
  <si>
    <t>without HP</t>
  </si>
  <si>
    <t>with HP</t>
  </si>
  <si>
    <t>Chart data</t>
  </si>
  <si>
    <t>Notes:</t>
  </si>
  <si>
    <t xml:space="preserve">Added extended reach calculation </t>
  </si>
  <si>
    <t>JK</t>
  </si>
  <si>
    <t>depth</t>
  </si>
  <si>
    <t>offset</t>
  </si>
  <si>
    <t>XXX-YYY</t>
  </si>
  <si>
    <t>Select HydroPull™ Tool Diameter</t>
  </si>
  <si>
    <t>Select Motor or HydroBlast™ Nozzle</t>
  </si>
  <si>
    <t>High</t>
  </si>
  <si>
    <t>Low</t>
  </si>
  <si>
    <t>impactlist</t>
  </si>
  <si>
    <t xml:space="preserve">High, Standard or Low Impact HydroPull™ </t>
  </si>
  <si>
    <t>Ifactor</t>
  </si>
  <si>
    <t>The model is in the form of a spreadsheet and requires Excel 2003 or later to run.  A screen shot is provided in Figure 3. The model assumes a simplified well profile consisting of a vertical section and a horizontal section.  To use the software:</t>
  </si>
  <si>
    <t>The model evaluates pressure in the coil, across the BHA and in the well annulus and displays these pressures.  Calculated pump pressure and BHCP are also displayed.</t>
  </si>
  <si>
    <t>1.    The model is a read-only file.  In order to save the well profile for future reference, enter a well description and save with a different file name.</t>
  </si>
  <si>
    <t xml:space="preserve">2.    Enter the well depth, coil string, casing and BHA data.  Data can only be entered in the white boxes with blue text.  </t>
  </si>
  <si>
    <t>3.    Select the tool diameter HydroPull impact configuration and motor or HydroBlast nozzle configuration from the drop-down lists.</t>
  </si>
  <si>
    <t xml:space="preserve">4.    Enter the fluid pump rate and fluit properties.  If friction reducer is used estimate the effect on pressure loss though the coil.  </t>
  </si>
  <si>
    <t>5.    Enter the brine or acid weight concentration.  If a lightweight fluid is used enter a negative number to account for reduced density.</t>
  </si>
  <si>
    <t>6.    Select “ON BOTTOM” to calculate pressure while milling or “OFF BOTTOM” to calculate pressures while tripping.</t>
  </si>
  <si>
    <t xml:space="preserve">1.    The vertical cuttings transport ratio should be greater than 50% for good transport of 1-mm sand in the vertical section of the annulus.  </t>
  </si>
  <si>
    <t>2.    The fluid velocity in the horizontal section of the well should be greater than 200 fpm.  Because the tool pulses the flow the instantaneous velocity in the annulus is higher than the average flow velocity.  This higher number is displayed.</t>
  </si>
  <si>
    <t>3.    The water hammer pressure pulse in the annulus is a suction pulse.  The tool generates high amplitude suction pulses for cleaning screens and perforations.</t>
  </si>
  <si>
    <t>4.    The water hammer pull force and duration are used to calculate the rate at which the HydroPull tool will pull coil into the well.  If higher feed rates are used the coil may lock up above the estimated lock up depth.</t>
  </si>
  <si>
    <t>5.    The lockup depth is estimated from the helical buckling equation assuming a friction factor of 0.24 between the coil and casing and a straight, horizontal wellbore.  Lockup is assumed to occur when there is less than 500 lbf force transmitted to the BHA.</t>
  </si>
  <si>
    <t xml:space="preserve">6.    The extended reach provided by the HydroPull tool is estimated from the hydraulic pull force, the coiled tubing weight and the friction factor.  Numerous case histories have verified the extended reach provided by the tool.  The extended reach is also displayed graphically as compared to the reach estimated without the tool in operation.  Increasing the flow rate will extend the coil reach.  </t>
  </si>
  <si>
    <t>BOT 3-1/2" 7/8 5-stage</t>
  </si>
  <si>
    <t xml:space="preserve">BOT 4-3/4 </t>
  </si>
  <si>
    <t>M1X</t>
  </si>
  <si>
    <t>BOT 3-3/4 M1XL</t>
  </si>
  <si>
    <t>BOT 6-1/2</t>
  </si>
  <si>
    <t>BOT 3-1/2" Xtreme</t>
  </si>
  <si>
    <t>6-3/4 X-Treme</t>
  </si>
  <si>
    <t>Pfactor</t>
  </si>
  <si>
    <t>Friction reduction</t>
  </si>
  <si>
    <t>HydroPull Friction Reduction Factor</t>
  </si>
  <si>
    <t>fmu</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</si>
</sst>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00"/>
    <numFmt numFmtId="165" formatCode="0.0"/>
    <numFmt numFmtId="166" formatCode="0.0000000"/>
    <numFmt numFmtId="167" formatCode="0.000000"/>
    <numFmt numFmtId="168" formatCode="0.00000"/>
    <numFmt numFmtId="169" formatCode="0.0000"/>
    <numFmt numFmtId="170" formatCode="0.0%"/>
    <numFmt numFmtId="171" formatCode="0.00.E+00"/>
    <numFmt numFmtId="172" formatCode="0.0E+00"/>
    <numFmt numFmtId="173" formatCode="0;_ps\i"/>
    <numFmt numFmtId="174" formatCode="_(* #,##0_);_(* \(#,##0\);_(* &quot;-&quot;??_);_(@_)"/>
  </numFmts>
  <fonts count="40" x14ac:knownFonts="1">
    <font>
      <sz val="10"/>
      <name val="Arial"/>
    </font>
    <font>
      <sz val="10"/>
      <name val="Arial"/>
      <family val="2"/>
    </font>
    <font>
      <sz val="10"/>
      <name val="Arial"/>
      <family val="2"/>
    </font>
    <font>
      <b/>
      <sz val="10"/>
      <name val="Arial"/>
      <family val="2"/>
    </font>
    <font>
      <i/>
      <sz val="10"/>
      <name val="Arial"/>
      <family val="2"/>
    </font>
    <font>
      <b/>
      <sz val="12"/>
      <name val="Arial"/>
      <family val="2"/>
    </font>
    <font>
      <sz val="10"/>
      <color indexed="14"/>
      <name val="Arial"/>
      <family val="2"/>
    </font>
    <font>
      <sz val="10"/>
      <color indexed="60"/>
      <name val="Arial"/>
      <family val="2"/>
    </font>
    <font>
      <b/>
      <sz val="14"/>
      <name val="Arial"/>
      <family val="2"/>
    </font>
    <font>
      <b/>
      <u/>
      <sz val="10"/>
      <name val="Arial"/>
      <family val="2"/>
    </font>
    <font>
      <sz val="10"/>
      <color indexed="56"/>
      <name val="Arial"/>
      <family val="2"/>
    </font>
    <font>
      <sz val="10"/>
      <color indexed="10"/>
      <name val="Arial"/>
      <family val="2"/>
    </font>
    <font>
      <sz val="10"/>
      <color indexed="12"/>
      <name val="Arial"/>
      <family val="2"/>
    </font>
    <font>
      <b/>
      <sz val="12"/>
      <color indexed="10"/>
      <name val="Arial"/>
      <family val="2"/>
    </font>
    <font>
      <sz val="10"/>
      <color indexed="12"/>
      <name val="Arial"/>
      <family val="2"/>
    </font>
    <font>
      <b/>
      <i/>
      <u/>
      <sz val="10"/>
      <name val="Arial"/>
      <family val="2"/>
    </font>
    <font>
      <b/>
      <i/>
      <sz val="14"/>
      <name val="Arial"/>
      <family val="2"/>
    </font>
    <font>
      <sz val="10"/>
      <color indexed="16"/>
      <name val="Arial"/>
      <family val="2"/>
    </font>
    <font>
      <b/>
      <i/>
      <sz val="10"/>
      <name val="Arial"/>
      <family val="2"/>
    </font>
    <font>
      <sz val="10"/>
      <color indexed="10"/>
      <name val="Arial"/>
      <family val="2"/>
    </font>
    <font>
      <b/>
      <sz val="10"/>
      <color indexed="58"/>
      <name val="Arial"/>
      <family val="2"/>
    </font>
    <font>
      <sz val="10"/>
      <color indexed="58"/>
      <name val="Arial"/>
      <family val="2"/>
    </font>
    <font>
      <sz val="10"/>
      <name val="Arial"/>
      <family val="2"/>
    </font>
    <font>
      <b/>
      <i/>
      <sz val="10"/>
      <color indexed="30"/>
      <name val="Arial"/>
      <family val="2"/>
    </font>
    <font>
      <b/>
      <sz val="10"/>
      <color indexed="62"/>
      <name val="Arial"/>
      <family val="2"/>
    </font>
    <font>
      <sz val="8"/>
      <name val="Arial"/>
      <family val="2"/>
    </font>
    <font>
      <u/>
      <sz val="10"/>
      <name val="Arial"/>
      <family val="2"/>
    </font>
    <font>
      <sz val="10"/>
      <name val="Calibri"/>
      <family val="2"/>
    </font>
    <font>
      <b/>
      <sz val="14"/>
      <name val="Calibri"/>
      <family val="2"/>
    </font>
    <font>
      <b/>
      <i/>
      <sz val="11"/>
      <name val="Arial"/>
      <family val="2"/>
    </font>
    <font>
      <sz val="12"/>
      <name val="Arial"/>
      <family val="2"/>
    </font>
    <font>
      <sz val="11"/>
      <color theme="1"/>
      <name val="Calibri"/>
      <family val="2"/>
      <scheme val="minor"/>
    </font>
    <font>
      <u/>
      <sz val="10"/>
      <color theme="10"/>
      <name val="Arial"/>
      <family val="2"/>
    </font>
    <font>
      <sz val="11"/>
      <color rgb="FF9C6500"/>
      <name val="Calibri"/>
      <family val="2"/>
      <scheme val="minor"/>
    </font>
    <font>
      <sz val="10"/>
      <color rgb="FF0070C0"/>
      <name val="Arial"/>
      <family val="2"/>
    </font>
    <font>
      <b/>
      <sz val="10"/>
      <color rgb="FFFF0000"/>
      <name val="Arial"/>
      <family val="2"/>
    </font>
    <font>
      <sz val="10"/>
      <color rgb="FFFF0000"/>
      <name val="Arial"/>
      <family val="2"/>
    </font>
    <font>
      <sz val="10"/>
      <color theme="5" tint="-0.499984740745262"/>
      <name val="Arial"/>
      <family val="2"/>
    </font>
    <font>
      <i/>
      <sz val="11"/>
      <color theme="1"/>
      <name val="Calibri"/>
      <family val="2"/>
      <scheme val="minor"/>
    </font>
    <font>
      <i/>
      <sz val="10"/>
      <color theme="8" tint="-0.499984740745262"/>
      <name val="Arial"/>
      <family val="2"/>
    </font>
  </fonts>
  <fills count="14">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7">
    <xf numFmtId="0" fontId="0" fillId="0" borderId="0"/>
    <xf numFmtId="43" fontId="22" fillId="0" borderId="0" applyFont="0" applyFill="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31" fillId="0" borderId="0"/>
    <xf numFmtId="9" fontId="1" fillId="0" borderId="0" applyFont="0" applyFill="0" applyBorder="0" applyAlignment="0" applyProtection="0"/>
    <xf numFmtId="43" fontId="1" fillId="0" borderId="0" applyFont="0" applyFill="0" applyBorder="0" applyAlignment="0" applyProtection="0"/>
  </cellStyleXfs>
  <cellXfs count="554">
    <xf numFmtId="0" fontId="0" fillId="0" borderId="0" xfId="0"/>
    <xf numFmtId="164" fontId="0" fillId="0" borderId="0" xfId="0" applyNumberFormat="1"/>
    <xf numFmtId="2" fontId="0" fillId="0" borderId="0" xfId="0" applyNumberFormat="1"/>
    <xf numFmtId="165" fontId="0" fillId="0" borderId="0" xfId="0" applyNumberFormat="1"/>
    <xf numFmtId="1" fontId="0" fillId="0" borderId="0" xfId="0" applyNumberFormat="1"/>
    <xf numFmtId="169" fontId="0" fillId="0" borderId="0" xfId="0" applyNumberFormat="1"/>
    <xf numFmtId="1" fontId="1" fillId="0" borderId="0" xfId="5" applyNumberFormat="1"/>
    <xf numFmtId="2" fontId="1" fillId="0" borderId="0" xfId="5" applyNumberFormat="1"/>
    <xf numFmtId="0" fontId="3" fillId="0" borderId="0" xfId="0" applyFont="1"/>
    <xf numFmtId="11" fontId="0" fillId="0" borderId="0" xfId="0" applyNumberFormat="1"/>
    <xf numFmtId="2" fontId="1" fillId="0" borderId="0" xfId="5" applyNumberFormat="1" applyBorder="1"/>
    <xf numFmtId="0" fontId="0" fillId="0" borderId="0" xfId="0" applyAlignment="1">
      <alignment horizontal="center"/>
    </xf>
    <xf numFmtId="167" fontId="1" fillId="0" borderId="0" xfId="5" applyNumberFormat="1"/>
    <xf numFmtId="11" fontId="1" fillId="0" borderId="0" xfId="5" applyNumberFormat="1"/>
    <xf numFmtId="0" fontId="3" fillId="0" borderId="0" xfId="0" applyFont="1" applyAlignment="1">
      <alignment horizontal="center"/>
    </xf>
    <xf numFmtId="0" fontId="0" fillId="0" borderId="0" xfId="0" quotePrefix="1" applyAlignment="1">
      <alignment horizontal="center"/>
    </xf>
    <xf numFmtId="11" fontId="6" fillId="0" borderId="0" xfId="0" applyNumberFormat="1" applyFont="1"/>
    <xf numFmtId="0" fontId="3" fillId="0" borderId="0" xfId="0" applyFont="1" applyAlignment="1">
      <alignment horizontal="right"/>
    </xf>
    <xf numFmtId="171" fontId="3" fillId="0" borderId="0" xfId="0" applyNumberFormat="1" applyFont="1" applyBorder="1"/>
    <xf numFmtId="168" fontId="2" fillId="0" borderId="0" xfId="5" applyNumberFormat="1" applyFont="1"/>
    <xf numFmtId="11" fontId="7" fillId="0" borderId="0" xfId="0" applyNumberFormat="1" applyFont="1" applyBorder="1"/>
    <xf numFmtId="1" fontId="6" fillId="0" borderId="0" xfId="0" applyNumberFormat="1" applyFont="1"/>
    <xf numFmtId="0" fontId="0" fillId="0" borderId="0" xfId="0" applyAlignment="1">
      <alignment horizontal="right" wrapText="1"/>
    </xf>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168" fontId="0" fillId="0" borderId="0" xfId="0" applyNumberFormat="1" applyAlignment="1">
      <alignment wrapText="1"/>
    </xf>
    <xf numFmtId="0" fontId="0" fillId="2" borderId="0" xfId="0" applyFill="1" applyAlignment="1">
      <alignment horizontal="center" wrapText="1"/>
    </xf>
    <xf numFmtId="0" fontId="8" fillId="0" borderId="0" xfId="0" applyFont="1"/>
    <xf numFmtId="0" fontId="0" fillId="0" borderId="0" xfId="0" applyAlignment="1"/>
    <xf numFmtId="0" fontId="0" fillId="0" borderId="0" xfId="0" applyFill="1" applyProtection="1"/>
    <xf numFmtId="0" fontId="3" fillId="0" borderId="0" xfId="0" applyFont="1" applyFill="1" applyBorder="1" applyProtection="1"/>
    <xf numFmtId="0" fontId="0" fillId="0" borderId="0" xfId="0" applyProtection="1"/>
    <xf numFmtId="0" fontId="2" fillId="0" borderId="0" xfId="0" applyFont="1" applyFill="1" applyProtection="1"/>
    <xf numFmtId="1" fontId="2" fillId="0" borderId="0" xfId="0" applyNumberFormat="1" applyFont="1" applyFill="1" applyProtection="1"/>
    <xf numFmtId="0" fontId="3" fillId="0" borderId="0" xfId="0" applyFont="1" applyFill="1" applyProtection="1"/>
    <xf numFmtId="1" fontId="3" fillId="0" borderId="0" xfId="0" applyNumberFormat="1" applyFont="1" applyFill="1" applyProtection="1"/>
    <xf numFmtId="0" fontId="0" fillId="0" borderId="0" xfId="0" applyFill="1" applyAlignment="1" applyProtection="1">
      <alignment horizontal="right"/>
    </xf>
    <xf numFmtId="165" fontId="2" fillId="0" borderId="0" xfId="0" applyNumberFormat="1" applyFont="1" applyFill="1" applyBorder="1" applyProtection="1"/>
    <xf numFmtId="165" fontId="3" fillId="0" borderId="0" xfId="0" applyNumberFormat="1" applyFont="1" applyBorder="1" applyProtection="1"/>
    <xf numFmtId="9" fontId="0" fillId="0" borderId="0" xfId="5" applyFont="1" applyProtection="1"/>
    <xf numFmtId="9" fontId="3" fillId="0" borderId="0" xfId="5" applyFont="1" applyProtection="1"/>
    <xf numFmtId="0" fontId="0" fillId="0" borderId="0" xfId="0" applyFill="1" applyBorder="1" applyAlignment="1" applyProtection="1">
      <alignment horizontal="right"/>
    </xf>
    <xf numFmtId="165" fontId="3" fillId="0" borderId="0" xfId="0" applyNumberFormat="1" applyFont="1" applyFill="1" applyBorder="1" applyProtection="1"/>
    <xf numFmtId="165" fontId="3" fillId="0" borderId="0" xfId="5" applyNumberFormat="1" applyFont="1" applyFill="1" applyBorder="1" applyProtection="1"/>
    <xf numFmtId="1" fontId="2" fillId="0" borderId="0" xfId="0" applyNumberFormat="1" applyFont="1" applyFill="1" applyBorder="1" applyProtection="1"/>
    <xf numFmtId="165" fontId="2" fillId="0" borderId="0" xfId="5" applyNumberFormat="1" applyFont="1" applyFill="1" applyBorder="1" applyProtection="1"/>
    <xf numFmtId="0" fontId="0" fillId="0" borderId="0" xfId="0" applyFill="1" applyBorder="1" applyProtection="1"/>
    <xf numFmtId="165" fontId="2" fillId="0" borderId="0" xfId="5" applyNumberFormat="1" applyFont="1" applyFill="1" applyProtection="1"/>
    <xf numFmtId="165" fontId="2" fillId="0" borderId="0" xfId="5" applyNumberFormat="1" applyFont="1" applyBorder="1" applyProtection="1"/>
    <xf numFmtId="0" fontId="0" fillId="0" borderId="0" xfId="0" applyAlignment="1" applyProtection="1">
      <alignment horizontal="right"/>
    </xf>
    <xf numFmtId="0" fontId="2" fillId="0" borderId="0" xfId="0" applyFont="1" applyFill="1" applyAlignment="1" applyProtection="1">
      <alignment horizontal="center"/>
    </xf>
    <xf numFmtId="0" fontId="3" fillId="0" borderId="0" xfId="0" applyFont="1" applyAlignment="1" applyProtection="1">
      <alignment horizontal="center" wrapText="1"/>
    </xf>
    <xf numFmtId="0" fontId="3" fillId="0" borderId="0" xfId="0" applyFont="1" applyFill="1" applyAlignment="1" applyProtection="1">
      <alignment horizontal="center" wrapText="1"/>
    </xf>
    <xf numFmtId="1" fontId="3" fillId="0" borderId="0" xfId="0" applyNumberFormat="1" applyFont="1" applyFill="1" applyAlignment="1" applyProtection="1">
      <alignment horizontal="center" wrapText="1"/>
    </xf>
    <xf numFmtId="1" fontId="3" fillId="0" borderId="0" xfId="5" applyNumberFormat="1" applyFont="1" applyFill="1" applyAlignment="1" applyProtection="1">
      <alignment horizontal="center" wrapText="1"/>
    </xf>
    <xf numFmtId="0" fontId="0" fillId="0" borderId="0" xfId="0" applyAlignment="1">
      <alignment horizontal="right"/>
    </xf>
    <xf numFmtId="0" fontId="4" fillId="0" borderId="0" xfId="0" applyFont="1"/>
    <xf numFmtId="11" fontId="1" fillId="3" borderId="0" xfId="5" applyNumberFormat="1" applyFill="1"/>
    <xf numFmtId="0" fontId="4" fillId="0" borderId="0" xfId="0" applyFont="1" applyAlignment="1">
      <alignment horizontal="center"/>
    </xf>
    <xf numFmtId="0" fontId="13" fillId="4" borderId="0" xfId="0" applyFont="1" applyFill="1"/>
    <xf numFmtId="0" fontId="0" fillId="4" borderId="0" xfId="0" applyFill="1"/>
    <xf numFmtId="0" fontId="2" fillId="0" borderId="0" xfId="0" applyFont="1" applyFill="1" applyBorder="1" applyProtection="1"/>
    <xf numFmtId="2" fontId="3" fillId="0" borderId="0" xfId="5" applyNumberFormat="1" applyFont="1" applyFill="1" applyBorder="1" applyProtection="1"/>
    <xf numFmtId="172" fontId="0" fillId="0" borderId="0" xfId="0" applyNumberFormat="1"/>
    <xf numFmtId="14" fontId="3" fillId="0" borderId="0" xfId="0" applyNumberFormat="1" applyFont="1"/>
    <xf numFmtId="0" fontId="5" fillId="0" borderId="0" xfId="0" applyFont="1"/>
    <xf numFmtId="0" fontId="4" fillId="0" borderId="1" xfId="0" applyFont="1" applyBorder="1" applyAlignment="1">
      <alignment horizontal="center"/>
    </xf>
    <xf numFmtId="0" fontId="0" fillId="0" borderId="1" xfId="0" applyBorder="1" applyAlignment="1">
      <alignment horizontal="center"/>
    </xf>
    <xf numFmtId="2" fontId="3" fillId="0" borderId="0" xfId="0" applyNumberFormat="1" applyFont="1" applyAlignment="1">
      <alignment horizontal="center"/>
    </xf>
    <xf numFmtId="3" fontId="0" fillId="0" borderId="0" xfId="0" applyNumberFormat="1"/>
    <xf numFmtId="0" fontId="12" fillId="0" borderId="0" xfId="0" applyFont="1"/>
    <xf numFmtId="3" fontId="0" fillId="0" borderId="0" xfId="0" applyNumberFormat="1" applyAlignment="1">
      <alignment horizontal="right"/>
    </xf>
    <xf numFmtId="0" fontId="3" fillId="0" borderId="0" xfId="0" applyFont="1" applyAlignment="1">
      <alignment horizontal="left"/>
    </xf>
    <xf numFmtId="0" fontId="0" fillId="0" borderId="0" xfId="0" applyAlignment="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165" fontId="3" fillId="0" borderId="0" xfId="5" applyNumberFormat="1" applyFont="1" applyFill="1" applyBorder="1" applyAlignment="1" applyProtection="1">
      <alignment vertical="center"/>
    </xf>
    <xf numFmtId="0" fontId="3" fillId="0" borderId="0" xfId="0" applyFont="1" applyFill="1" applyBorder="1" applyAlignment="1" applyProtection="1">
      <alignment horizontal="center" vertical="center" wrapText="1"/>
    </xf>
    <xf numFmtId="165" fontId="2" fillId="0" borderId="0" xfId="0" applyNumberFormat="1" applyFont="1" applyFill="1" applyAlignment="1" applyProtection="1">
      <alignment vertical="center"/>
    </xf>
    <xf numFmtId="0" fontId="2" fillId="0" borderId="0" xfId="0" applyFont="1" applyFill="1" applyBorder="1" applyAlignment="1" applyProtection="1">
      <alignment horizontal="center" vertical="center"/>
    </xf>
    <xf numFmtId="165" fontId="2" fillId="0" borderId="0" xfId="0" applyNumberFormat="1" applyFont="1" applyFill="1" applyBorder="1" applyAlignment="1" applyProtection="1">
      <alignment vertical="center"/>
    </xf>
    <xf numFmtId="165" fontId="2" fillId="0" borderId="0" xfId="5" applyNumberFormat="1" applyFont="1" applyFill="1" applyBorder="1" applyAlignment="1" applyProtection="1">
      <alignment vertical="center"/>
    </xf>
    <xf numFmtId="0" fontId="0" fillId="0" borderId="0" xfId="0" applyFill="1" applyAlignment="1" applyProtection="1">
      <alignment vertical="center"/>
    </xf>
    <xf numFmtId="1" fontId="3" fillId="0" borderId="0" xfId="0" applyNumberFormat="1" applyFont="1" applyFill="1" applyAlignment="1" applyProtection="1">
      <alignment vertical="center"/>
    </xf>
    <xf numFmtId="0" fontId="0" fillId="0" borderId="0" xfId="0" applyBorder="1" applyAlignment="1">
      <alignment vertical="center"/>
    </xf>
    <xf numFmtId="164" fontId="0" fillId="0" borderId="0" xfId="5" applyNumberFormat="1" applyFont="1" applyBorder="1" applyAlignment="1">
      <alignment vertical="center"/>
    </xf>
    <xf numFmtId="0" fontId="0" fillId="0" borderId="0" xfId="0" applyFill="1" applyAlignment="1" applyProtection="1">
      <alignment horizontal="right" vertical="center"/>
    </xf>
    <xf numFmtId="0" fontId="2" fillId="0" borderId="0" xfId="0" applyFont="1" applyFill="1" applyAlignment="1" applyProtection="1">
      <alignment vertical="center"/>
    </xf>
    <xf numFmtId="0" fontId="8" fillId="0" borderId="0" xfId="0" applyFont="1" applyProtection="1"/>
    <xf numFmtId="0" fontId="13" fillId="4" borderId="0" xfId="0" applyFont="1" applyFill="1" applyProtection="1"/>
    <xf numFmtId="0" fontId="0" fillId="0" borderId="0" xfId="0" applyBorder="1" applyProtection="1"/>
    <xf numFmtId="1" fontId="0" fillId="0" borderId="0" xfId="0" applyNumberFormat="1" applyBorder="1" applyProtection="1"/>
    <xf numFmtId="0" fontId="3" fillId="0" borderId="0" xfId="0" applyFont="1" applyFill="1" applyAlignment="1" applyProtection="1">
      <alignment horizontal="left"/>
    </xf>
    <xf numFmtId="0" fontId="3" fillId="3" borderId="0" xfId="0" applyFont="1" applyFill="1" applyAlignment="1" applyProtection="1">
      <alignment horizontal="left"/>
    </xf>
    <xf numFmtId="164" fontId="0" fillId="0" borderId="0" xfId="5" applyNumberFormat="1" applyFont="1" applyBorder="1" applyProtection="1"/>
    <xf numFmtId="1" fontId="0" fillId="0" borderId="0" xfId="5" applyNumberFormat="1" applyFont="1" applyProtection="1"/>
    <xf numFmtId="164" fontId="0" fillId="0" borderId="0" xfId="5" applyNumberFormat="1" applyFont="1" applyProtection="1"/>
    <xf numFmtId="2" fontId="3" fillId="0" borderId="0" xfId="0" applyNumberFormat="1" applyFont="1" applyFill="1" applyBorder="1" applyProtection="1"/>
    <xf numFmtId="164" fontId="3" fillId="0" borderId="0" xfId="5" applyNumberFormat="1" applyFont="1" applyFill="1" applyBorder="1" applyProtection="1"/>
    <xf numFmtId="170" fontId="3" fillId="0" borderId="0" xfId="5" applyNumberFormat="1" applyFont="1" applyFill="1" applyBorder="1" applyProtection="1"/>
    <xf numFmtId="164" fontId="2" fillId="0" borderId="0" xfId="5" applyNumberFormat="1" applyFont="1" applyFill="1" applyBorder="1" applyProtection="1"/>
    <xf numFmtId="170" fontId="2" fillId="0" borderId="0" xfId="5" applyNumberFormat="1" applyFont="1" applyFill="1" applyBorder="1" applyProtection="1"/>
    <xf numFmtId="164" fontId="2" fillId="0" borderId="0" xfId="5" applyNumberFormat="1" applyFont="1" applyBorder="1" applyProtection="1"/>
    <xf numFmtId="0" fontId="2" fillId="0" borderId="0" xfId="0" applyFont="1" applyProtection="1"/>
    <xf numFmtId="9" fontId="0" fillId="0" borderId="0" xfId="5" applyFont="1" applyBorder="1" applyProtection="1"/>
    <xf numFmtId="165" fontId="0" fillId="0" borderId="0" xfId="0" applyNumberFormat="1" applyBorder="1" applyProtection="1"/>
    <xf numFmtId="0" fontId="2" fillId="0" borderId="0" xfId="0" applyFont="1" applyFill="1" applyAlignment="1" applyProtection="1">
      <alignment horizontal="right"/>
    </xf>
    <xf numFmtId="0" fontId="0" fillId="0" borderId="0" xfId="0" applyFill="1" applyAlignment="1" applyProtection="1">
      <alignment horizontal="left"/>
    </xf>
    <xf numFmtId="0" fontId="4" fillId="0" borderId="0" xfId="0" applyFont="1" applyFill="1" applyProtection="1"/>
    <xf numFmtId="170" fontId="2" fillId="0" borderId="0" xfId="5" applyNumberFormat="1" applyFont="1" applyBorder="1" applyProtection="1"/>
    <xf numFmtId="165" fontId="3" fillId="0" borderId="0" xfId="5" applyNumberFormat="1" applyFont="1" applyFill="1" applyProtection="1"/>
    <xf numFmtId="165" fontId="3" fillId="0" borderId="0" xfId="5" applyNumberFormat="1" applyFont="1" applyBorder="1" applyProtection="1"/>
    <xf numFmtId="164" fontId="3" fillId="0" borderId="0" xfId="5" applyNumberFormat="1" applyFont="1" applyBorder="1" applyProtection="1"/>
    <xf numFmtId="170" fontId="3" fillId="0" borderId="0" xfId="5" applyNumberFormat="1" applyFont="1" applyBorder="1" applyProtection="1"/>
    <xf numFmtId="165" fontId="3" fillId="0" borderId="0" xfId="0" applyNumberFormat="1" applyFont="1" applyBorder="1" applyAlignment="1" applyProtection="1">
      <alignment horizontal="center" wrapText="1"/>
    </xf>
    <xf numFmtId="0" fontId="10" fillId="0" borderId="0" xfId="0" applyFont="1" applyBorder="1" applyAlignment="1" applyProtection="1">
      <alignment horizontal="right"/>
    </xf>
    <xf numFmtId="0" fontId="10" fillId="0" borderId="0" xfId="0" applyFont="1" applyFill="1" applyBorder="1" applyProtection="1"/>
    <xf numFmtId="1" fontId="2" fillId="0" borderId="0" xfId="0" applyNumberFormat="1" applyFont="1" applyFill="1" applyAlignment="1" applyProtection="1">
      <alignment horizontal="right"/>
    </xf>
    <xf numFmtId="165" fontId="2" fillId="0" borderId="0" xfId="0" applyNumberFormat="1" applyFont="1" applyFill="1" applyBorder="1" applyAlignment="1" applyProtection="1">
      <alignment horizontal="right"/>
    </xf>
    <xf numFmtId="0" fontId="0" fillId="0" borderId="0" xfId="0" applyAlignment="1" applyProtection="1">
      <alignment vertical="center"/>
    </xf>
    <xf numFmtId="165" fontId="1" fillId="0"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10" fillId="0" borderId="0" xfId="0" applyFont="1" applyFill="1" applyBorder="1" applyAlignment="1" applyProtection="1">
      <alignment horizontal="center"/>
    </xf>
    <xf numFmtId="0" fontId="0" fillId="0" borderId="0" xfId="0" applyAlignment="1" applyProtection="1">
      <alignment horizontal="left"/>
    </xf>
    <xf numFmtId="0" fontId="0" fillId="3" borderId="0" xfId="0" applyFill="1" applyProtection="1"/>
    <xf numFmtId="0" fontId="0" fillId="3" borderId="0" xfId="0" applyFill="1" applyAlignment="1" applyProtection="1">
      <alignment horizontal="left"/>
    </xf>
    <xf numFmtId="165" fontId="0" fillId="0" borderId="0" xfId="0" applyNumberFormat="1" applyFill="1" applyBorder="1" applyAlignment="1" applyProtection="1">
      <alignment horizontal="right"/>
    </xf>
    <xf numFmtId="165" fontId="0" fillId="0" borderId="0" xfId="0" applyNumberFormat="1" applyBorder="1" applyAlignment="1" applyProtection="1">
      <alignment horizontal="right"/>
    </xf>
    <xf numFmtId="0" fontId="12" fillId="0" borderId="0" xfId="0" applyFont="1" applyFill="1" applyBorder="1" applyAlignment="1" applyProtection="1">
      <alignment horizontal="right"/>
    </xf>
    <xf numFmtId="0" fontId="2" fillId="0" borderId="0" xfId="0" applyFont="1" applyFill="1" applyBorder="1" applyAlignment="1" applyProtection="1">
      <alignment horizontal="right"/>
    </xf>
    <xf numFmtId="2" fontId="0" fillId="0" borderId="0" xfId="0" applyNumberFormat="1" applyAlignment="1" applyProtection="1">
      <alignment horizontal="right"/>
    </xf>
    <xf numFmtId="3" fontId="2" fillId="0" borderId="0" xfId="0" applyNumberFormat="1" applyFont="1" applyFill="1" applyAlignment="1" applyProtection="1">
      <alignment horizontal="right"/>
    </xf>
    <xf numFmtId="1" fontId="2"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2" fontId="2" fillId="0" borderId="0" xfId="0" applyNumberFormat="1" applyFont="1" applyFill="1" applyBorder="1" applyAlignment="1" applyProtection="1">
      <alignment horizontal="right"/>
    </xf>
    <xf numFmtId="0" fontId="0" fillId="0" borderId="0" xfId="0" applyBorder="1" applyAlignment="1" applyProtection="1">
      <alignment horizontal="right"/>
    </xf>
    <xf numFmtId="2" fontId="1" fillId="0" borderId="0" xfId="0" applyNumberFormat="1" applyFont="1" applyBorder="1" applyAlignment="1" applyProtection="1">
      <alignment horizontal="right"/>
    </xf>
    <xf numFmtId="164" fontId="12" fillId="0" borderId="0" xfId="0" applyNumberFormat="1" applyFont="1" applyFill="1" applyBorder="1" applyAlignment="1" applyProtection="1">
      <alignment horizontal="right"/>
    </xf>
    <xf numFmtId="0" fontId="14" fillId="0" borderId="0" xfId="0" applyFont="1" applyFill="1" applyBorder="1" applyAlignment="1" applyProtection="1">
      <alignment horizontal="right"/>
    </xf>
    <xf numFmtId="0" fontId="2" fillId="0" borderId="0" xfId="0" applyFont="1" applyFill="1" applyBorder="1" applyAlignment="1" applyProtection="1">
      <alignment vertical="center"/>
    </xf>
    <xf numFmtId="2" fontId="2" fillId="0" borderId="0" xfId="0" applyNumberFormat="1" applyFont="1" applyFill="1" applyAlignment="1" applyProtection="1">
      <alignment horizontal="right"/>
    </xf>
    <xf numFmtId="164" fontId="2" fillId="0" borderId="0" xfId="0" applyNumberFormat="1" applyFont="1" applyFill="1" applyAlignment="1" applyProtection="1">
      <alignment horizontal="right"/>
    </xf>
    <xf numFmtId="0" fontId="2" fillId="0" borderId="0" xfId="0" applyFont="1" applyFill="1" applyAlignment="1" applyProtection="1">
      <alignment horizontal="right" vertical="center"/>
    </xf>
    <xf numFmtId="0" fontId="15" fillId="0" borderId="0" xfId="0" applyFont="1" applyBorder="1" applyAlignment="1" applyProtection="1">
      <alignment horizontal="center"/>
    </xf>
    <xf numFmtId="9" fontId="0" fillId="0" borderId="0" xfId="5" applyNumberFormat="1" applyFont="1" applyAlignment="1" applyProtection="1">
      <alignment horizontal="center"/>
    </xf>
    <xf numFmtId="9" fontId="0" fillId="0" borderId="0" xfId="5" applyFont="1" applyAlignment="1" applyProtection="1">
      <alignment horizontal="center"/>
    </xf>
    <xf numFmtId="0" fontId="1" fillId="0" borderId="0" xfId="0" applyFont="1" applyAlignment="1" applyProtection="1">
      <alignment horizontal="left"/>
    </xf>
    <xf numFmtId="0" fontId="1" fillId="0" borderId="0" xfId="0" applyFont="1" applyFill="1" applyAlignment="1" applyProtection="1">
      <alignment horizontal="right"/>
    </xf>
    <xf numFmtId="0" fontId="1" fillId="0" borderId="0" xfId="0" applyFont="1" applyAlignment="1" applyProtection="1">
      <alignment horizontal="center"/>
    </xf>
    <xf numFmtId="2" fontId="12" fillId="0" borderId="0" xfId="0" applyNumberFormat="1" applyFont="1" applyBorder="1" applyAlignment="1" applyProtection="1">
      <alignment horizontal="right"/>
    </xf>
    <xf numFmtId="0" fontId="2" fillId="0" borderId="0" xfId="0" applyFont="1" applyAlignment="1">
      <alignment horizontal="center"/>
    </xf>
    <xf numFmtId="1" fontId="2" fillId="0" borderId="0" xfId="0" quotePrefix="1" applyNumberFormat="1" applyFont="1" applyFill="1" applyBorder="1" applyProtection="1"/>
    <xf numFmtId="0" fontId="0" fillId="0" borderId="0" xfId="0" applyNumberFormat="1" applyBorder="1" applyProtection="1"/>
    <xf numFmtId="0" fontId="0" fillId="0" borderId="0" xfId="5" applyNumberFormat="1" applyFont="1" applyBorder="1" applyProtection="1"/>
    <xf numFmtId="0" fontId="0" fillId="0" borderId="0" xfId="0" applyNumberFormat="1" applyProtection="1"/>
    <xf numFmtId="0" fontId="0" fillId="4" borderId="0" xfId="0" applyNumberFormat="1" applyFill="1" applyProtection="1"/>
    <xf numFmtId="0" fontId="0" fillId="0" borderId="0" xfId="0" applyNumberFormat="1"/>
    <xf numFmtId="0" fontId="3" fillId="0" borderId="0" xfId="0" applyNumberFormat="1" applyFont="1" applyBorder="1" applyProtection="1"/>
    <xf numFmtId="0" fontId="0" fillId="0" borderId="0" xfId="0" applyNumberFormat="1" applyFill="1" applyProtection="1"/>
    <xf numFmtId="0" fontId="0" fillId="0" borderId="0" xfId="5" applyNumberFormat="1" applyFont="1" applyBorder="1" applyAlignment="1">
      <alignment vertical="center"/>
    </xf>
    <xf numFmtId="0" fontId="3" fillId="0" borderId="0" xfId="0" applyNumberFormat="1" applyFont="1" applyFill="1" applyBorder="1" applyProtection="1"/>
    <xf numFmtId="0" fontId="0" fillId="0" borderId="0" xfId="5" applyNumberFormat="1" applyFont="1" applyProtection="1"/>
    <xf numFmtId="0" fontId="0" fillId="0" borderId="0" xfId="0" applyNumberFormat="1" applyFill="1" applyAlignment="1" applyProtection="1">
      <alignment horizontal="right"/>
    </xf>
    <xf numFmtId="0" fontId="2" fillId="4" borderId="0" xfId="0" applyFont="1" applyFill="1" applyProtection="1"/>
    <xf numFmtId="1" fontId="2" fillId="4" borderId="0" xfId="0" applyNumberFormat="1" applyFont="1" applyFill="1" applyBorder="1" applyAlignment="1" applyProtection="1">
      <alignment horizontal="right"/>
    </xf>
    <xf numFmtId="0" fontId="2" fillId="0" borderId="0" xfId="0" applyFont="1" applyFill="1" applyAlignment="1" applyProtection="1">
      <alignment horizontal="left"/>
    </xf>
    <xf numFmtId="0" fontId="2" fillId="0" borderId="0" xfId="0" applyFont="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165" fontId="2" fillId="0" borderId="0" xfId="0" applyNumberFormat="1" applyFont="1" applyBorder="1" applyAlignment="1" applyProtection="1">
      <alignment horizontal="right"/>
    </xf>
    <xf numFmtId="1" fontId="2" fillId="0" borderId="0" xfId="0" applyNumberFormat="1" applyFont="1" applyFill="1" applyBorder="1" applyAlignment="1" applyProtection="1">
      <alignment horizontal="right"/>
    </xf>
    <xf numFmtId="0" fontId="14" fillId="0" borderId="0" xfId="0" applyFont="1" applyBorder="1" applyAlignment="1" applyProtection="1">
      <alignment horizontal="right"/>
    </xf>
    <xf numFmtId="164" fontId="2" fillId="0" borderId="0" xfId="0" applyNumberFormat="1" applyFont="1" applyFill="1" applyBorder="1" applyAlignment="1" applyProtection="1">
      <alignment horizontal="right"/>
    </xf>
    <xf numFmtId="0" fontId="2" fillId="0" borderId="0" xfId="0" applyFont="1" applyFill="1"/>
    <xf numFmtId="164" fontId="14" fillId="0" borderId="0"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xf>
    <xf numFmtId="2" fontId="14" fillId="0" borderId="0" xfId="0" applyNumberFormat="1" applyFont="1" applyFill="1" applyBorder="1" applyAlignment="1" applyProtection="1">
      <alignment horizontal="right"/>
    </xf>
    <xf numFmtId="11" fontId="14" fillId="0" borderId="0" xfId="0" applyNumberFormat="1" applyFont="1" applyFill="1" applyBorder="1" applyAlignment="1" applyProtection="1">
      <alignment horizontal="right"/>
    </xf>
    <xf numFmtId="11" fontId="10" fillId="0" borderId="0" xfId="0" applyNumberFormat="1" applyFont="1" applyFill="1" applyBorder="1" applyAlignment="1" applyProtection="1">
      <alignment horizontal="right"/>
    </xf>
    <xf numFmtId="1" fontId="14" fillId="0" borderId="0" xfId="0" applyNumberFormat="1" applyFont="1" applyFill="1" applyBorder="1" applyAlignment="1" applyProtection="1">
      <alignment horizontal="right"/>
    </xf>
    <xf numFmtId="169" fontId="2" fillId="0" borderId="0" xfId="0" applyNumberFormat="1" applyFont="1" applyFill="1" applyBorder="1" applyAlignment="1" applyProtection="1">
      <alignment horizontal="right"/>
    </xf>
    <xf numFmtId="0" fontId="18" fillId="0" borderId="0" xfId="0" applyFont="1" applyAlignment="1">
      <alignment horizontal="center"/>
    </xf>
    <xf numFmtId="0" fontId="2" fillId="0" borderId="0" xfId="0" applyFont="1" applyAlignment="1" applyProtection="1">
      <alignment horizontal="left"/>
    </xf>
    <xf numFmtId="1" fontId="2" fillId="0" borderId="0" xfId="0" applyNumberFormat="1" applyFont="1" applyAlignment="1" applyProtection="1">
      <alignment horizontal="right"/>
    </xf>
    <xf numFmtId="0" fontId="11" fillId="0" borderId="0" xfId="0" applyFont="1" applyAlignment="1" applyProtection="1">
      <alignment horizontal="left"/>
    </xf>
    <xf numFmtId="166" fontId="2" fillId="0" borderId="0" xfId="0" applyNumberFormat="1" applyFont="1" applyFill="1" applyAlignment="1" applyProtection="1">
      <alignment horizontal="right"/>
    </xf>
    <xf numFmtId="166" fontId="2" fillId="0" borderId="0" xfId="0" applyNumberFormat="1" applyFont="1" applyFill="1" applyBorder="1" applyAlignment="1" applyProtection="1">
      <alignment horizontal="right"/>
    </xf>
    <xf numFmtId="164" fontId="2" fillId="0" borderId="0" xfId="0" applyNumberFormat="1" applyFont="1" applyAlignment="1" applyProtection="1">
      <alignment horizontal="right"/>
    </xf>
    <xf numFmtId="165" fontId="2" fillId="0" borderId="0" xfId="0" applyNumberFormat="1" applyFont="1" applyFill="1" applyAlignment="1" applyProtection="1">
      <alignment horizontal="right"/>
    </xf>
    <xf numFmtId="168" fontId="2" fillId="0" borderId="0" xfId="0" applyNumberFormat="1" applyFont="1" applyFill="1" applyBorder="1" applyAlignment="1" applyProtection="1">
      <alignment horizontal="right"/>
    </xf>
    <xf numFmtId="0" fontId="2" fillId="0" borderId="0" xfId="0" applyFont="1" applyAlignment="1">
      <alignment horizontal="right"/>
    </xf>
    <xf numFmtId="1" fontId="2" fillId="0" borderId="0" xfId="0" applyNumberFormat="1" applyFont="1" applyFill="1" applyBorder="1" applyAlignment="1" applyProtection="1">
      <alignment horizontal="right" vertical="center"/>
    </xf>
    <xf numFmtId="164" fontId="2" fillId="0" borderId="0" xfId="0" applyNumberFormat="1" applyFont="1" applyFill="1" applyBorder="1" applyAlignment="1" applyProtection="1">
      <alignment horizontal="right" vertical="center"/>
    </xf>
    <xf numFmtId="0" fontId="11" fillId="0" borderId="0" xfId="0" applyFont="1" applyAlignment="1" applyProtection="1">
      <alignment horizontal="right"/>
    </xf>
    <xf numFmtId="165" fontId="2" fillId="0" borderId="0" xfId="0" quotePrefix="1" applyNumberFormat="1" applyFont="1" applyBorder="1" applyAlignment="1" applyProtection="1">
      <alignment horizontal="right"/>
    </xf>
    <xf numFmtId="1" fontId="2" fillId="0" borderId="0" xfId="0" applyNumberFormat="1" applyFont="1" applyBorder="1" applyAlignment="1" applyProtection="1">
      <alignment horizontal="right"/>
    </xf>
    <xf numFmtId="165"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2" fillId="0" borderId="0" xfId="0" applyFont="1" applyAlignment="1">
      <alignment horizontal="left"/>
    </xf>
    <xf numFmtId="0" fontId="2" fillId="0" borderId="0" xfId="0" applyFont="1" applyFill="1" applyAlignment="1" applyProtection="1">
      <alignment horizontal="left" vertical="center"/>
    </xf>
    <xf numFmtId="1" fontId="2" fillId="0" borderId="0" xfId="0" applyNumberFormat="1" applyFont="1" applyAlignment="1" applyProtection="1">
      <alignment horizontal="left"/>
    </xf>
    <xf numFmtId="0" fontId="15" fillId="0" borderId="0" xfId="0" applyFont="1" applyBorder="1" applyAlignment="1" applyProtection="1">
      <alignment horizontal="right"/>
    </xf>
    <xf numFmtId="0" fontId="2" fillId="4" borderId="0" xfId="0" applyFont="1" applyFill="1" applyAlignment="1" applyProtection="1">
      <alignment horizontal="right"/>
    </xf>
    <xf numFmtId="1" fontId="0" fillId="0" borderId="0" xfId="0" applyNumberFormat="1" applyAlignment="1">
      <alignment horizontal="right"/>
    </xf>
    <xf numFmtId="0" fontId="0" fillId="0" borderId="0" xfId="0" applyAlignment="1">
      <alignment horizontal="left"/>
    </xf>
    <xf numFmtId="164" fontId="12" fillId="0" borderId="0" xfId="0" applyNumberFormat="1" applyFont="1"/>
    <xf numFmtId="169" fontId="2" fillId="0" borderId="0" xfId="0" applyNumberFormat="1" applyFont="1" applyAlignment="1" applyProtection="1">
      <alignment horizontal="right"/>
    </xf>
    <xf numFmtId="164" fontId="0" fillId="0" borderId="0" xfId="0" applyNumberFormat="1" applyFill="1" applyAlignment="1" applyProtection="1">
      <alignment vertical="center"/>
    </xf>
    <xf numFmtId="165" fontId="0" fillId="0" borderId="0" xfId="0" applyNumberFormat="1" applyFill="1" applyBorder="1" applyAlignment="1" applyProtection="1">
      <alignment vertical="center"/>
    </xf>
    <xf numFmtId="164" fontId="0" fillId="0" borderId="0" xfId="5" applyNumberFormat="1" applyFont="1" applyFill="1" applyBorder="1" applyAlignment="1" applyProtection="1">
      <alignment vertical="center"/>
    </xf>
    <xf numFmtId="2" fontId="3" fillId="2" borderId="1" xfId="0" applyNumberFormat="1" applyFont="1" applyFill="1" applyBorder="1" applyAlignment="1">
      <alignment horizontal="center"/>
    </xf>
    <xf numFmtId="165" fontId="14" fillId="0" borderId="0" xfId="0" applyNumberFormat="1" applyFont="1" applyFill="1" applyBorder="1" applyAlignment="1" applyProtection="1">
      <alignment horizontal="right"/>
    </xf>
    <xf numFmtId="0" fontId="9" fillId="5"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1" fontId="3" fillId="0" borderId="0" xfId="0" applyNumberFormat="1" applyFont="1" applyFill="1" applyBorder="1" applyAlignment="1" applyProtection="1">
      <alignment vertical="center"/>
    </xf>
    <xf numFmtId="0" fontId="0" fillId="0" borderId="0" xfId="0" applyFill="1" applyBorder="1" applyAlignment="1" applyProtection="1">
      <alignment vertical="center" wrapText="1"/>
    </xf>
    <xf numFmtId="165" fontId="0" fillId="0" borderId="0" xfId="0" applyNumberFormat="1" applyFill="1" applyBorder="1" applyProtection="1"/>
    <xf numFmtId="1" fontId="2" fillId="0" borderId="0" xfId="0" applyNumberFormat="1" applyFont="1" applyFill="1" applyAlignment="1" applyProtection="1">
      <alignment horizontal="left"/>
    </xf>
    <xf numFmtId="0" fontId="2" fillId="0" borderId="0" xfId="0" applyFont="1" applyFill="1" applyBorder="1" applyAlignment="1" applyProtection="1">
      <alignment horizontal="center" vertical="center" wrapText="1"/>
    </xf>
    <xf numFmtId="1" fontId="2" fillId="0" borderId="0" xfId="0" applyNumberFormat="1" applyFont="1" applyFill="1" applyAlignment="1" applyProtection="1">
      <alignment vertical="center"/>
    </xf>
    <xf numFmtId="164" fontId="2" fillId="0" borderId="0" xfId="0" applyNumberFormat="1" applyFont="1" applyFill="1" applyAlignment="1" applyProtection="1">
      <alignment vertical="center"/>
    </xf>
    <xf numFmtId="2" fontId="2" fillId="0" borderId="0" xfId="0" applyNumberFormat="1" applyFont="1" applyAlignment="1" applyProtection="1">
      <alignment vertical="center"/>
    </xf>
    <xf numFmtId="164" fontId="2" fillId="0" borderId="0" xfId="0" applyNumberFormat="1" applyFont="1" applyFill="1" applyAlignment="1" applyProtection="1">
      <alignment horizontal="center" vertical="center"/>
    </xf>
    <xf numFmtId="173" fontId="2" fillId="0" borderId="0" xfId="0" applyNumberFormat="1" applyFont="1" applyFill="1" applyAlignment="1" applyProtection="1">
      <alignment vertical="center"/>
    </xf>
    <xf numFmtId="0" fontId="5" fillId="0" borderId="0" xfId="0" applyFont="1" applyFill="1" applyBorder="1" applyAlignment="1" applyProtection="1">
      <alignment vertical="center"/>
    </xf>
    <xf numFmtId="0" fontId="0" fillId="0" borderId="0" xfId="0" applyFill="1" applyBorder="1" applyAlignment="1" applyProtection="1">
      <alignment horizontal="right" vertical="center"/>
    </xf>
    <xf numFmtId="0" fontId="1"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2" fontId="1" fillId="0" borderId="0" xfId="0" applyNumberFormat="1" applyFont="1" applyFill="1" applyBorder="1" applyAlignment="1" applyProtection="1">
      <alignment horizontal="center" vertical="center"/>
    </xf>
    <xf numFmtId="9" fontId="1" fillId="0" borderId="0" xfId="5" applyFont="1" applyFill="1" applyBorder="1" applyAlignment="1" applyProtection="1">
      <alignment horizontal="center" vertical="center"/>
    </xf>
    <xf numFmtId="1" fontId="0" fillId="0" borderId="0" xfId="5" applyNumberFormat="1" applyFont="1" applyFill="1" applyBorder="1" applyAlignment="1" applyProtection="1">
      <alignment vertical="center"/>
    </xf>
    <xf numFmtId="164" fontId="0" fillId="0" borderId="0" xfId="0" applyNumberFormat="1" applyFill="1" applyBorder="1" applyAlignment="1" applyProtection="1">
      <alignment vertical="center"/>
    </xf>
    <xf numFmtId="164" fontId="2" fillId="0" borderId="0" xfId="5"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0" fontId="2" fillId="0" borderId="0" xfId="0" applyFont="1" applyFill="1" applyAlignment="1" applyProtection="1">
      <alignment vertical="center" wrapText="1"/>
    </xf>
    <xf numFmtId="0" fontId="0" fillId="0" borderId="0" xfId="0" applyFill="1" applyAlignment="1" applyProtection="1">
      <alignment horizontal="center" vertical="center" wrapText="1"/>
    </xf>
    <xf numFmtId="2" fontId="2" fillId="0" borderId="0" xfId="0" applyNumberFormat="1" applyFont="1" applyFill="1" applyAlignment="1" applyProtection="1">
      <alignment vertical="center"/>
    </xf>
    <xf numFmtId="2" fontId="0" fillId="0" borderId="0" xfId="0" applyNumberFormat="1" applyFill="1" applyAlignment="1" applyProtection="1">
      <alignment vertical="center"/>
    </xf>
    <xf numFmtId="173" fontId="0" fillId="0" borderId="0" xfId="0" applyNumberFormat="1" applyFill="1" applyAlignment="1" applyProtection="1">
      <alignment vertical="center"/>
    </xf>
    <xf numFmtId="0" fontId="5" fillId="5" borderId="0" xfId="0" applyFont="1" applyFill="1" applyAlignment="1" applyProtection="1">
      <alignment vertical="center"/>
    </xf>
    <xf numFmtId="0" fontId="0" fillId="5" borderId="0" xfId="0" applyFill="1" applyAlignment="1" applyProtection="1">
      <alignment horizontal="right" vertical="center"/>
    </xf>
    <xf numFmtId="0" fontId="2" fillId="5" borderId="0" xfId="0" applyFont="1" applyFill="1" applyAlignment="1" applyProtection="1">
      <alignment horizontal="right" vertical="center"/>
    </xf>
    <xf numFmtId="164" fontId="0" fillId="5" borderId="0" xfId="5" applyNumberFormat="1" applyFont="1" applyFill="1" applyBorder="1" applyAlignment="1" applyProtection="1">
      <alignment vertical="center"/>
    </xf>
    <xf numFmtId="165" fontId="0" fillId="5" borderId="0" xfId="0" applyNumberFormat="1" applyFill="1" applyBorder="1" applyAlignment="1" applyProtection="1">
      <alignment vertical="center"/>
    </xf>
    <xf numFmtId="2" fontId="14" fillId="5" borderId="2" xfId="0" applyNumberFormat="1" applyFont="1" applyFill="1" applyBorder="1" applyAlignment="1" applyProtection="1">
      <alignment horizontal="center" vertical="center"/>
    </xf>
    <xf numFmtId="0" fontId="0" fillId="5" borderId="0" xfId="0" applyFill="1" applyAlignment="1" applyProtection="1">
      <alignment horizontal="right" vertical="center" wrapText="1"/>
    </xf>
    <xf numFmtId="0" fontId="5" fillId="5" borderId="0" xfId="0" applyFont="1" applyFill="1" applyAlignment="1" applyProtection="1">
      <alignment horizontal="left" vertical="center"/>
    </xf>
    <xf numFmtId="0" fontId="14" fillId="6" borderId="1" xfId="0" applyFont="1" applyFill="1" applyBorder="1" applyAlignment="1" applyProtection="1">
      <alignment horizontal="center" vertical="center"/>
      <protection locked="0"/>
    </xf>
    <xf numFmtId="9" fontId="14" fillId="6" borderId="1" xfId="5" applyFont="1" applyFill="1" applyBorder="1" applyAlignment="1" applyProtection="1">
      <alignment horizontal="center" vertical="center"/>
      <protection locked="0"/>
    </xf>
    <xf numFmtId="0" fontId="0" fillId="5" borderId="0" xfId="0" applyFill="1" applyBorder="1" applyAlignment="1" applyProtection="1">
      <alignment horizontal="center" vertical="center"/>
    </xf>
    <xf numFmtId="0" fontId="3" fillId="5" borderId="0" xfId="0" applyFont="1" applyFill="1" applyBorder="1" applyAlignment="1" applyProtection="1">
      <alignment horizontal="center" vertical="center"/>
    </xf>
    <xf numFmtId="165" fontId="3" fillId="5" borderId="0" xfId="0" applyNumberFormat="1" applyFont="1" applyFill="1" applyBorder="1" applyAlignment="1" applyProtection="1">
      <alignment vertical="center"/>
    </xf>
    <xf numFmtId="165" fontId="3" fillId="5" borderId="0" xfId="5" applyNumberFormat="1" applyFont="1" applyFill="1" applyBorder="1" applyAlignment="1" applyProtection="1">
      <alignment vertical="center"/>
    </xf>
    <xf numFmtId="165" fontId="2" fillId="5" borderId="0" xfId="0" applyNumberFormat="1" applyFont="1" applyFill="1" applyAlignment="1" applyProtection="1">
      <alignment vertical="center"/>
    </xf>
    <xf numFmtId="1" fontId="2" fillId="5" borderId="0"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5" fontId="2" fillId="5" borderId="0" xfId="5" applyNumberFormat="1" applyFont="1" applyFill="1" applyBorder="1" applyAlignment="1" applyProtection="1">
      <alignment vertical="center"/>
    </xf>
    <xf numFmtId="165" fontId="2" fillId="5" borderId="0" xfId="5" applyNumberFormat="1" applyFont="1" applyFill="1" applyAlignment="1" applyProtection="1">
      <alignment vertical="center"/>
    </xf>
    <xf numFmtId="1" fontId="3" fillId="5" borderId="0" xfId="0" applyNumberFormat="1" applyFont="1" applyFill="1" applyAlignment="1" applyProtection="1">
      <alignment vertical="center"/>
    </xf>
    <xf numFmtId="2" fontId="3" fillId="5" borderId="0" xfId="5" applyNumberFormat="1" applyFont="1" applyFill="1" applyAlignment="1" applyProtection="1">
      <alignment vertical="center"/>
    </xf>
    <xf numFmtId="2" fontId="3" fillId="5" borderId="0" xfId="5" applyNumberFormat="1" applyFont="1" applyFill="1" applyBorder="1" applyAlignment="1" applyProtection="1">
      <alignment vertical="center"/>
    </xf>
    <xf numFmtId="1" fontId="3" fillId="5" borderId="0" xfId="5" applyNumberFormat="1" applyFont="1" applyFill="1" applyAlignment="1" applyProtection="1">
      <alignment vertical="center"/>
    </xf>
    <xf numFmtId="9" fontId="3" fillId="5" borderId="0" xfId="5" applyFont="1" applyFill="1" applyBorder="1" applyAlignment="1" applyProtection="1">
      <alignment vertical="center"/>
    </xf>
    <xf numFmtId="9" fontId="3" fillId="5" borderId="0" xfId="5" applyFont="1" applyFill="1" applyAlignment="1" applyProtection="1">
      <alignment vertical="center"/>
    </xf>
    <xf numFmtId="11" fontId="6" fillId="0" borderId="0" xfId="5" applyNumberFormat="1" applyFont="1" applyBorder="1"/>
    <xf numFmtId="0" fontId="19" fillId="0" borderId="0" xfId="0" applyFont="1"/>
    <xf numFmtId="0" fontId="2" fillId="0" borderId="3" xfId="0" applyFont="1" applyBorder="1"/>
    <xf numFmtId="0" fontId="12" fillId="0" borderId="0" xfId="5" applyNumberFormat="1" applyFont="1" applyBorder="1" applyProtection="1"/>
    <xf numFmtId="0" fontId="12" fillId="0" borderId="0" xfId="0" applyNumberFormat="1" applyFont="1" applyProtection="1"/>
    <xf numFmtId="1" fontId="0" fillId="0" borderId="0" xfId="0" applyNumberFormat="1" applyAlignment="1" applyProtection="1">
      <alignment horizontal="center"/>
    </xf>
    <xf numFmtId="164" fontId="2" fillId="0" borderId="0" xfId="5" applyNumberFormat="1" applyFont="1" applyBorder="1" applyAlignment="1" applyProtection="1">
      <alignment horizontal="center"/>
    </xf>
    <xf numFmtId="1" fontId="2" fillId="0" borderId="0" xfId="5" applyNumberFormat="1" applyFont="1" applyBorder="1" applyAlignment="1" applyProtection="1">
      <alignment horizontal="center"/>
    </xf>
    <xf numFmtId="2" fontId="0" fillId="0" borderId="0" xfId="0" applyNumberFormat="1" applyAlignment="1">
      <alignment horizontal="center"/>
    </xf>
    <xf numFmtId="0" fontId="0" fillId="0" borderId="4" xfId="0" applyBorder="1"/>
    <xf numFmtId="2" fontId="12" fillId="0" borderId="0" xfId="0" applyNumberFormat="1" applyFont="1"/>
    <xf numFmtId="2" fontId="3" fillId="0" borderId="0" xfId="0" applyNumberFormat="1" applyFont="1"/>
    <xf numFmtId="2" fontId="14" fillId="6" borderId="1" xfId="0" applyNumberFormat="1" applyFont="1" applyFill="1" applyBorder="1" applyAlignment="1" applyProtection="1">
      <alignment horizontal="center" vertical="center"/>
      <protection locked="0"/>
    </xf>
    <xf numFmtId="2" fontId="12" fillId="0" borderId="0" xfId="0" applyNumberFormat="1" applyFont="1" applyAlignment="1">
      <alignment horizontal="center"/>
    </xf>
    <xf numFmtId="0" fontId="4" fillId="0" borderId="0" xfId="0" applyFont="1" applyAlignment="1" applyProtection="1">
      <alignment horizontal="center"/>
    </xf>
    <xf numFmtId="0" fontId="13" fillId="0" borderId="0" xfId="0" applyFont="1" applyFill="1"/>
    <xf numFmtId="0" fontId="0" fillId="0" borderId="0" xfId="0" applyFill="1"/>
    <xf numFmtId="1" fontId="0" fillId="0" borderId="0" xfId="0" applyNumberFormat="1" applyFill="1" applyBorder="1"/>
    <xf numFmtId="2" fontId="3" fillId="0" borderId="1" xfId="0" applyNumberFormat="1" applyFont="1" applyBorder="1" applyAlignment="1">
      <alignment horizontal="center"/>
    </xf>
    <xf numFmtId="2" fontId="0" fillId="0" borderId="0" xfId="0" applyNumberFormat="1" applyProtection="1"/>
    <xf numFmtId="164" fontId="0" fillId="0" borderId="0" xfId="0" applyNumberFormat="1" applyProtection="1"/>
    <xf numFmtId="2" fontId="3" fillId="0" borderId="0" xfId="0" applyNumberFormat="1" applyFont="1" applyFill="1" applyBorder="1" applyAlignment="1">
      <alignment horizontal="center"/>
    </xf>
    <xf numFmtId="1" fontId="0" fillId="0" borderId="0" xfId="0" applyNumberFormat="1" applyBorder="1"/>
    <xf numFmtId="0" fontId="0" fillId="0" borderId="0" xfId="0" applyAlignment="1">
      <alignment textRotation="90" wrapText="1"/>
    </xf>
    <xf numFmtId="168" fontId="0" fillId="0" borderId="0" xfId="0" applyNumberFormat="1" applyAlignment="1">
      <alignment textRotation="90" wrapText="1"/>
    </xf>
    <xf numFmtId="0" fontId="3" fillId="0" borderId="0" xfId="0" applyFont="1" applyBorder="1" applyAlignment="1">
      <alignment textRotation="90" wrapText="1"/>
    </xf>
    <xf numFmtId="0" fontId="0" fillId="0" borderId="0" xfId="0" applyBorder="1"/>
    <xf numFmtId="0" fontId="0" fillId="0" borderId="0" xfId="0" applyBorder="1" applyAlignment="1">
      <alignment horizontal="center"/>
    </xf>
    <xf numFmtId="11" fontId="0" fillId="0" borderId="0" xfId="0" applyNumberFormat="1" applyBorder="1"/>
    <xf numFmtId="2" fontId="0" fillId="0" borderId="0" xfId="0" applyNumberFormat="1" applyBorder="1"/>
    <xf numFmtId="164" fontId="0" fillId="0" borderId="0" xfId="0" applyNumberFormat="1" applyBorder="1"/>
    <xf numFmtId="167" fontId="1" fillId="0" borderId="0" xfId="5" applyNumberFormat="1" applyBorder="1"/>
    <xf numFmtId="168" fontId="2" fillId="0" borderId="0" xfId="5" applyNumberFormat="1" applyFont="1" applyBorder="1"/>
    <xf numFmtId="165" fontId="1" fillId="0" borderId="0" xfId="5" applyNumberFormat="1" applyBorder="1"/>
    <xf numFmtId="11" fontId="1" fillId="0" borderId="0" xfId="5" applyNumberFormat="1" applyBorder="1"/>
    <xf numFmtId="1" fontId="6" fillId="0" borderId="0" xfId="0" applyNumberFormat="1" applyFont="1" applyBorder="1"/>
    <xf numFmtId="165" fontId="6" fillId="0" borderId="0" xfId="5" applyNumberFormat="1" applyFont="1" applyBorder="1"/>
    <xf numFmtId="0" fontId="0" fillId="3" borderId="0" xfId="0" applyFill="1" applyBorder="1"/>
    <xf numFmtId="1" fontId="0" fillId="3" borderId="0" xfId="0" applyNumberFormat="1" applyFill="1" applyBorder="1"/>
    <xf numFmtId="0" fontId="3" fillId="3" borderId="0" xfId="0" applyFont="1" applyFill="1" applyBorder="1" applyAlignment="1">
      <alignment horizontal="center"/>
    </xf>
    <xf numFmtId="1" fontId="6" fillId="3" borderId="0" xfId="0" applyNumberFormat="1" applyFont="1" applyFill="1" applyBorder="1"/>
    <xf numFmtId="1" fontId="0" fillId="3" borderId="0" xfId="0" applyNumberFormat="1" applyFill="1"/>
    <xf numFmtId="11" fontId="6" fillId="3" borderId="0" xfId="5" applyNumberFormat="1" applyFont="1" applyFill="1" applyBorder="1"/>
    <xf numFmtId="2" fontId="0" fillId="3" borderId="0" xfId="0" applyNumberFormat="1" applyFill="1" applyBorder="1"/>
    <xf numFmtId="2" fontId="1" fillId="3" borderId="0" xfId="5" applyNumberFormat="1" applyFill="1" applyBorder="1"/>
    <xf numFmtId="168" fontId="2" fillId="3" borderId="0" xfId="5" applyNumberFormat="1" applyFont="1" applyFill="1" applyBorder="1"/>
    <xf numFmtId="165" fontId="6" fillId="3" borderId="0" xfId="5" applyNumberFormat="1" applyFont="1" applyFill="1" applyBorder="1"/>
    <xf numFmtId="0" fontId="0" fillId="5" borderId="0" xfId="0" applyFill="1"/>
    <xf numFmtId="167" fontId="2" fillId="3" borderId="0" xfId="5" applyNumberFormat="1" applyFont="1" applyFill="1" applyBorder="1"/>
    <xf numFmtId="167" fontId="2" fillId="0" borderId="0" xfId="5" applyNumberFormat="1" applyFont="1" applyBorder="1"/>
    <xf numFmtId="167" fontId="2" fillId="0" borderId="0" xfId="5" applyNumberFormat="1" applyFont="1"/>
    <xf numFmtId="164" fontId="2" fillId="0" borderId="0" xfId="5" applyNumberFormat="1" applyFont="1"/>
    <xf numFmtId="0" fontId="2" fillId="0" borderId="0" xfId="0" applyFont="1"/>
    <xf numFmtId="2" fontId="0" fillId="0" borderId="0" xfId="0" applyNumberFormat="1" applyFill="1" applyBorder="1"/>
    <xf numFmtId="164" fontId="0" fillId="0" borderId="0" xfId="0" applyNumberFormat="1" applyFill="1" applyBorder="1"/>
    <xf numFmtId="0" fontId="0" fillId="0" borderId="0" xfId="0" applyFill="1" applyBorder="1"/>
    <xf numFmtId="11" fontId="1" fillId="0" borderId="0" xfId="5" applyNumberFormat="1" applyFill="1" applyBorder="1"/>
    <xf numFmtId="0" fontId="0" fillId="5" borderId="0" xfId="0" applyFill="1" applyBorder="1" applyAlignment="1" applyProtection="1">
      <alignment horizontal="left" vertical="center"/>
    </xf>
    <xf numFmtId="0" fontId="0" fillId="0" borderId="1" xfId="0" applyFill="1" applyBorder="1" applyAlignment="1" applyProtection="1">
      <alignment vertical="center"/>
    </xf>
    <xf numFmtId="0" fontId="2" fillId="5" borderId="0" xfId="0" applyFont="1" applyFill="1" applyBorder="1" applyAlignment="1" applyProtection="1">
      <alignment vertical="center" wrapText="1"/>
    </xf>
    <xf numFmtId="3" fontId="2" fillId="4" borderId="0" xfId="0" applyNumberFormat="1" applyFont="1" applyFill="1" applyAlignment="1" applyProtection="1">
      <alignment horizontal="right"/>
    </xf>
    <xf numFmtId="1" fontId="21" fillId="5" borderId="3" xfId="0" applyNumberFormat="1" applyFont="1" applyFill="1" applyBorder="1" applyAlignment="1" applyProtection="1">
      <alignment vertical="center"/>
    </xf>
    <xf numFmtId="0" fontId="21" fillId="5" borderId="4" xfId="0" applyFont="1" applyFill="1" applyBorder="1" applyAlignment="1" applyProtection="1">
      <alignment vertical="center"/>
    </xf>
    <xf numFmtId="0" fontId="1" fillId="0" borderId="0" xfId="0" applyFont="1" applyFill="1" applyAlignment="1">
      <alignment horizontal="center"/>
    </xf>
    <xf numFmtId="0" fontId="1" fillId="0" borderId="0" xfId="0" applyFont="1" applyAlignment="1">
      <alignment horizontal="center" wrapText="1"/>
    </xf>
    <xf numFmtId="0" fontId="18" fillId="0" borderId="5" xfId="0" applyFont="1" applyFill="1" applyBorder="1" applyAlignment="1">
      <alignment horizontal="center"/>
    </xf>
    <xf numFmtId="2" fontId="1" fillId="0" borderId="0" xfId="0" applyNumberFormat="1" applyFont="1" applyFill="1" applyAlignment="1" applyProtection="1">
      <alignment horizontal="center"/>
    </xf>
    <xf numFmtId="0" fontId="1" fillId="0" borderId="0" xfId="0" applyFont="1"/>
    <xf numFmtId="0" fontId="1" fillId="0" borderId="0" xfId="0" applyFont="1" applyAlignment="1">
      <alignment horizontal="right"/>
    </xf>
    <xf numFmtId="0" fontId="1" fillId="0" borderId="0" xfId="5" applyNumberFormat="1" applyFont="1" applyProtection="1"/>
    <xf numFmtId="0" fontId="1" fillId="5" borderId="0" xfId="0" applyFont="1" applyFill="1" applyBorder="1" applyAlignment="1" applyProtection="1">
      <alignment horizontal="right" vertical="center" wrapText="1"/>
    </xf>
    <xf numFmtId="1" fontId="1" fillId="0" borderId="0" xfId="0" applyNumberFormat="1" applyFont="1"/>
    <xf numFmtId="169"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right"/>
    </xf>
    <xf numFmtId="0" fontId="23" fillId="0" borderId="0" xfId="0" applyFont="1" applyAlignment="1">
      <alignment horizontal="center"/>
    </xf>
    <xf numFmtId="1" fontId="0" fillId="0" borderId="0" xfId="0" applyNumberFormat="1" applyProtection="1"/>
    <xf numFmtId="0" fontId="1" fillId="5" borderId="0" xfId="0" applyFont="1" applyFill="1" applyAlignment="1" applyProtection="1">
      <alignment horizontal="right" vertical="center"/>
    </xf>
    <xf numFmtId="0" fontId="1" fillId="0" borderId="0" xfId="0" applyNumberFormat="1" applyFont="1" applyFill="1" applyBorder="1" applyProtection="1"/>
    <xf numFmtId="0" fontId="0" fillId="0" borderId="0" xfId="0" applyFill="1" applyAlignment="1" applyProtection="1">
      <alignment horizontal="center" vertical="center"/>
    </xf>
    <xf numFmtId="0" fontId="0" fillId="5" borderId="3" xfId="0" quotePrefix="1" applyFill="1" applyBorder="1" applyAlignment="1" applyProtection="1">
      <alignment horizontal="left" vertical="center"/>
    </xf>
    <xf numFmtId="0" fontId="0" fillId="5" borderId="2" xfId="0" applyFill="1" applyBorder="1" applyAlignment="1" applyProtection="1">
      <alignment vertical="center"/>
    </xf>
    <xf numFmtId="0" fontId="0" fillId="5" borderId="2" xfId="0" applyFill="1" applyBorder="1" applyAlignment="1" applyProtection="1">
      <alignment horizontal="left" vertical="center"/>
    </xf>
    <xf numFmtId="0" fontId="0" fillId="5" borderId="4" xfId="0" applyFill="1" applyBorder="1" applyAlignment="1" applyProtection="1">
      <alignment vertical="center"/>
    </xf>
    <xf numFmtId="0" fontId="0" fillId="5" borderId="0" xfId="0" applyFill="1" applyAlignment="1" applyProtection="1">
      <alignment horizontal="center" vertical="center"/>
    </xf>
    <xf numFmtId="0" fontId="0" fillId="5" borderId="0" xfId="0" applyFill="1" applyAlignment="1" applyProtection="1">
      <alignment vertical="center"/>
    </xf>
    <xf numFmtId="0" fontId="9" fillId="5" borderId="0" xfId="0" applyFont="1" applyFill="1" applyAlignment="1" applyProtection="1">
      <alignment horizontal="right" vertical="center"/>
    </xf>
    <xf numFmtId="0" fontId="4" fillId="5" borderId="0" xfId="0" applyFont="1" applyFill="1" applyAlignment="1" applyProtection="1">
      <alignment horizontal="center" vertical="center"/>
    </xf>
    <xf numFmtId="1" fontId="2" fillId="5" borderId="0" xfId="0" applyNumberFormat="1" applyFont="1" applyFill="1" applyBorder="1" applyAlignment="1" applyProtection="1">
      <alignment vertical="center"/>
    </xf>
    <xf numFmtId="164" fontId="0" fillId="5" borderId="0" xfId="0" applyNumberFormat="1" applyFill="1" applyAlignment="1" applyProtection="1">
      <alignment vertical="center"/>
    </xf>
    <xf numFmtId="169" fontId="0" fillId="5" borderId="0" xfId="0" applyNumberFormat="1" applyFill="1" applyAlignment="1" applyProtection="1">
      <alignment vertical="center"/>
    </xf>
    <xf numFmtId="169" fontId="2"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168" fontId="2" fillId="5" borderId="0" xfId="0" applyNumberFormat="1" applyFont="1" applyFill="1" applyBorder="1" applyAlignment="1" applyProtection="1">
      <alignment vertical="center"/>
    </xf>
    <xf numFmtId="168" fontId="0" fillId="5" borderId="0" xfId="0" applyNumberFormat="1" applyFill="1" applyAlignment="1" applyProtection="1">
      <alignment vertical="center"/>
    </xf>
    <xf numFmtId="3" fontId="0" fillId="5" borderId="0" xfId="0" applyNumberFormat="1" applyFill="1" applyAlignment="1" applyProtection="1">
      <alignment vertical="center"/>
    </xf>
    <xf numFmtId="11" fontId="2" fillId="5" borderId="0" xfId="0" applyNumberFormat="1" applyFont="1" applyFill="1" applyBorder="1" applyAlignment="1" applyProtection="1">
      <alignment vertical="center"/>
    </xf>
    <xf numFmtId="0" fontId="4" fillId="5" borderId="0" xfId="0" applyFont="1" applyFill="1" applyAlignment="1" applyProtection="1">
      <alignment horizontal="center" vertical="center" wrapText="1"/>
    </xf>
    <xf numFmtId="0" fontId="0" fillId="5" borderId="0" xfId="0" applyFill="1" applyAlignment="1" applyProtection="1">
      <alignment vertical="center" wrapText="1"/>
    </xf>
    <xf numFmtId="1" fontId="2" fillId="5" borderId="0" xfId="0" applyNumberFormat="1" applyFont="1" applyFill="1" applyBorder="1" applyAlignment="1" applyProtection="1">
      <alignment vertical="center" wrapText="1"/>
    </xf>
    <xf numFmtId="0" fontId="0" fillId="5" borderId="0" xfId="0" applyFill="1" applyBorder="1" applyAlignment="1" applyProtection="1">
      <alignment vertical="center"/>
    </xf>
    <xf numFmtId="1" fontId="0" fillId="5" borderId="0" xfId="0" applyNumberFormat="1" applyFill="1" applyAlignment="1" applyProtection="1">
      <alignment vertical="center"/>
    </xf>
    <xf numFmtId="165" fontId="2" fillId="5" borderId="0" xfId="0" applyNumberFormat="1" applyFont="1" applyFill="1" applyBorder="1" applyAlignment="1" applyProtection="1">
      <alignment vertical="center"/>
    </xf>
    <xf numFmtId="168" fontId="2" fillId="5" borderId="0" xfId="0" applyNumberFormat="1" applyFont="1" applyFill="1" applyAlignment="1" applyProtection="1">
      <alignment vertical="center"/>
    </xf>
    <xf numFmtId="0" fontId="2" fillId="5" borderId="0" xfId="0" applyFont="1" applyFill="1" applyAlignment="1" applyProtection="1">
      <alignment vertical="center"/>
    </xf>
    <xf numFmtId="9" fontId="2" fillId="5" borderId="0" xfId="5" applyFont="1" applyFill="1" applyBorder="1" applyAlignment="1" applyProtection="1">
      <alignment horizontal="right" vertical="center"/>
    </xf>
    <xf numFmtId="1" fontId="3" fillId="5" borderId="0" xfId="0" applyNumberFormat="1" applyFont="1" applyFill="1" applyBorder="1" applyAlignment="1" applyProtection="1">
      <alignment vertical="center"/>
    </xf>
    <xf numFmtId="0" fontId="3" fillId="5" borderId="0" xfId="0" applyFont="1" applyFill="1" applyAlignment="1" applyProtection="1">
      <alignment horizontal="left" vertical="center"/>
    </xf>
    <xf numFmtId="0" fontId="0" fillId="5" borderId="0" xfId="0" applyFill="1" applyAlignment="1" applyProtection="1">
      <alignment horizontal="left" vertical="center"/>
    </xf>
    <xf numFmtId="0" fontId="0" fillId="5" borderId="0" xfId="0" applyFill="1" applyBorder="1" applyAlignment="1" applyProtection="1">
      <alignment vertical="center" wrapText="1"/>
    </xf>
    <xf numFmtId="0" fontId="3" fillId="5" borderId="0" xfId="0" applyFont="1" applyFill="1" applyAlignment="1" applyProtection="1">
      <alignment vertical="center"/>
    </xf>
    <xf numFmtId="0" fontId="1" fillId="5" borderId="0" xfId="0" applyFont="1" applyFill="1" applyAlignment="1" applyProtection="1">
      <alignment vertical="center"/>
    </xf>
    <xf numFmtId="1" fontId="3" fillId="5" borderId="0" xfId="0" applyNumberFormat="1" applyFont="1" applyFill="1" applyBorder="1" applyAlignment="1" applyProtection="1">
      <alignment horizontal="center" vertical="center"/>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0" fontId="0" fillId="0" borderId="9" xfId="0" applyBorder="1"/>
    <xf numFmtId="0" fontId="0" fillId="0" borderId="10" xfId="0" applyBorder="1"/>
    <xf numFmtId="0" fontId="1" fillId="5" borderId="0" xfId="0" applyFont="1" applyFill="1" applyAlignment="1" applyProtection="1">
      <alignment horizontal="left" vertical="center"/>
    </xf>
    <xf numFmtId="0" fontId="1" fillId="5" borderId="0" xfId="0" applyFont="1" applyFill="1" applyBorder="1" applyAlignment="1" applyProtection="1">
      <alignment horizontal="right" vertical="center"/>
    </xf>
    <xf numFmtId="164" fontId="3" fillId="2" borderId="1" xfId="0" applyNumberFormat="1" applyFont="1" applyFill="1" applyBorder="1" applyAlignment="1">
      <alignment horizontal="center"/>
    </xf>
    <xf numFmtId="164" fontId="0" fillId="0" borderId="0" xfId="0" applyNumberFormat="1" applyAlignment="1" applyProtection="1">
      <alignment horizontal="center"/>
    </xf>
    <xf numFmtId="0" fontId="1" fillId="0" borderId="0" xfId="0" applyFont="1" applyAlignment="1">
      <alignment horizontal="center"/>
    </xf>
    <xf numFmtId="0" fontId="26" fillId="0" borderId="0" xfId="0" applyFont="1" applyAlignment="1" applyProtection="1">
      <alignment horizontal="right"/>
    </xf>
    <xf numFmtId="0" fontId="17" fillId="8" borderId="1" xfId="0" applyFont="1" applyFill="1" applyBorder="1" applyAlignment="1" applyProtection="1">
      <alignment horizontal="right" vertical="center" wrapText="1"/>
    </xf>
    <xf numFmtId="0" fontId="17" fillId="8" borderId="1" xfId="0" applyFont="1" applyFill="1" applyBorder="1" applyAlignment="1" applyProtection="1">
      <alignment vertical="center" wrapText="1"/>
    </xf>
    <xf numFmtId="9" fontId="12" fillId="6" borderId="1" xfId="5" applyFont="1" applyFill="1" applyBorder="1" applyAlignment="1" applyProtection="1">
      <alignment horizontal="center" vertical="center" wrapText="1"/>
    </xf>
    <xf numFmtId="0" fontId="34" fillId="0" borderId="0" xfId="0" applyFont="1"/>
    <xf numFmtId="1" fontId="4" fillId="0" borderId="0" xfId="0" applyNumberFormat="1" applyFont="1" applyAlignment="1">
      <alignment horizontal="center"/>
    </xf>
    <xf numFmtId="0" fontId="35" fillId="5" borderId="0" xfId="0" applyFont="1" applyFill="1" applyAlignment="1" applyProtection="1">
      <alignment vertical="center"/>
    </xf>
    <xf numFmtId="1" fontId="1" fillId="0" borderId="0" xfId="0" applyNumberFormat="1" applyFont="1" applyFill="1" applyBorder="1" applyAlignment="1" applyProtection="1">
      <alignment horizontal="right"/>
    </xf>
    <xf numFmtId="1" fontId="1" fillId="5" borderId="0" xfId="0" applyNumberFormat="1" applyFont="1" applyFill="1" applyBorder="1" applyAlignment="1" applyProtection="1">
      <alignment vertical="center"/>
    </xf>
    <xf numFmtId="0" fontId="32" fillId="0" borderId="0" xfId="2"/>
    <xf numFmtId="9" fontId="0" fillId="0" borderId="6" xfId="5" applyFont="1" applyBorder="1"/>
    <xf numFmtId="9" fontId="0" fillId="0" borderId="8" xfId="5" applyFont="1" applyBorder="1"/>
    <xf numFmtId="9" fontId="0" fillId="0" borderId="7" xfId="5" applyFont="1" applyBorder="1"/>
    <xf numFmtId="9" fontId="0" fillId="0" borderId="0" xfId="0" applyNumberFormat="1"/>
    <xf numFmtId="174" fontId="34" fillId="0" borderId="0" xfId="1" applyNumberFormat="1" applyFont="1"/>
    <xf numFmtId="0" fontId="36" fillId="0" borderId="0" xfId="0" applyFont="1"/>
    <xf numFmtId="0" fontId="1" fillId="0" borderId="6" xfId="0" applyFont="1" applyBorder="1" applyAlignment="1">
      <alignment horizontal="center"/>
    </xf>
    <xf numFmtId="0" fontId="1" fillId="0" borderId="8" xfId="0" applyFont="1" applyBorder="1" applyAlignment="1">
      <alignment horizontal="center"/>
    </xf>
    <xf numFmtId="169" fontId="0" fillId="0" borderId="0" xfId="0" applyNumberFormat="1" applyProtection="1"/>
    <xf numFmtId="0" fontId="4" fillId="0" borderId="0" xfId="0" applyFont="1" applyFill="1" applyAlignment="1" applyProtection="1">
      <alignment vertical="center"/>
    </xf>
    <xf numFmtId="0" fontId="1" fillId="0" borderId="3" xfId="0" applyFont="1" applyFill="1" applyBorder="1" applyAlignment="1" applyProtection="1">
      <alignment vertical="center"/>
    </xf>
    <xf numFmtId="0" fontId="0" fillId="0" borderId="4" xfId="0" applyFill="1" applyBorder="1" applyAlignment="1" applyProtection="1">
      <alignment vertical="center"/>
    </xf>
    <xf numFmtId="0" fontId="1" fillId="0" borderId="11" xfId="0" applyFont="1" applyFill="1" applyBorder="1" applyAlignment="1" applyProtection="1">
      <alignment vertical="center"/>
    </xf>
    <xf numFmtId="0" fontId="0" fillId="0" borderId="12" xfId="0" applyFill="1" applyBorder="1" applyAlignment="1" applyProtection="1">
      <alignment vertical="center"/>
    </xf>
    <xf numFmtId="11" fontId="14" fillId="0" borderId="0" xfId="0" applyNumberFormat="1" applyFont="1" applyFill="1" applyAlignment="1">
      <alignment horizontal="right"/>
    </xf>
    <xf numFmtId="0" fontId="12" fillId="0" borderId="0" xfId="0" applyFont="1" applyAlignment="1">
      <alignment horizontal="right"/>
    </xf>
    <xf numFmtId="169" fontId="2" fillId="0" borderId="0" xfId="0" applyNumberFormat="1" applyFont="1" applyFill="1" applyBorder="1" applyAlignment="1" applyProtection="1">
      <alignment horizontal="right" vertical="center"/>
    </xf>
    <xf numFmtId="0" fontId="0" fillId="5" borderId="1" xfId="0" applyFill="1" applyBorder="1" applyAlignment="1" applyProtection="1">
      <alignment horizontal="center" vertical="center"/>
    </xf>
    <xf numFmtId="2" fontId="0" fillId="5" borderId="1" xfId="0" applyNumberFormat="1" applyFill="1" applyBorder="1" applyAlignment="1" applyProtection="1">
      <alignment horizontal="center" vertical="center" wrapText="1"/>
    </xf>
    <xf numFmtId="165" fontId="0" fillId="5" borderId="1" xfId="0" applyNumberFormat="1" applyFill="1" applyBorder="1" applyAlignment="1" applyProtection="1">
      <alignment horizontal="center" vertical="center"/>
    </xf>
    <xf numFmtId="1" fontId="0" fillId="5" borderId="1" xfId="0" applyNumberFormat="1" applyFill="1" applyBorder="1" applyAlignment="1" applyProtection="1">
      <alignment horizontal="center" vertical="center"/>
    </xf>
    <xf numFmtId="1" fontId="2" fillId="5" borderId="1" xfId="0" applyNumberFormat="1" applyFont="1" applyFill="1" applyBorder="1" applyAlignment="1" applyProtection="1">
      <alignment horizontal="center" vertical="center"/>
    </xf>
    <xf numFmtId="165" fontId="2" fillId="5" borderId="1" xfId="0" applyNumberFormat="1" applyFont="1" applyFill="1" applyBorder="1" applyAlignment="1" applyProtection="1">
      <alignment horizontal="center" vertical="center"/>
    </xf>
    <xf numFmtId="0" fontId="1" fillId="0" borderId="0" xfId="0" applyFont="1" applyBorder="1" applyAlignment="1">
      <alignment horizontal="center"/>
    </xf>
    <xf numFmtId="0" fontId="1" fillId="0" borderId="0" xfId="0" applyFont="1" applyBorder="1" applyAlignment="1">
      <alignment horizontal="right"/>
    </xf>
    <xf numFmtId="2" fontId="0" fillId="0" borderId="10" xfId="0" applyNumberFormat="1" applyBorder="1"/>
    <xf numFmtId="0" fontId="1" fillId="5" borderId="0" xfId="0" applyFont="1" applyFill="1" applyBorder="1" applyAlignment="1" applyProtection="1">
      <alignment horizontal="left" vertical="center"/>
    </xf>
    <xf numFmtId="2" fontId="34" fillId="0" borderId="9" xfId="0" applyNumberFormat="1" applyFont="1" applyBorder="1"/>
    <xf numFmtId="2" fontId="34" fillId="0" borderId="10" xfId="0" applyNumberFormat="1" applyFont="1" applyBorder="1"/>
    <xf numFmtId="0" fontId="13" fillId="0" borderId="0" xfId="0" applyFont="1" applyFill="1" applyProtection="1"/>
    <xf numFmtId="11" fontId="1" fillId="9" borderId="0" xfId="5" applyNumberFormat="1" applyFill="1"/>
    <xf numFmtId="2" fontId="0" fillId="9" borderId="0" xfId="0" applyNumberFormat="1" applyFill="1"/>
    <xf numFmtId="164" fontId="0" fillId="9" borderId="0" xfId="0" applyNumberFormat="1" applyFill="1"/>
    <xf numFmtId="164" fontId="1" fillId="9" borderId="0" xfId="5" applyNumberFormat="1" applyFill="1"/>
    <xf numFmtId="165" fontId="2" fillId="9" borderId="0" xfId="5" applyNumberFormat="1" applyFont="1" applyFill="1"/>
    <xf numFmtId="11" fontId="2" fillId="9" borderId="0" xfId="5" applyNumberFormat="1" applyFont="1" applyFill="1" applyBorder="1"/>
    <xf numFmtId="0" fontId="37" fillId="5" borderId="0" xfId="0" applyFont="1" applyFill="1" applyBorder="1" applyAlignment="1" applyProtection="1">
      <alignment vertical="center"/>
    </xf>
    <xf numFmtId="2" fontId="0" fillId="5" borderId="1" xfId="0" applyNumberFormat="1" applyFill="1" applyBorder="1" applyAlignment="1" applyProtection="1">
      <alignment horizontal="center" vertical="center"/>
    </xf>
    <xf numFmtId="0" fontId="3" fillId="0" borderId="0" xfId="0" applyFont="1" applyBorder="1" applyAlignment="1">
      <alignment horizontal="left"/>
    </xf>
    <xf numFmtId="2" fontId="6" fillId="3" borderId="0" xfId="5" applyNumberFormat="1" applyFont="1" applyFill="1" applyBorder="1"/>
    <xf numFmtId="1" fontId="3" fillId="10" borderId="0" xfId="0" applyNumberFormat="1" applyFont="1" applyFill="1"/>
    <xf numFmtId="0" fontId="3" fillId="10" borderId="0" xfId="0" applyFont="1" applyFill="1"/>
    <xf numFmtId="0" fontId="0" fillId="10" borderId="0" xfId="0" applyFill="1"/>
    <xf numFmtId="1" fontId="3" fillId="11" borderId="0" xfId="0" applyNumberFormat="1" applyFont="1" applyFill="1"/>
    <xf numFmtId="0" fontId="3" fillId="11" borderId="0" xfId="0" applyFont="1" applyFill="1"/>
    <xf numFmtId="0" fontId="0" fillId="11" borderId="0" xfId="0" applyFill="1"/>
    <xf numFmtId="0" fontId="0" fillId="0" borderId="0" xfId="0" applyFont="1" applyAlignment="1">
      <alignment horizontal="right"/>
    </xf>
    <xf numFmtId="2" fontId="3" fillId="2" borderId="0" xfId="0" applyNumberFormat="1" applyFont="1" applyFill="1" applyBorder="1" applyAlignment="1">
      <alignment horizontal="center"/>
    </xf>
    <xf numFmtId="2" fontId="3" fillId="2" borderId="6" xfId="0" applyNumberFormat="1" applyFont="1" applyFill="1" applyBorder="1" applyAlignment="1">
      <alignment horizontal="center"/>
    </xf>
    <xf numFmtId="2" fontId="3" fillId="2" borderId="7" xfId="0" applyNumberFormat="1" applyFont="1" applyFill="1" applyBorder="1" applyAlignment="1">
      <alignment horizontal="center"/>
    </xf>
    <xf numFmtId="2" fontId="0" fillId="5" borderId="0" xfId="0" applyNumberFormat="1" applyFill="1" applyAlignment="1" applyProtection="1">
      <alignment vertical="center"/>
    </xf>
    <xf numFmtId="1" fontId="1" fillId="5" borderId="0" xfId="0" applyNumberFormat="1" applyFont="1" applyFill="1" applyAlignment="1" applyProtection="1">
      <alignment vertical="center"/>
    </xf>
    <xf numFmtId="0" fontId="3" fillId="0" borderId="13" xfId="0" applyFont="1" applyBorder="1" applyAlignment="1">
      <alignment horizontal="center"/>
    </xf>
    <xf numFmtId="0" fontId="0" fillId="0" borderId="14" xfId="0" applyBorder="1"/>
    <xf numFmtId="0" fontId="1" fillId="0" borderId="5" xfId="0" applyFont="1" applyBorder="1"/>
    <xf numFmtId="0" fontId="3" fillId="0" borderId="5"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2" fontId="0" fillId="0" borderId="5"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horizontal="center"/>
    </xf>
    <xf numFmtId="2" fontId="0" fillId="0" borderId="11" xfId="0" applyNumberFormat="1" applyBorder="1" applyAlignment="1">
      <alignment horizontal="center"/>
    </xf>
    <xf numFmtId="2" fontId="0" fillId="0" borderId="15" xfId="0" applyNumberFormat="1" applyBorder="1" applyAlignment="1">
      <alignment horizontal="center"/>
    </xf>
    <xf numFmtId="2" fontId="0" fillId="0" borderId="12" xfId="0" applyNumberFormat="1" applyBorder="1" applyAlignment="1">
      <alignment horizontal="center"/>
    </xf>
    <xf numFmtId="0" fontId="3" fillId="0" borderId="13" xfId="0" applyFont="1" applyBorder="1"/>
    <xf numFmtId="0" fontId="0" fillId="0" borderId="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12" borderId="0" xfId="0" applyFill="1" applyAlignment="1" applyProtection="1">
      <alignment vertical="center"/>
    </xf>
    <xf numFmtId="2" fontId="0" fillId="12" borderId="0" xfId="0" applyNumberFormat="1" applyFill="1" applyBorder="1" applyAlignment="1" applyProtection="1">
      <alignment horizontal="center" vertical="center"/>
    </xf>
    <xf numFmtId="0" fontId="33" fillId="12" borderId="0" xfId="3" applyFill="1"/>
    <xf numFmtId="0" fontId="1" fillId="12" borderId="0" xfId="0" applyFont="1" applyFill="1" applyAlignment="1" applyProtection="1">
      <alignment vertical="center"/>
    </xf>
    <xf numFmtId="2" fontId="1" fillId="12" borderId="3" xfId="0" applyNumberFormat="1" applyFont="1" applyFill="1" applyBorder="1" applyAlignment="1">
      <alignment horizontal="center"/>
    </xf>
    <xf numFmtId="1" fontId="21" fillId="8" borderId="1" xfId="0" applyNumberFormat="1" applyFont="1" applyFill="1" applyBorder="1" applyAlignment="1" applyProtection="1">
      <alignment horizontal="center" vertical="center"/>
    </xf>
    <xf numFmtId="1" fontId="21" fillId="8" borderId="1" xfId="0" quotePrefix="1" applyNumberFormat="1" applyFont="1" applyFill="1" applyBorder="1" applyAlignment="1" applyProtection="1">
      <alignment horizontal="center" vertical="center"/>
    </xf>
    <xf numFmtId="9" fontId="21" fillId="8" borderId="1" xfId="0" applyNumberFormat="1" applyFont="1" applyFill="1" applyBorder="1" applyAlignment="1" applyProtection="1">
      <alignment horizontal="center" vertical="center"/>
    </xf>
    <xf numFmtId="2" fontId="0" fillId="5" borderId="7" xfId="0" applyNumberFormat="1" applyFill="1" applyBorder="1" applyAlignment="1" applyProtection="1">
      <alignment horizontal="center" vertical="center" wrapText="1"/>
    </xf>
    <xf numFmtId="0" fontId="34" fillId="0" borderId="0" xfId="0" applyFont="1" applyBorder="1"/>
    <xf numFmtId="2" fontId="34" fillId="0" borderId="0" xfId="0" applyNumberFormat="1" applyFont="1" applyBorder="1"/>
    <xf numFmtId="9" fontId="0" fillId="0" borderId="0" xfId="5" applyFont="1"/>
    <xf numFmtId="0" fontId="0" fillId="0" borderId="6" xfId="0" applyBorder="1"/>
    <xf numFmtId="9" fontId="0" fillId="0" borderId="6" xfId="0" applyNumberFormat="1" applyBorder="1"/>
    <xf numFmtId="0" fontId="0" fillId="0" borderId="8" xfId="0" applyBorder="1"/>
    <xf numFmtId="9" fontId="0" fillId="0" borderId="8" xfId="0" applyNumberFormat="1" applyBorder="1"/>
    <xf numFmtId="0" fontId="0" fillId="0" borderId="7" xfId="0" applyBorder="1"/>
    <xf numFmtId="9" fontId="0" fillId="0" borderId="7" xfId="0" applyNumberFormat="1" applyBorder="1"/>
    <xf numFmtId="0" fontId="0" fillId="12" borderId="0" xfId="0" applyFill="1" applyAlignment="1" applyProtection="1">
      <alignment horizontal="center" vertical="center"/>
    </xf>
    <xf numFmtId="2" fontId="0" fillId="0" borderId="5" xfId="0" applyNumberFormat="1" applyBorder="1" applyAlignment="1"/>
    <xf numFmtId="2" fontId="0" fillId="0" borderId="0" xfId="0" applyNumberFormat="1" applyBorder="1" applyAlignment="1"/>
    <xf numFmtId="2" fontId="0" fillId="0" borderId="11" xfId="0" applyNumberFormat="1" applyBorder="1" applyAlignment="1"/>
    <xf numFmtId="2" fontId="0" fillId="0" borderId="15" xfId="0" applyNumberFormat="1" applyBorder="1" applyAlignment="1"/>
    <xf numFmtId="2" fontId="0" fillId="0" borderId="0" xfId="0" applyNumberFormat="1" applyFill="1" applyBorder="1" applyAlignment="1"/>
    <xf numFmtId="1" fontId="1" fillId="5"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xf>
    <xf numFmtId="0" fontId="31" fillId="0" borderId="0" xfId="4" applyAlignment="1">
      <alignment horizontal="right" vertical="center"/>
    </xf>
    <xf numFmtId="0" fontId="31" fillId="0" borderId="0" xfId="4" quotePrefix="1" applyFont="1" applyBorder="1" applyAlignment="1">
      <alignment vertical="center"/>
    </xf>
    <xf numFmtId="0" fontId="31" fillId="0" borderId="0" xfId="4" applyAlignment="1">
      <alignment vertical="center"/>
    </xf>
    <xf numFmtId="0" fontId="1" fillId="0" borderId="0" xfId="0" applyFont="1" applyFill="1" applyAlignment="1" applyProtection="1">
      <alignment horizontal="left"/>
    </xf>
    <xf numFmtId="0" fontId="38" fillId="0" borderId="0" xfId="4" applyFont="1" applyBorder="1" applyAlignment="1">
      <alignment horizontal="center" vertical="center"/>
    </xf>
    <xf numFmtId="0" fontId="4" fillId="0" borderId="0" xfId="0" applyFont="1" applyFill="1" applyAlignment="1" applyProtection="1">
      <alignment horizontal="center"/>
    </xf>
    <xf numFmtId="0" fontId="1" fillId="0" borderId="0" xfId="0" applyFont="1" applyProtection="1"/>
    <xf numFmtId="0" fontId="31" fillId="0" borderId="0" xfId="4" quotePrefix="1" applyAlignment="1">
      <alignment vertical="center"/>
    </xf>
    <xf numFmtId="11" fontId="31" fillId="0" borderId="0" xfId="4" applyNumberFormat="1" applyBorder="1" applyAlignment="1">
      <alignment vertical="center"/>
    </xf>
    <xf numFmtId="1" fontId="31" fillId="0" borderId="0" xfId="4" applyNumberFormat="1" applyBorder="1" applyAlignment="1">
      <alignment vertical="center"/>
    </xf>
    <xf numFmtId="2" fontId="31" fillId="0" borderId="0" xfId="4" applyNumberFormat="1" applyBorder="1" applyAlignment="1">
      <alignment vertical="center"/>
    </xf>
    <xf numFmtId="165" fontId="0" fillId="5" borderId="0" xfId="0" applyNumberFormat="1" applyFill="1" applyBorder="1" applyAlignment="1" applyProtection="1">
      <alignment horizontal="center" vertical="center"/>
    </xf>
    <xf numFmtId="1" fontId="2" fillId="5" borderId="0" xfId="0" applyNumberFormat="1" applyFont="1" applyFill="1" applyAlignment="1" applyProtection="1">
      <alignment vertical="center"/>
    </xf>
    <xf numFmtId="14" fontId="24" fillId="5" borderId="0" xfId="0" applyNumberFormat="1" applyFont="1" applyFill="1" applyAlignment="1" applyProtection="1">
      <alignment vertical="center"/>
    </xf>
    <xf numFmtId="0" fontId="0" fillId="0" borderId="1" xfId="0" applyBorder="1"/>
    <xf numFmtId="1" fontId="0" fillId="0" borderId="1" xfId="0" applyNumberFormat="1" applyBorder="1"/>
    <xf numFmtId="0" fontId="0" fillId="0" borderId="1" xfId="0" applyBorder="1" applyAlignment="1">
      <alignment horizontal="right"/>
    </xf>
    <xf numFmtId="2" fontId="2" fillId="5" borderId="0" xfId="0" applyNumberFormat="1" applyFont="1" applyFill="1" applyBorder="1" applyAlignment="1" applyProtection="1">
      <alignment vertical="center"/>
    </xf>
    <xf numFmtId="0" fontId="30" fillId="0" borderId="0" xfId="0" applyFont="1" applyAlignment="1">
      <alignment wrapText="1"/>
    </xf>
    <xf numFmtId="0" fontId="30" fillId="0" borderId="0" xfId="0" applyFont="1"/>
    <xf numFmtId="9" fontId="0" fillId="0" borderId="0" xfId="5" applyFont="1" applyFill="1" applyProtection="1"/>
    <xf numFmtId="0" fontId="1" fillId="0"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1" fontId="2" fillId="5" borderId="0" xfId="0" applyNumberFormat="1" applyFont="1" applyFill="1" applyBorder="1" applyAlignment="1" applyProtection="1">
      <alignment horizontal="center" vertical="center"/>
    </xf>
    <xf numFmtId="2" fontId="12" fillId="6" borderId="3" xfId="0" applyNumberFormat="1" applyFont="1" applyFill="1" applyBorder="1" applyAlignment="1" applyProtection="1">
      <alignment horizontal="center" vertical="center"/>
      <protection locked="0"/>
    </xf>
    <xf numFmtId="2" fontId="12" fillId="6" borderId="2" xfId="0" applyNumberFormat="1" applyFont="1" applyFill="1" applyBorder="1" applyAlignment="1" applyProtection="1">
      <alignment horizontal="center" vertical="center"/>
      <protection locked="0"/>
    </xf>
    <xf numFmtId="2" fontId="12" fillId="6" borderId="4" xfId="0" applyNumberFormat="1" applyFont="1" applyFill="1" applyBorder="1" applyAlignment="1" applyProtection="1">
      <alignment horizontal="center" vertical="center"/>
      <protection locked="0"/>
    </xf>
    <xf numFmtId="0" fontId="1" fillId="12" borderId="0" xfId="0" applyFont="1" applyFill="1" applyBorder="1" applyAlignment="1" applyProtection="1">
      <alignment horizontal="center" vertical="center"/>
    </xf>
    <xf numFmtId="0" fontId="16" fillId="8" borderId="3" xfId="0" applyFont="1" applyFill="1" applyBorder="1" applyAlignment="1" applyProtection="1">
      <alignment horizontal="center" vertical="center"/>
    </xf>
    <xf numFmtId="0" fontId="16" fillId="8" borderId="2" xfId="0" applyFont="1" applyFill="1" applyBorder="1" applyAlignment="1" applyProtection="1">
      <alignment horizontal="center" vertical="center"/>
    </xf>
    <xf numFmtId="0" fontId="16" fillId="8" borderId="4" xfId="0" applyFont="1" applyFill="1" applyBorder="1" applyAlignment="1" applyProtection="1">
      <alignment horizontal="center" vertical="center"/>
    </xf>
    <xf numFmtId="1" fontId="39" fillId="8"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left" vertical="center" wrapText="1"/>
    </xf>
    <xf numFmtId="0" fontId="9" fillId="5" borderId="0" xfId="0" applyFont="1" applyFill="1" applyBorder="1" applyAlignment="1" applyProtection="1">
      <alignment horizontal="center" vertical="center"/>
    </xf>
    <xf numFmtId="0" fontId="1" fillId="13" borderId="0" xfId="0" applyFont="1" applyFill="1" applyBorder="1" applyAlignment="1" applyProtection="1">
      <alignment horizontal="center" vertical="center"/>
    </xf>
    <xf numFmtId="165" fontId="20" fillId="5" borderId="15" xfId="0" applyNumberFormat="1" applyFont="1" applyFill="1" applyBorder="1" applyAlignment="1" applyProtection="1">
      <alignment horizontal="center" vertical="center"/>
    </xf>
    <xf numFmtId="1" fontId="1" fillId="5"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center"/>
    </xf>
    <xf numFmtId="0" fontId="0" fillId="0" borderId="0" xfId="0" applyAlignment="1">
      <alignment horizontal="center" wrapText="1"/>
    </xf>
    <xf numFmtId="0" fontId="4" fillId="0" borderId="0" xfId="0" applyFont="1" applyAlignment="1">
      <alignment horizontal="center"/>
    </xf>
    <xf numFmtId="0" fontId="18" fillId="0" borderId="0" xfId="0" applyFont="1" applyAlignment="1">
      <alignment horizontal="center"/>
    </xf>
    <xf numFmtId="0" fontId="0" fillId="0" borderId="0" xfId="0" quotePrefix="1" applyAlignment="1">
      <alignment horizontal="center"/>
    </xf>
    <xf numFmtId="0" fontId="0" fillId="0" borderId="1" xfId="0"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164" fontId="12" fillId="6" borderId="1" xfId="0" applyNumberFormat="1"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165" fontId="12" fillId="6" borderId="1" xfId="0" applyNumberFormat="1" applyFont="1" applyFill="1" applyBorder="1" applyAlignment="1" applyProtection="1">
      <alignment horizontal="center" vertical="center"/>
      <protection locked="0"/>
    </xf>
    <xf numFmtId="9" fontId="12" fillId="6" borderId="1" xfId="5" applyFont="1" applyFill="1" applyBorder="1" applyAlignment="1" applyProtection="1">
      <alignment horizontal="center" vertical="center"/>
      <protection locked="0"/>
    </xf>
    <xf numFmtId="3" fontId="12" fillId="6" borderId="1" xfId="0" applyNumberFormat="1" applyFont="1" applyFill="1" applyBorder="1" applyAlignment="1" applyProtection="1">
      <alignment horizontal="center" vertical="center"/>
      <protection locked="0"/>
    </xf>
    <xf numFmtId="1" fontId="12" fillId="6" borderId="1" xfId="0" applyNumberFormat="1" applyFont="1" applyFill="1" applyBorder="1" applyAlignment="1" applyProtection="1">
      <alignment horizontal="center" vertical="center"/>
      <protection locked="0"/>
    </xf>
    <xf numFmtId="3" fontId="12" fillId="6" borderId="7" xfId="0" applyNumberFormat="1" applyFont="1" applyFill="1" applyBorder="1" applyAlignment="1" applyProtection="1">
      <alignment horizontal="center" vertical="center"/>
      <protection locked="0"/>
    </xf>
    <xf numFmtId="164" fontId="12" fillId="6" borderId="1" xfId="0" applyNumberFormat="1" applyFont="1" applyFill="1" applyBorder="1" applyAlignment="1" applyProtection="1">
      <alignment horizontal="center" vertical="center"/>
      <protection locked="0"/>
    </xf>
    <xf numFmtId="164"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2" fontId="12" fillId="0" borderId="1" xfId="0" applyNumberFormat="1" applyFont="1" applyFill="1" applyBorder="1" applyAlignment="1" applyProtection="1">
      <alignment horizontal="center" vertical="center" wrapText="1"/>
      <protection locked="0"/>
    </xf>
  </cellXfs>
  <cellStyles count="7">
    <cellStyle name="Comma" xfId="1" builtinId="3"/>
    <cellStyle name="Comma 2" xfId="6"/>
    <cellStyle name="Hyperlink" xfId="2" builtinId="8"/>
    <cellStyle name="Neutral" xfId="3" builtinId="28"/>
    <cellStyle name="Normal" xfId="0" builtinId="0"/>
    <cellStyle name="Normal 2" xfId="4"/>
    <cellStyle name="Percent" xfId="5" builtinId="5"/>
  </cellStyles>
  <dxfs count="11">
    <dxf>
      <fill>
        <patternFill>
          <bgColor indexed="45"/>
        </patternFill>
      </fill>
    </dxf>
    <dxf>
      <fill>
        <patternFill>
          <bgColor rgb="FFCCFFCC"/>
        </patternFill>
      </fill>
    </dxf>
    <dxf>
      <font>
        <b/>
        <i val="0"/>
        <condense val="0"/>
        <extend val="0"/>
      </font>
      <fill>
        <patternFill>
          <bgColor indexed="10"/>
        </patternFill>
      </fill>
    </dxf>
    <dxf>
      <font>
        <color theme="0" tint="-0.24994659260841701"/>
      </font>
      <fill>
        <patternFill>
          <bgColor theme="0" tint="-0.24994659260841701"/>
        </patternFill>
      </fill>
    </dxf>
    <dxf>
      <font>
        <color theme="0" tint="-0.24994659260841701"/>
      </font>
    </dxf>
    <dxf>
      <font>
        <color theme="0" tint="-0.24994659260841701"/>
      </font>
    </dxf>
    <dxf>
      <font>
        <color theme="0" tint="-0.24994659260841701"/>
      </font>
      <fill>
        <patternFill>
          <bgColor theme="0" tint="-0.24994659260841701"/>
        </patternFill>
      </fill>
    </dxf>
    <dxf>
      <font>
        <color rgb="FF9C0006"/>
      </font>
      <fill>
        <patternFill>
          <bgColor theme="5" tint="0.39994506668294322"/>
        </patternFill>
      </fill>
    </dxf>
    <dxf>
      <font>
        <color rgb="FF9C0006"/>
      </font>
      <fill>
        <patternFill>
          <bgColor theme="5" tint="0.39994506668294322"/>
        </patternFill>
      </fill>
    </dxf>
    <dxf>
      <font>
        <color rgb="FF9C0006"/>
      </font>
      <fill>
        <patternFill>
          <bgColor rgb="FFFFC7CE"/>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09169386146123"/>
          <c:y val="0.14684415444085425"/>
          <c:w val="0.80546466237174896"/>
          <c:h val="0.73251546743908003"/>
        </c:manualLayout>
      </c:layout>
      <c:scatterChart>
        <c:scatterStyle val="lineMarker"/>
        <c:varyColors val="0"/>
        <c:ser>
          <c:idx val="4"/>
          <c:order val="0"/>
          <c:tx>
            <c:v>Coil</c:v>
          </c:tx>
          <c:spPr>
            <a:ln w="25400">
              <a:solidFill>
                <a:srgbClr val="FF0000"/>
              </a:solidFill>
              <a:prstDash val="solid"/>
            </a:ln>
          </c:spPr>
          <c:marker>
            <c:symbol val="none"/>
          </c:marker>
          <c:dPt>
            <c:idx val="100"/>
            <c:bubble3D val="0"/>
            <c:spPr>
              <a:ln w="25400">
                <a:solidFill>
                  <a:srgbClr val="FF0000"/>
                </a:solidFill>
                <a:prstDash val="solid"/>
              </a:ln>
            </c:spPr>
          </c:dPt>
          <c:dPt>
            <c:idx val="101"/>
            <c:marker>
              <c:symbol val="square"/>
              <c:size val="7"/>
              <c:spPr>
                <a:noFill/>
                <a:ln>
                  <a:solidFill>
                    <a:srgbClr val="FF0000"/>
                  </a:solidFill>
                </a:ln>
              </c:spPr>
            </c:marker>
            <c:bubble3D val="0"/>
            <c:spPr>
              <a:ln w="25400">
                <a:solidFill>
                  <a:srgbClr val="FF0000"/>
                </a:solidFill>
                <a:prstDash val="solid"/>
              </a:ln>
            </c:spPr>
          </c:dPt>
          <c:xVal>
            <c:numRef>
              <c:f>Circulation!$A$111:$A$212</c:f>
              <c:numCache>
                <c:formatCode>General</c:formatCode>
                <c:ptCount val="102"/>
                <c:pt idx="0">
                  <c:v>21248</c:v>
                </c:pt>
                <c:pt idx="1">
                  <c:v>21248</c:v>
                </c:pt>
                <c:pt idx="2">
                  <c:v>21022.999999999996</c:v>
                </c:pt>
                <c:pt idx="3">
                  <c:v>20797.999999999996</c:v>
                </c:pt>
                <c:pt idx="4">
                  <c:v>20572.999999999996</c:v>
                </c:pt>
                <c:pt idx="5">
                  <c:v>20348</c:v>
                </c:pt>
                <c:pt idx="6">
                  <c:v>20123</c:v>
                </c:pt>
                <c:pt idx="7">
                  <c:v>19898</c:v>
                </c:pt>
                <c:pt idx="8">
                  <c:v>19673</c:v>
                </c:pt>
                <c:pt idx="9">
                  <c:v>19448</c:v>
                </c:pt>
                <c:pt idx="10">
                  <c:v>19223</c:v>
                </c:pt>
                <c:pt idx="11">
                  <c:v>18998</c:v>
                </c:pt>
                <c:pt idx="12">
                  <c:v>18773</c:v>
                </c:pt>
                <c:pt idx="13">
                  <c:v>18548</c:v>
                </c:pt>
                <c:pt idx="14">
                  <c:v>18323</c:v>
                </c:pt>
                <c:pt idx="15">
                  <c:v>18098</c:v>
                </c:pt>
                <c:pt idx="16">
                  <c:v>17872.999999999996</c:v>
                </c:pt>
                <c:pt idx="17">
                  <c:v>17647.999999999996</c:v>
                </c:pt>
                <c:pt idx="18">
                  <c:v>17422.999999999996</c:v>
                </c:pt>
                <c:pt idx="19">
                  <c:v>17197.999999999996</c:v>
                </c:pt>
                <c:pt idx="20">
                  <c:v>16973</c:v>
                </c:pt>
                <c:pt idx="21">
                  <c:v>16748</c:v>
                </c:pt>
                <c:pt idx="22">
                  <c:v>16523</c:v>
                </c:pt>
                <c:pt idx="23">
                  <c:v>16297.999999999996</c:v>
                </c:pt>
                <c:pt idx="24">
                  <c:v>16072.999999999996</c:v>
                </c:pt>
                <c:pt idx="25">
                  <c:v>15848</c:v>
                </c:pt>
                <c:pt idx="26">
                  <c:v>15623</c:v>
                </c:pt>
                <c:pt idx="27">
                  <c:v>15397.999999999998</c:v>
                </c:pt>
                <c:pt idx="28">
                  <c:v>15172.999999999998</c:v>
                </c:pt>
                <c:pt idx="29">
                  <c:v>14947.999999999998</c:v>
                </c:pt>
                <c:pt idx="30">
                  <c:v>14722.999999999998</c:v>
                </c:pt>
                <c:pt idx="31">
                  <c:v>14497.999999999998</c:v>
                </c:pt>
                <c:pt idx="32">
                  <c:v>14272.999999999998</c:v>
                </c:pt>
                <c:pt idx="33">
                  <c:v>14048</c:v>
                </c:pt>
                <c:pt idx="34">
                  <c:v>13823</c:v>
                </c:pt>
                <c:pt idx="35">
                  <c:v>13598</c:v>
                </c:pt>
                <c:pt idx="36">
                  <c:v>13373</c:v>
                </c:pt>
                <c:pt idx="37">
                  <c:v>13147.999999999998</c:v>
                </c:pt>
                <c:pt idx="38">
                  <c:v>12922.999999999998</c:v>
                </c:pt>
                <c:pt idx="39">
                  <c:v>12697.999999999998</c:v>
                </c:pt>
                <c:pt idx="40">
                  <c:v>12472.999999999998</c:v>
                </c:pt>
                <c:pt idx="41">
                  <c:v>12247.999999999998</c:v>
                </c:pt>
                <c:pt idx="42">
                  <c:v>12022.999999999998</c:v>
                </c:pt>
                <c:pt idx="43">
                  <c:v>11798</c:v>
                </c:pt>
                <c:pt idx="44">
                  <c:v>11573</c:v>
                </c:pt>
                <c:pt idx="45">
                  <c:v>11348</c:v>
                </c:pt>
                <c:pt idx="46">
                  <c:v>11122.999999999998</c:v>
                </c:pt>
                <c:pt idx="47">
                  <c:v>10898</c:v>
                </c:pt>
                <c:pt idx="48">
                  <c:v>10673</c:v>
                </c:pt>
                <c:pt idx="49">
                  <c:v>10447.999999999998</c:v>
                </c:pt>
                <c:pt idx="50">
                  <c:v>10222.999999999998</c:v>
                </c:pt>
                <c:pt idx="51">
                  <c:v>9997.9999999999982</c:v>
                </c:pt>
                <c:pt idx="52">
                  <c:v>9772.9999999999982</c:v>
                </c:pt>
                <c:pt idx="53">
                  <c:v>9548</c:v>
                </c:pt>
                <c:pt idx="54">
                  <c:v>9323</c:v>
                </c:pt>
                <c:pt idx="55">
                  <c:v>9098</c:v>
                </c:pt>
                <c:pt idx="56">
                  <c:v>8872.9999999999982</c:v>
                </c:pt>
                <c:pt idx="57">
                  <c:v>8648</c:v>
                </c:pt>
                <c:pt idx="58">
                  <c:v>8423</c:v>
                </c:pt>
                <c:pt idx="59">
                  <c:v>8197.9999999999982</c:v>
                </c:pt>
                <c:pt idx="60">
                  <c:v>7972.9999999999991</c:v>
                </c:pt>
                <c:pt idx="61">
                  <c:v>7747.9999999999991</c:v>
                </c:pt>
                <c:pt idx="62">
                  <c:v>7522.9999999999991</c:v>
                </c:pt>
                <c:pt idx="63">
                  <c:v>7298</c:v>
                </c:pt>
                <c:pt idx="64">
                  <c:v>7073</c:v>
                </c:pt>
                <c:pt idx="65">
                  <c:v>6848</c:v>
                </c:pt>
                <c:pt idx="66">
                  <c:v>6623.0000000000009</c:v>
                </c:pt>
                <c:pt idx="67">
                  <c:v>6398.0000000000009</c:v>
                </c:pt>
                <c:pt idx="68">
                  <c:v>6173.0000000000009</c:v>
                </c:pt>
                <c:pt idx="69">
                  <c:v>5947.9999999999982</c:v>
                </c:pt>
                <c:pt idx="70">
                  <c:v>5722.9999999999991</c:v>
                </c:pt>
                <c:pt idx="71">
                  <c:v>5497.9999999999991</c:v>
                </c:pt>
                <c:pt idx="72">
                  <c:v>5272.9999999999991</c:v>
                </c:pt>
                <c:pt idx="73">
                  <c:v>5048</c:v>
                </c:pt>
                <c:pt idx="74">
                  <c:v>4823</c:v>
                </c:pt>
                <c:pt idx="75">
                  <c:v>4597.9999999999973</c:v>
                </c:pt>
                <c:pt idx="76">
                  <c:v>4372.9999999999973</c:v>
                </c:pt>
                <c:pt idx="77">
                  <c:v>4147.9999999999982</c:v>
                </c:pt>
                <c:pt idx="78">
                  <c:v>3922.9999999999982</c:v>
                </c:pt>
                <c:pt idx="79">
                  <c:v>3697.9999999999986</c:v>
                </c:pt>
                <c:pt idx="80">
                  <c:v>3472.9999999999986</c:v>
                </c:pt>
                <c:pt idx="81">
                  <c:v>3247.9999999999991</c:v>
                </c:pt>
                <c:pt idx="82">
                  <c:v>3022.9999999999995</c:v>
                </c:pt>
                <c:pt idx="83">
                  <c:v>2797.9999999999995</c:v>
                </c:pt>
                <c:pt idx="84">
                  <c:v>2573</c:v>
                </c:pt>
                <c:pt idx="85">
                  <c:v>2348.0000000000005</c:v>
                </c:pt>
                <c:pt idx="86">
                  <c:v>2123.0000000000005</c:v>
                </c:pt>
                <c:pt idx="87">
                  <c:v>1898.0000000000009</c:v>
                </c:pt>
                <c:pt idx="88">
                  <c:v>1672.9999999999982</c:v>
                </c:pt>
                <c:pt idx="89">
                  <c:v>1447.9999999999986</c:v>
                </c:pt>
                <c:pt idx="90">
                  <c:v>1222.9999999999989</c:v>
                </c:pt>
                <c:pt idx="91">
                  <c:v>997.99999999999909</c:v>
                </c:pt>
                <c:pt idx="92">
                  <c:v>772.99999999999943</c:v>
                </c:pt>
                <c:pt idx="93">
                  <c:v>547.99999999999977</c:v>
                </c:pt>
                <c:pt idx="94">
                  <c:v>323.00000000000006</c:v>
                </c:pt>
                <c:pt idx="95">
                  <c:v>98.000000000000355</c:v>
                </c:pt>
                <c:pt idx="96">
                  <c:v>-127.00000000000232</c:v>
                </c:pt>
                <c:pt idx="97">
                  <c:v>-352.00000000000199</c:v>
                </c:pt>
                <c:pt idx="98">
                  <c:v>-577.00000000000171</c:v>
                </c:pt>
                <c:pt idx="99">
                  <c:v>-802.00000000000136</c:v>
                </c:pt>
                <c:pt idx="100">
                  <c:v>-1027.0000000000011</c:v>
                </c:pt>
                <c:pt idx="101">
                  <c:v>-1252.0000000000009</c:v>
                </c:pt>
              </c:numCache>
            </c:numRef>
          </c:xVal>
          <c:yVal>
            <c:numRef>
              <c:f>Circulation!$B$111:$B$212</c:f>
              <c:numCache>
                <c:formatCode>0</c:formatCode>
                <c:ptCount val="102"/>
                <c:pt idx="0">
                  <c:v>7293.9410593154489</c:v>
                </c:pt>
                <c:pt idx="1">
                  <c:v>7293.9410593154489</c:v>
                </c:pt>
                <c:pt idx="2">
                  <c:v>7293.9410593154489</c:v>
                </c:pt>
                <c:pt idx="3">
                  <c:v>7322.4220835776805</c:v>
                </c:pt>
                <c:pt idx="4">
                  <c:v>7350.9004291586052</c:v>
                </c:pt>
                <c:pt idx="5">
                  <c:v>7379.3760968139077</c:v>
                </c:pt>
                <c:pt idx="6">
                  <c:v>7407.849087298915</c:v>
                </c:pt>
                <c:pt idx="7">
                  <c:v>7436.3194013685988</c:v>
                </c:pt>
                <c:pt idx="8">
                  <c:v>7464.7870397775796</c:v>
                </c:pt>
                <c:pt idx="9">
                  <c:v>7493.2520032801176</c:v>
                </c:pt>
                <c:pt idx="10">
                  <c:v>7521.7142926301231</c:v>
                </c:pt>
                <c:pt idx="11">
                  <c:v>7550.1739085811523</c:v>
                </c:pt>
                <c:pt idx="12">
                  <c:v>7578.6308518864062</c:v>
                </c:pt>
                <c:pt idx="13">
                  <c:v>7607.0851232987307</c:v>
                </c:pt>
                <c:pt idx="14">
                  <c:v>7635.5367235706217</c:v>
                </c:pt>
                <c:pt idx="15">
                  <c:v>7663.9856534542196</c:v>
                </c:pt>
                <c:pt idx="16">
                  <c:v>7692.4319137013126</c:v>
                </c:pt>
                <c:pt idx="17">
                  <c:v>7720.8755050633363</c:v>
                </c:pt>
                <c:pt idx="18">
                  <c:v>7749.316428291374</c:v>
                </c:pt>
                <c:pt idx="19">
                  <c:v>7777.7546841361554</c:v>
                </c:pt>
                <c:pt idx="20">
                  <c:v>7806.1902733480601</c:v>
                </c:pt>
                <c:pt idx="21">
                  <c:v>7834.6231966771138</c:v>
                </c:pt>
                <c:pt idx="22">
                  <c:v>7863.0534548729929</c:v>
                </c:pt>
                <c:pt idx="23">
                  <c:v>7891.481048685022</c:v>
                </c:pt>
                <c:pt idx="24">
                  <c:v>7919.9059788621726</c:v>
                </c:pt>
                <c:pt idx="25">
                  <c:v>7948.3282461530698</c:v>
                </c:pt>
                <c:pt idx="26">
                  <c:v>7976.7478513059832</c:v>
                </c:pt>
                <c:pt idx="27">
                  <c:v>8005.1647950688339</c:v>
                </c:pt>
                <c:pt idx="28">
                  <c:v>8033.5790781891938</c:v>
                </c:pt>
                <c:pt idx="29">
                  <c:v>8061.9907014142827</c:v>
                </c:pt>
                <c:pt idx="30">
                  <c:v>8090.3996654909743</c:v>
                </c:pt>
                <c:pt idx="31">
                  <c:v>8118.8059711657879</c:v>
                </c:pt>
                <c:pt idx="32">
                  <c:v>8147.2096191848987</c:v>
                </c:pt>
                <c:pt idx="33">
                  <c:v>8175.6106102941294</c:v>
                </c:pt>
                <c:pt idx="34">
                  <c:v>8204.0089452389548</c:v>
                </c:pt>
                <c:pt idx="35">
                  <c:v>8232.4046247645019</c:v>
                </c:pt>
                <c:pt idx="36">
                  <c:v>8260.7976496155497</c:v>
                </c:pt>
                <c:pt idx="37">
                  <c:v>8289.1880205365251</c:v>
                </c:pt>
                <c:pt idx="38">
                  <c:v>8317.5757382715128</c:v>
                </c:pt>
                <c:pt idx="39">
                  <c:v>8345.9608035642468</c:v>
                </c:pt>
                <c:pt idx="40">
                  <c:v>8374.3432171581153</c:v>
                </c:pt>
                <c:pt idx="41">
                  <c:v>8402.7229797961572</c:v>
                </c:pt>
                <c:pt idx="42">
                  <c:v>8431.1000922210642</c:v>
                </c:pt>
                <c:pt idx="43">
                  <c:v>8459.4745551751839</c:v>
                </c:pt>
                <c:pt idx="44">
                  <c:v>8487.846369400515</c:v>
                </c:pt>
                <c:pt idx="45">
                  <c:v>8516.2155356387138</c:v>
                </c:pt>
                <c:pt idx="46">
                  <c:v>8544.5820546310842</c:v>
                </c:pt>
                <c:pt idx="47">
                  <c:v>8572.9459271185897</c:v>
                </c:pt>
                <c:pt idx="48">
                  <c:v>8503.4874311684089</c:v>
                </c:pt>
                <c:pt idx="49">
                  <c:v>8434.0396071998657</c:v>
                </c:pt>
                <c:pt idx="50">
                  <c:v>8364.6038561456371</c:v>
                </c:pt>
                <c:pt idx="51">
                  <c:v>8295.1815999710579</c:v>
                </c:pt>
                <c:pt idx="52">
                  <c:v>8225.7742820164676</c:v>
                </c:pt>
                <c:pt idx="53">
                  <c:v>8156.3833673409226</c:v>
                </c:pt>
                <c:pt idx="54">
                  <c:v>8087.0103430673835</c:v>
                </c:pt>
                <c:pt idx="55">
                  <c:v>8017.6567187294668</c:v>
                </c:pt>
                <c:pt idx="56">
                  <c:v>7948.3240266198309</c:v>
                </c:pt>
                <c:pt idx="57">
                  <c:v>7879.0138221403049</c:v>
                </c:pt>
                <c:pt idx="58">
                  <c:v>7809.7276841538578</c:v>
                </c:pt>
                <c:pt idx="59">
                  <c:v>7740.4672153384909</c:v>
                </c:pt>
                <c:pt idx="60">
                  <c:v>7671.2340425431794</c:v>
                </c:pt>
                <c:pt idx="61">
                  <c:v>7602.0298171459417</c:v>
                </c:pt>
                <c:pt idx="62">
                  <c:v>7532.8562154141719</c:v>
                </c:pt>
                <c:pt idx="63">
                  <c:v>7463.7149388673242</c:v>
                </c:pt>
                <c:pt idx="64">
                  <c:v>7394.6077146420848</c:v>
                </c:pt>
                <c:pt idx="65">
                  <c:v>7325.5362958601336</c:v>
                </c:pt>
                <c:pt idx="66">
                  <c:v>7256.5024619986361</c:v>
                </c:pt>
                <c:pt idx="67">
                  <c:v>7187.5080192635796</c:v>
                </c:pt>
                <c:pt idx="68">
                  <c:v>7118.5548009660961</c:v>
                </c:pt>
                <c:pt idx="69">
                  <c:v>7049.6446679018982</c:v>
                </c:pt>
                <c:pt idx="70">
                  <c:v>6980.7795087339837</c:v>
                </c:pt>
                <c:pt idx="71">
                  <c:v>6911.9612403787341</c:v>
                </c:pt>
                <c:pt idx="72">
                  <c:v>6843.1918083955816</c:v>
                </c:pt>
                <c:pt idx="73">
                  <c:v>6774.4731873803776</c:v>
                </c:pt>
                <c:pt idx="74">
                  <c:v>6705.8073813626443</c:v>
                </c:pt>
                <c:pt idx="75">
                  <c:v>6637.1964242068625</c:v>
                </c:pt>
                <c:pt idx="76">
                  <c:v>6568.6423800179673</c:v>
                </c:pt>
                <c:pt idx="77">
                  <c:v>6500.1473435512462</c:v>
                </c:pt>
                <c:pt idx="78">
                  <c:v>6431.7134406268033</c:v>
                </c:pt>
                <c:pt idx="79">
                  <c:v>6363.3428285487971</c:v>
                </c:pt>
                <c:pt idx="80">
                  <c:v>6295.0376965296364</c:v>
                </c:pt>
                <c:pt idx="81">
                  <c:v>6226.8002661193523</c:v>
                </c:pt>
                <c:pt idx="82">
                  <c:v>6158.6327916403498</c:v>
                </c:pt>
                <c:pt idx="83">
                  <c:v>6090.5375606277503</c:v>
                </c:pt>
                <c:pt idx="84">
                  <c:v>6022.5168942755809</c:v>
                </c:pt>
                <c:pt idx="85">
                  <c:v>5954.5731478890075</c:v>
                </c:pt>
                <c:pt idx="86">
                  <c:v>5886.7087113428852</c:v>
                </c:pt>
                <c:pt idx="87">
                  <c:v>5818.9260095468589</c:v>
                </c:pt>
                <c:pt idx="88">
                  <c:v>5751.2275029172934</c:v>
                </c:pt>
                <c:pt idx="89">
                  <c:v>5683.6156878562861</c:v>
                </c:pt>
                <c:pt idx="90">
                  <c:v>5616.0930972380493</c:v>
                </c:pt>
                <c:pt idx="91">
                  <c:v>5548.6623009029627</c:v>
                </c:pt>
                <c:pt idx="92">
                  <c:v>5481.3259061595791</c:v>
                </c:pt>
                <c:pt idx="93">
                  <c:v>5414.08655829491</c:v>
                </c:pt>
                <c:pt idx="94">
                  <c:v>5346.946941093307</c:v>
                </c:pt>
                <c:pt idx="95">
                  <c:v>5279.9097773642789</c:v>
                </c:pt>
                <c:pt idx="96">
                  <c:v>5212.9778294795906</c:v>
                </c:pt>
                <c:pt idx="97">
                  <c:v>5253.4834080831579</c:v>
                </c:pt>
                <c:pt idx="98">
                  <c:v>5293.9838409216973</c:v>
                </c:pt>
                <c:pt idx="99">
                  <c:v>5334.4791299559247</c:v>
                </c:pt>
                <c:pt idx="100">
                  <c:v>5374.9692771453092</c:v>
                </c:pt>
                <c:pt idx="101">
                  <c:v>5415.4542844480766</c:v>
                </c:pt>
              </c:numCache>
            </c:numRef>
          </c:yVal>
          <c:smooth val="0"/>
        </c:ser>
        <c:ser>
          <c:idx val="3"/>
          <c:order val="1"/>
          <c:tx>
            <c:v>BHA</c:v>
          </c:tx>
          <c:spPr>
            <a:ln w="60325" cmpd="dbl">
              <a:solidFill>
                <a:srgbClr val="008000"/>
              </a:solidFill>
              <a:prstDash val="solid"/>
            </a:ln>
          </c:spPr>
          <c:marker>
            <c:symbol val="none"/>
          </c:marker>
          <c:xVal>
            <c:numRef>
              <c:f>Circulation!$A$109:$A$111</c:f>
              <c:numCache>
                <c:formatCode>General</c:formatCode>
                <c:ptCount val="3"/>
                <c:pt idx="0">
                  <c:v>21248</c:v>
                </c:pt>
                <c:pt idx="1">
                  <c:v>21248</c:v>
                </c:pt>
                <c:pt idx="2">
                  <c:v>21248</c:v>
                </c:pt>
              </c:numCache>
            </c:numRef>
          </c:xVal>
          <c:yVal>
            <c:numRef>
              <c:f>Circulation!$B$109:$B$111</c:f>
              <c:numCache>
                <c:formatCode>0</c:formatCode>
                <c:ptCount val="3"/>
                <c:pt idx="0">
                  <c:v>6052.9245241071349</c:v>
                </c:pt>
                <c:pt idx="1">
                  <c:v>6052.9245241071349</c:v>
                </c:pt>
                <c:pt idx="2">
                  <c:v>7293.9410593154489</c:v>
                </c:pt>
              </c:numCache>
            </c:numRef>
          </c:yVal>
          <c:smooth val="0"/>
        </c:ser>
        <c:ser>
          <c:idx val="0"/>
          <c:order val="2"/>
          <c:tx>
            <c:v>Annulus</c:v>
          </c:tx>
          <c:spPr>
            <a:ln w="50800">
              <a:solidFill>
                <a:srgbClr val="969696"/>
              </a:solidFill>
              <a:prstDash val="solid"/>
            </a:ln>
          </c:spPr>
          <c:marker>
            <c:symbol val="none"/>
          </c:marker>
          <c:dPt>
            <c:idx val="0"/>
            <c:marker>
              <c:symbol val="square"/>
              <c:size val="7"/>
              <c:spPr>
                <a:noFill/>
                <a:ln>
                  <a:solidFill>
                    <a:schemeClr val="bg1">
                      <a:lumMod val="50000"/>
                    </a:schemeClr>
                  </a:solidFill>
                </a:ln>
              </c:spPr>
            </c:marker>
            <c:bubble3D val="0"/>
            <c:spPr>
              <a:ln w="50800">
                <a:solidFill>
                  <a:srgbClr val="969696"/>
                </a:solidFill>
                <a:prstDash val="solid"/>
              </a:ln>
            </c:spPr>
          </c:dPt>
          <c:dPt>
            <c:idx val="1"/>
            <c:bubble3D val="0"/>
            <c:spPr>
              <a:ln w="50800">
                <a:solidFill>
                  <a:srgbClr val="969696"/>
                </a:solidFill>
                <a:prstDash val="solid"/>
              </a:ln>
            </c:spPr>
          </c:dPt>
          <c:xVal>
            <c:numRef>
              <c:f>Circulation!$A$9:$A$109</c:f>
              <c:numCache>
                <c:formatCode>General</c:formatCode>
                <c:ptCount val="101"/>
                <c:pt idx="0">
                  <c:v>0</c:v>
                </c:pt>
                <c:pt idx="1">
                  <c:v>212.48</c:v>
                </c:pt>
                <c:pt idx="2">
                  <c:v>424.96</c:v>
                </c:pt>
                <c:pt idx="3">
                  <c:v>637.43999999999983</c:v>
                </c:pt>
                <c:pt idx="4">
                  <c:v>849.92</c:v>
                </c:pt>
                <c:pt idx="5">
                  <c:v>1062.4000000000001</c:v>
                </c:pt>
                <c:pt idx="6">
                  <c:v>1274.8799999999997</c:v>
                </c:pt>
                <c:pt idx="7">
                  <c:v>1487.36</c:v>
                </c:pt>
                <c:pt idx="8">
                  <c:v>1699.84</c:v>
                </c:pt>
                <c:pt idx="9">
                  <c:v>1912.3199999999997</c:v>
                </c:pt>
                <c:pt idx="10">
                  <c:v>2124.8000000000002</c:v>
                </c:pt>
                <c:pt idx="11">
                  <c:v>2337.2800000000002</c:v>
                </c:pt>
                <c:pt idx="12">
                  <c:v>2549.7599999999993</c:v>
                </c:pt>
                <c:pt idx="13">
                  <c:v>2762.24</c:v>
                </c:pt>
                <c:pt idx="14">
                  <c:v>2974.72</c:v>
                </c:pt>
                <c:pt idx="15">
                  <c:v>3187.1999999999994</c:v>
                </c:pt>
                <c:pt idx="16">
                  <c:v>3399.68</c:v>
                </c:pt>
                <c:pt idx="17">
                  <c:v>3612.16</c:v>
                </c:pt>
                <c:pt idx="18">
                  <c:v>3824.6399999999994</c:v>
                </c:pt>
                <c:pt idx="19">
                  <c:v>4037.1200000000003</c:v>
                </c:pt>
                <c:pt idx="20">
                  <c:v>4249.6000000000004</c:v>
                </c:pt>
                <c:pt idx="21">
                  <c:v>4462.079999999999</c:v>
                </c:pt>
                <c:pt idx="22">
                  <c:v>4674.5600000000004</c:v>
                </c:pt>
                <c:pt idx="23">
                  <c:v>4887.04</c:v>
                </c:pt>
                <c:pt idx="24">
                  <c:v>5099.5199999999986</c:v>
                </c:pt>
                <c:pt idx="25">
                  <c:v>5312</c:v>
                </c:pt>
                <c:pt idx="26">
                  <c:v>5524.48</c:v>
                </c:pt>
                <c:pt idx="27">
                  <c:v>5736.9599999999991</c:v>
                </c:pt>
                <c:pt idx="28">
                  <c:v>5949.44</c:v>
                </c:pt>
                <c:pt idx="29">
                  <c:v>6161.92</c:v>
                </c:pt>
                <c:pt idx="30">
                  <c:v>6374.3999999999987</c:v>
                </c:pt>
                <c:pt idx="31">
                  <c:v>6586.88</c:v>
                </c:pt>
                <c:pt idx="32">
                  <c:v>6799.36</c:v>
                </c:pt>
                <c:pt idx="33">
                  <c:v>7011.8399999999992</c:v>
                </c:pt>
                <c:pt idx="34">
                  <c:v>7224.32</c:v>
                </c:pt>
                <c:pt idx="35">
                  <c:v>7436.7999999999984</c:v>
                </c:pt>
                <c:pt idx="36">
                  <c:v>7649.2799999999988</c:v>
                </c:pt>
                <c:pt idx="37">
                  <c:v>7861.76</c:v>
                </c:pt>
                <c:pt idx="38">
                  <c:v>8074.2400000000007</c:v>
                </c:pt>
                <c:pt idx="39">
                  <c:v>8286.7199999999993</c:v>
                </c:pt>
                <c:pt idx="40">
                  <c:v>8499.2000000000007</c:v>
                </c:pt>
                <c:pt idx="41">
                  <c:v>8711.68</c:v>
                </c:pt>
                <c:pt idx="42">
                  <c:v>8924.159999999998</c:v>
                </c:pt>
                <c:pt idx="43">
                  <c:v>9136.64</c:v>
                </c:pt>
                <c:pt idx="44">
                  <c:v>9349.1200000000008</c:v>
                </c:pt>
                <c:pt idx="45">
                  <c:v>9561.5999999999985</c:v>
                </c:pt>
                <c:pt idx="46">
                  <c:v>9774.08</c:v>
                </c:pt>
                <c:pt idx="47">
                  <c:v>9986.56</c:v>
                </c:pt>
                <c:pt idx="48">
                  <c:v>10199.039999999997</c:v>
                </c:pt>
                <c:pt idx="49">
                  <c:v>10411.52</c:v>
                </c:pt>
                <c:pt idx="50">
                  <c:v>10624</c:v>
                </c:pt>
                <c:pt idx="51">
                  <c:v>10836.479999999998</c:v>
                </c:pt>
                <c:pt idx="52">
                  <c:v>11048.96</c:v>
                </c:pt>
                <c:pt idx="53">
                  <c:v>11261.44</c:v>
                </c:pt>
                <c:pt idx="54">
                  <c:v>11473.919999999998</c:v>
                </c:pt>
                <c:pt idx="55">
                  <c:v>11686.4</c:v>
                </c:pt>
                <c:pt idx="56">
                  <c:v>11898.88</c:v>
                </c:pt>
                <c:pt idx="57">
                  <c:v>12111.359999999997</c:v>
                </c:pt>
                <c:pt idx="58">
                  <c:v>12323.84</c:v>
                </c:pt>
                <c:pt idx="59">
                  <c:v>12536.32</c:v>
                </c:pt>
                <c:pt idx="60">
                  <c:v>12748.799999999997</c:v>
                </c:pt>
                <c:pt idx="61">
                  <c:v>12961.279999999999</c:v>
                </c:pt>
                <c:pt idx="62">
                  <c:v>13173.76</c:v>
                </c:pt>
                <c:pt idx="63">
                  <c:v>13386.24</c:v>
                </c:pt>
                <c:pt idx="64">
                  <c:v>13598.72</c:v>
                </c:pt>
                <c:pt idx="65">
                  <c:v>13811.2</c:v>
                </c:pt>
                <c:pt idx="66">
                  <c:v>14023.679999999998</c:v>
                </c:pt>
                <c:pt idx="67">
                  <c:v>14236.159999999998</c:v>
                </c:pt>
                <c:pt idx="68">
                  <c:v>14448.64</c:v>
                </c:pt>
                <c:pt idx="69">
                  <c:v>14661.119999999999</c:v>
                </c:pt>
                <c:pt idx="70">
                  <c:v>14873.599999999997</c:v>
                </c:pt>
                <c:pt idx="71">
                  <c:v>15086.080000000002</c:v>
                </c:pt>
                <c:pt idx="72">
                  <c:v>15298.559999999998</c:v>
                </c:pt>
                <c:pt idx="73">
                  <c:v>15511.039999999999</c:v>
                </c:pt>
                <c:pt idx="74">
                  <c:v>15723.52</c:v>
                </c:pt>
                <c:pt idx="75">
                  <c:v>15935.999999999998</c:v>
                </c:pt>
                <c:pt idx="76">
                  <c:v>16148.480000000001</c:v>
                </c:pt>
                <c:pt idx="77">
                  <c:v>16360.96</c:v>
                </c:pt>
                <c:pt idx="78">
                  <c:v>16573.439999999999</c:v>
                </c:pt>
                <c:pt idx="79">
                  <c:v>16785.919999999998</c:v>
                </c:pt>
                <c:pt idx="80">
                  <c:v>16998.400000000001</c:v>
                </c:pt>
                <c:pt idx="81">
                  <c:v>17210.879999999997</c:v>
                </c:pt>
                <c:pt idx="82">
                  <c:v>17423.36</c:v>
                </c:pt>
                <c:pt idx="83">
                  <c:v>17635.84</c:v>
                </c:pt>
                <c:pt idx="84">
                  <c:v>17848.319999999996</c:v>
                </c:pt>
                <c:pt idx="85">
                  <c:v>18060.8</c:v>
                </c:pt>
                <c:pt idx="86">
                  <c:v>18273.28</c:v>
                </c:pt>
                <c:pt idx="87">
                  <c:v>18485.759999999998</c:v>
                </c:pt>
                <c:pt idx="88">
                  <c:v>18698.240000000002</c:v>
                </c:pt>
                <c:pt idx="89">
                  <c:v>18910.719999999998</c:v>
                </c:pt>
                <c:pt idx="90">
                  <c:v>19123.199999999997</c:v>
                </c:pt>
                <c:pt idx="91">
                  <c:v>19335.679999999997</c:v>
                </c:pt>
                <c:pt idx="92">
                  <c:v>19548.16</c:v>
                </c:pt>
                <c:pt idx="93">
                  <c:v>19760.64</c:v>
                </c:pt>
                <c:pt idx="94">
                  <c:v>19973.12</c:v>
                </c:pt>
                <c:pt idx="95">
                  <c:v>20185.599999999999</c:v>
                </c:pt>
                <c:pt idx="96">
                  <c:v>20398.079999999994</c:v>
                </c:pt>
                <c:pt idx="97">
                  <c:v>20610.560000000001</c:v>
                </c:pt>
                <c:pt idx="98">
                  <c:v>20823.04</c:v>
                </c:pt>
                <c:pt idx="99">
                  <c:v>21035.519999999997</c:v>
                </c:pt>
                <c:pt idx="100">
                  <c:v>21248</c:v>
                </c:pt>
              </c:numCache>
            </c:numRef>
          </c:xVal>
          <c:yVal>
            <c:numRef>
              <c:f>Circulation!$B$9:$B$109</c:f>
              <c:numCache>
                <c:formatCode>0</c:formatCode>
                <c:ptCount val="101"/>
                <c:pt idx="0">
                  <c:v>1014.7283138706209</c:v>
                </c:pt>
                <c:pt idx="1">
                  <c:v>1109.8345245031392</c:v>
                </c:pt>
                <c:pt idx="2">
                  <c:v>1204.9173839926241</c:v>
                </c:pt>
                <c:pt idx="3">
                  <c:v>1299.9757548834791</c:v>
                </c:pt>
                <c:pt idx="4">
                  <c:v>1395.0085136505602</c:v>
                </c:pt>
                <c:pt idx="5">
                  <c:v>1490.0145506989213</c:v>
                </c:pt>
                <c:pt idx="6">
                  <c:v>1584.9927703606018</c:v>
                </c:pt>
                <c:pt idx="7">
                  <c:v>1679.9420908884829</c:v>
                </c:pt>
                <c:pt idx="8">
                  <c:v>1774.8614444472464</c:v>
                </c:pt>
                <c:pt idx="9">
                  <c:v>1869.749777101455</c:v>
                </c:pt>
                <c:pt idx="10">
                  <c:v>1964.6060488007893</c:v>
                </c:pt>
                <c:pt idx="11">
                  <c:v>2059.4292333624653</c:v>
                </c:pt>
                <c:pt idx="12">
                  <c:v>2154.2183184508563</c:v>
                </c:pt>
                <c:pt idx="13">
                  <c:v>2248.9723055543518</c:v>
                </c:pt>
                <c:pt idx="14">
                  <c:v>2343.6902099594749</c:v>
                </c:pt>
                <c:pt idx="15">
                  <c:v>2438.3710607222833</c:v>
                </c:pt>
                <c:pt idx="16">
                  <c:v>2533.0139006370832</c:v>
                </c:pt>
                <c:pt idx="17">
                  <c:v>2627.6177862024774</c:v>
                </c:pt>
                <c:pt idx="18">
                  <c:v>2722.1817875847792</c:v>
                </c:pt>
                <c:pt idx="19">
                  <c:v>2816.7049885788019</c:v>
                </c:pt>
                <c:pt idx="20">
                  <c:v>2911.1864865660696</c:v>
                </c:pt>
                <c:pt idx="21">
                  <c:v>3005.6253924704533</c:v>
                </c:pt>
                <c:pt idx="22">
                  <c:v>3100.0208307112684</c:v>
                </c:pt>
                <c:pt idx="23">
                  <c:v>3194.3719391538543</c:v>
                </c:pt>
                <c:pt idx="24">
                  <c:v>3288.6778690576543</c:v>
                </c:pt>
                <c:pt idx="25">
                  <c:v>3382.9377850218284</c:v>
                </c:pt>
                <c:pt idx="26">
                  <c:v>3477.1508649284124</c:v>
                </c:pt>
                <c:pt idx="27">
                  <c:v>3571.3162998830517</c:v>
                </c:pt>
                <c:pt idx="28">
                  <c:v>3665.4332941533276</c:v>
                </c:pt>
                <c:pt idx="29">
                  <c:v>3759.5010651047064</c:v>
                </c:pt>
                <c:pt idx="30">
                  <c:v>3853.5188431341207</c:v>
                </c:pt>
                <c:pt idx="31">
                  <c:v>3947.4858716012154</c:v>
                </c:pt>
                <c:pt idx="32">
                  <c:v>4041.4014067572725</c:v>
                </c:pt>
                <c:pt idx="33">
                  <c:v>4135.264717671841</c:v>
                </c:pt>
                <c:pt idx="34">
                  <c:v>4229.0750861570914</c:v>
                </c:pt>
                <c:pt idx="35">
                  <c:v>4322.8318066899092</c:v>
                </c:pt>
                <c:pt idx="36">
                  <c:v>4416.5341863317553</c:v>
                </c:pt>
                <c:pt idx="37">
                  <c:v>4510.1815446463161</c:v>
                </c:pt>
                <c:pt idx="38">
                  <c:v>4603.773213614948</c:v>
                </c:pt>
                <c:pt idx="39">
                  <c:v>4697.3085375499531</c:v>
                </c:pt>
                <c:pt idx="40">
                  <c:v>4790.7868730056962</c:v>
                </c:pt>
                <c:pt idx="41">
                  <c:v>4884.2075886875828</c:v>
                </c:pt>
                <c:pt idx="42">
                  <c:v>4977.5700653589174</c:v>
                </c:pt>
                <c:pt idx="43">
                  <c:v>5070.8736957456667</c:v>
                </c:pt>
                <c:pt idx="44">
                  <c:v>5164.1178844391361</c:v>
                </c:pt>
                <c:pt idx="45">
                  <c:v>5257.3020477965829</c:v>
                </c:pt>
                <c:pt idx="46">
                  <c:v>5350.425613839785</c:v>
                </c:pt>
                <c:pt idx="47">
                  <c:v>5443.4880221515805</c:v>
                </c:pt>
                <c:pt idx="48">
                  <c:v>5536.4887237703988</c:v>
                </c:pt>
                <c:pt idx="49">
                  <c:v>5629.427181082794</c:v>
                </c:pt>
                <c:pt idx="50">
                  <c:v>5722.3028677140046</c:v>
                </c:pt>
                <c:pt idx="51">
                  <c:v>5815.11526841655</c:v>
                </c:pt>
                <c:pt idx="52">
                  <c:v>5907.8638789568895</c:v>
                </c:pt>
                <c:pt idx="53">
                  <c:v>6000.5482060001468</c:v>
                </c:pt>
                <c:pt idx="54">
                  <c:v>6001.662690482397</c:v>
                </c:pt>
                <c:pt idx="55">
                  <c:v>6002.7771708450364</c:v>
                </c:pt>
                <c:pt idx="56">
                  <c:v>6003.8916470881104</c:v>
                </c:pt>
                <c:pt idx="57">
                  <c:v>6005.0061192116655</c:v>
                </c:pt>
                <c:pt idx="58">
                  <c:v>6006.1205872157461</c:v>
                </c:pt>
                <c:pt idx="59">
                  <c:v>6007.2350511003988</c:v>
                </c:pt>
                <c:pt idx="60">
                  <c:v>6008.3495108656698</c:v>
                </c:pt>
                <c:pt idx="61">
                  <c:v>6009.4639665116038</c:v>
                </c:pt>
                <c:pt idx="62">
                  <c:v>6010.5784180382461</c:v>
                </c:pt>
                <c:pt idx="63">
                  <c:v>6011.6928654456424</c:v>
                </c:pt>
                <c:pt idx="64">
                  <c:v>6012.8073087338389</c:v>
                </c:pt>
                <c:pt idx="65">
                  <c:v>6013.9217479028821</c:v>
                </c:pt>
                <c:pt idx="66">
                  <c:v>6015.0361829528165</c:v>
                </c:pt>
                <c:pt idx="67">
                  <c:v>6016.1506138836885</c:v>
                </c:pt>
                <c:pt idx="68">
                  <c:v>6017.2650406955427</c:v>
                </c:pt>
                <c:pt idx="69">
                  <c:v>6018.3794633884263</c:v>
                </c:pt>
                <c:pt idx="70">
                  <c:v>6019.493881962384</c:v>
                </c:pt>
                <c:pt idx="71">
                  <c:v>6020.608296417462</c:v>
                </c:pt>
                <c:pt idx="72">
                  <c:v>6021.7227067537051</c:v>
                </c:pt>
                <c:pt idx="73">
                  <c:v>6022.8371129711595</c:v>
                </c:pt>
                <c:pt idx="74">
                  <c:v>6023.9515150698708</c:v>
                </c:pt>
                <c:pt idx="75">
                  <c:v>6025.0659130498843</c:v>
                </c:pt>
                <c:pt idx="76">
                  <c:v>6026.1803069112457</c:v>
                </c:pt>
                <c:pt idx="77">
                  <c:v>6027.2946966540021</c:v>
                </c:pt>
                <c:pt idx="78">
                  <c:v>6028.4090822781973</c:v>
                </c:pt>
                <c:pt idx="79">
                  <c:v>6029.5234637838785</c:v>
                </c:pt>
                <c:pt idx="80">
                  <c:v>6030.6378411710903</c:v>
                </c:pt>
                <c:pt idx="81">
                  <c:v>6031.752214439879</c:v>
                </c:pt>
                <c:pt idx="82">
                  <c:v>6032.8665835902893</c:v>
                </c:pt>
                <c:pt idx="83">
                  <c:v>6033.9809486223685</c:v>
                </c:pt>
                <c:pt idx="84">
                  <c:v>6035.0953095361601</c:v>
                </c:pt>
                <c:pt idx="85">
                  <c:v>6036.2096663317107</c:v>
                </c:pt>
                <c:pt idx="86">
                  <c:v>6037.3240190090673</c:v>
                </c:pt>
                <c:pt idx="87">
                  <c:v>6038.4383675682739</c:v>
                </c:pt>
                <c:pt idx="88">
                  <c:v>6039.5527120093775</c:v>
                </c:pt>
                <c:pt idx="89">
                  <c:v>6040.6670523324219</c:v>
                </c:pt>
                <c:pt idx="90">
                  <c:v>6041.7813885374535</c:v>
                </c:pt>
                <c:pt idx="91">
                  <c:v>6042.8957206245195</c:v>
                </c:pt>
                <c:pt idx="92">
                  <c:v>6044.0100485936637</c:v>
                </c:pt>
                <c:pt idx="93">
                  <c:v>6045.1243724449323</c:v>
                </c:pt>
                <c:pt idx="94">
                  <c:v>6046.2386921783709</c:v>
                </c:pt>
                <c:pt idx="95">
                  <c:v>6047.3530077940259</c:v>
                </c:pt>
                <c:pt idx="96">
                  <c:v>6048.4673192919427</c:v>
                </c:pt>
                <c:pt idx="97">
                  <c:v>6049.5816266721649</c:v>
                </c:pt>
                <c:pt idx="98">
                  <c:v>6050.6959299347418</c:v>
                </c:pt>
                <c:pt idx="99">
                  <c:v>6051.810229079716</c:v>
                </c:pt>
                <c:pt idx="100">
                  <c:v>6052.9245241071349</c:v>
                </c:pt>
              </c:numCache>
            </c:numRef>
          </c:yVal>
          <c:smooth val="0"/>
        </c:ser>
        <c:ser>
          <c:idx val="1"/>
          <c:order val="3"/>
          <c:tx>
            <c:v>Hydrostatic Head</c:v>
          </c:tx>
          <c:spPr>
            <a:ln w="25400">
              <a:solidFill>
                <a:srgbClr val="0000FF"/>
              </a:solidFill>
              <a:prstDash val="dash"/>
            </a:ln>
          </c:spPr>
          <c:marker>
            <c:symbol val="none"/>
          </c:marker>
          <c:xVal>
            <c:numRef>
              <c:f>Circulation!$A$9:$A$212</c:f>
              <c:numCache>
                <c:formatCode>General</c:formatCode>
                <c:ptCount val="204"/>
                <c:pt idx="0">
                  <c:v>0</c:v>
                </c:pt>
                <c:pt idx="1">
                  <c:v>212.48</c:v>
                </c:pt>
                <c:pt idx="2">
                  <c:v>424.96</c:v>
                </c:pt>
                <c:pt idx="3">
                  <c:v>637.43999999999983</c:v>
                </c:pt>
                <c:pt idx="4">
                  <c:v>849.92</c:v>
                </c:pt>
                <c:pt idx="5">
                  <c:v>1062.4000000000001</c:v>
                </c:pt>
                <c:pt idx="6">
                  <c:v>1274.8799999999997</c:v>
                </c:pt>
                <c:pt idx="7">
                  <c:v>1487.36</c:v>
                </c:pt>
                <c:pt idx="8">
                  <c:v>1699.84</c:v>
                </c:pt>
                <c:pt idx="9">
                  <c:v>1912.3199999999997</c:v>
                </c:pt>
                <c:pt idx="10">
                  <c:v>2124.8000000000002</c:v>
                </c:pt>
                <c:pt idx="11">
                  <c:v>2337.2800000000002</c:v>
                </c:pt>
                <c:pt idx="12">
                  <c:v>2549.7599999999993</c:v>
                </c:pt>
                <c:pt idx="13">
                  <c:v>2762.24</c:v>
                </c:pt>
                <c:pt idx="14">
                  <c:v>2974.72</c:v>
                </c:pt>
                <c:pt idx="15">
                  <c:v>3187.1999999999994</c:v>
                </c:pt>
                <c:pt idx="16">
                  <c:v>3399.68</c:v>
                </c:pt>
                <c:pt idx="17">
                  <c:v>3612.16</c:v>
                </c:pt>
                <c:pt idx="18">
                  <c:v>3824.6399999999994</c:v>
                </c:pt>
                <c:pt idx="19">
                  <c:v>4037.1200000000003</c:v>
                </c:pt>
                <c:pt idx="20">
                  <c:v>4249.6000000000004</c:v>
                </c:pt>
                <c:pt idx="21">
                  <c:v>4462.079999999999</c:v>
                </c:pt>
                <c:pt idx="22">
                  <c:v>4674.5600000000004</c:v>
                </c:pt>
                <c:pt idx="23">
                  <c:v>4887.04</c:v>
                </c:pt>
                <c:pt idx="24">
                  <c:v>5099.5199999999986</c:v>
                </c:pt>
                <c:pt idx="25">
                  <c:v>5312</c:v>
                </c:pt>
                <c:pt idx="26">
                  <c:v>5524.48</c:v>
                </c:pt>
                <c:pt idx="27">
                  <c:v>5736.9599999999991</c:v>
                </c:pt>
                <c:pt idx="28">
                  <c:v>5949.44</c:v>
                </c:pt>
                <c:pt idx="29">
                  <c:v>6161.92</c:v>
                </c:pt>
                <c:pt idx="30">
                  <c:v>6374.3999999999987</c:v>
                </c:pt>
                <c:pt idx="31">
                  <c:v>6586.88</c:v>
                </c:pt>
                <c:pt idx="32">
                  <c:v>6799.36</c:v>
                </c:pt>
                <c:pt idx="33">
                  <c:v>7011.8399999999992</c:v>
                </c:pt>
                <c:pt idx="34">
                  <c:v>7224.32</c:v>
                </c:pt>
                <c:pt idx="35">
                  <c:v>7436.7999999999984</c:v>
                </c:pt>
                <c:pt idx="36">
                  <c:v>7649.2799999999988</c:v>
                </c:pt>
                <c:pt idx="37">
                  <c:v>7861.76</c:v>
                </c:pt>
                <c:pt idx="38">
                  <c:v>8074.2400000000007</c:v>
                </c:pt>
                <c:pt idx="39">
                  <c:v>8286.7199999999993</c:v>
                </c:pt>
                <c:pt idx="40">
                  <c:v>8499.2000000000007</c:v>
                </c:pt>
                <c:pt idx="41">
                  <c:v>8711.68</c:v>
                </c:pt>
                <c:pt idx="42">
                  <c:v>8924.159999999998</c:v>
                </c:pt>
                <c:pt idx="43">
                  <c:v>9136.64</c:v>
                </c:pt>
                <c:pt idx="44">
                  <c:v>9349.1200000000008</c:v>
                </c:pt>
                <c:pt idx="45">
                  <c:v>9561.5999999999985</c:v>
                </c:pt>
                <c:pt idx="46">
                  <c:v>9774.08</c:v>
                </c:pt>
                <c:pt idx="47">
                  <c:v>9986.56</c:v>
                </c:pt>
                <c:pt idx="48">
                  <c:v>10199.039999999997</c:v>
                </c:pt>
                <c:pt idx="49">
                  <c:v>10411.52</c:v>
                </c:pt>
                <c:pt idx="50">
                  <c:v>10624</c:v>
                </c:pt>
                <c:pt idx="51">
                  <c:v>10836.479999999998</c:v>
                </c:pt>
                <c:pt idx="52">
                  <c:v>11048.96</c:v>
                </c:pt>
                <c:pt idx="53">
                  <c:v>11261.44</c:v>
                </c:pt>
                <c:pt idx="54">
                  <c:v>11473.919999999998</c:v>
                </c:pt>
                <c:pt idx="55">
                  <c:v>11686.4</c:v>
                </c:pt>
                <c:pt idx="56">
                  <c:v>11898.88</c:v>
                </c:pt>
                <c:pt idx="57">
                  <c:v>12111.359999999997</c:v>
                </c:pt>
                <c:pt idx="58">
                  <c:v>12323.84</c:v>
                </c:pt>
                <c:pt idx="59">
                  <c:v>12536.32</c:v>
                </c:pt>
                <c:pt idx="60">
                  <c:v>12748.799999999997</c:v>
                </c:pt>
                <c:pt idx="61">
                  <c:v>12961.279999999999</c:v>
                </c:pt>
                <c:pt idx="62">
                  <c:v>13173.76</c:v>
                </c:pt>
                <c:pt idx="63">
                  <c:v>13386.24</c:v>
                </c:pt>
                <c:pt idx="64">
                  <c:v>13598.72</c:v>
                </c:pt>
                <c:pt idx="65">
                  <c:v>13811.2</c:v>
                </c:pt>
                <c:pt idx="66">
                  <c:v>14023.679999999998</c:v>
                </c:pt>
                <c:pt idx="67">
                  <c:v>14236.159999999998</c:v>
                </c:pt>
                <c:pt idx="68">
                  <c:v>14448.64</c:v>
                </c:pt>
                <c:pt idx="69">
                  <c:v>14661.119999999999</c:v>
                </c:pt>
                <c:pt idx="70">
                  <c:v>14873.599999999997</c:v>
                </c:pt>
                <c:pt idx="71">
                  <c:v>15086.080000000002</c:v>
                </c:pt>
                <c:pt idx="72">
                  <c:v>15298.559999999998</c:v>
                </c:pt>
                <c:pt idx="73">
                  <c:v>15511.039999999999</c:v>
                </c:pt>
                <c:pt idx="74">
                  <c:v>15723.52</c:v>
                </c:pt>
                <c:pt idx="75">
                  <c:v>15935.999999999998</c:v>
                </c:pt>
                <c:pt idx="76">
                  <c:v>16148.480000000001</c:v>
                </c:pt>
                <c:pt idx="77">
                  <c:v>16360.96</c:v>
                </c:pt>
                <c:pt idx="78">
                  <c:v>16573.439999999999</c:v>
                </c:pt>
                <c:pt idx="79">
                  <c:v>16785.919999999998</c:v>
                </c:pt>
                <c:pt idx="80">
                  <c:v>16998.400000000001</c:v>
                </c:pt>
                <c:pt idx="81">
                  <c:v>17210.879999999997</c:v>
                </c:pt>
                <c:pt idx="82">
                  <c:v>17423.36</c:v>
                </c:pt>
                <c:pt idx="83">
                  <c:v>17635.84</c:v>
                </c:pt>
                <c:pt idx="84">
                  <c:v>17848.319999999996</c:v>
                </c:pt>
                <c:pt idx="85">
                  <c:v>18060.8</c:v>
                </c:pt>
                <c:pt idx="86">
                  <c:v>18273.28</c:v>
                </c:pt>
                <c:pt idx="87">
                  <c:v>18485.759999999998</c:v>
                </c:pt>
                <c:pt idx="88">
                  <c:v>18698.240000000002</c:v>
                </c:pt>
                <c:pt idx="89">
                  <c:v>18910.719999999998</c:v>
                </c:pt>
                <c:pt idx="90">
                  <c:v>19123.199999999997</c:v>
                </c:pt>
                <c:pt idx="91">
                  <c:v>19335.679999999997</c:v>
                </c:pt>
                <c:pt idx="92">
                  <c:v>19548.16</c:v>
                </c:pt>
                <c:pt idx="93">
                  <c:v>19760.64</c:v>
                </c:pt>
                <c:pt idx="94">
                  <c:v>19973.12</c:v>
                </c:pt>
                <c:pt idx="95">
                  <c:v>20185.599999999999</c:v>
                </c:pt>
                <c:pt idx="96">
                  <c:v>20398.079999999994</c:v>
                </c:pt>
                <c:pt idx="97">
                  <c:v>20610.560000000001</c:v>
                </c:pt>
                <c:pt idx="98">
                  <c:v>20823.04</c:v>
                </c:pt>
                <c:pt idx="99">
                  <c:v>21035.519999999997</c:v>
                </c:pt>
                <c:pt idx="100">
                  <c:v>21248</c:v>
                </c:pt>
                <c:pt idx="101">
                  <c:v>21248</c:v>
                </c:pt>
                <c:pt idx="102">
                  <c:v>21248</c:v>
                </c:pt>
                <c:pt idx="103">
                  <c:v>21248</c:v>
                </c:pt>
                <c:pt idx="104">
                  <c:v>21022.999999999996</c:v>
                </c:pt>
                <c:pt idx="105">
                  <c:v>20797.999999999996</c:v>
                </c:pt>
                <c:pt idx="106">
                  <c:v>20572.999999999996</c:v>
                </c:pt>
                <c:pt idx="107">
                  <c:v>20348</c:v>
                </c:pt>
                <c:pt idx="108">
                  <c:v>20123</c:v>
                </c:pt>
                <c:pt idx="109">
                  <c:v>19898</c:v>
                </c:pt>
                <c:pt idx="110">
                  <c:v>19673</c:v>
                </c:pt>
                <c:pt idx="111">
                  <c:v>19448</c:v>
                </c:pt>
                <c:pt idx="112">
                  <c:v>19223</c:v>
                </c:pt>
                <c:pt idx="113">
                  <c:v>18998</c:v>
                </c:pt>
                <c:pt idx="114">
                  <c:v>18773</c:v>
                </c:pt>
                <c:pt idx="115">
                  <c:v>18548</c:v>
                </c:pt>
                <c:pt idx="116">
                  <c:v>18323</c:v>
                </c:pt>
                <c:pt idx="117">
                  <c:v>18098</c:v>
                </c:pt>
                <c:pt idx="118">
                  <c:v>17872.999999999996</c:v>
                </c:pt>
                <c:pt idx="119">
                  <c:v>17647.999999999996</c:v>
                </c:pt>
                <c:pt idx="120">
                  <c:v>17422.999999999996</c:v>
                </c:pt>
                <c:pt idx="121">
                  <c:v>17197.999999999996</c:v>
                </c:pt>
                <c:pt idx="122">
                  <c:v>16973</c:v>
                </c:pt>
                <c:pt idx="123">
                  <c:v>16748</c:v>
                </c:pt>
                <c:pt idx="124">
                  <c:v>16523</c:v>
                </c:pt>
                <c:pt idx="125">
                  <c:v>16297.999999999996</c:v>
                </c:pt>
                <c:pt idx="126">
                  <c:v>16072.999999999996</c:v>
                </c:pt>
                <c:pt idx="127">
                  <c:v>15848</c:v>
                </c:pt>
                <c:pt idx="128">
                  <c:v>15623</c:v>
                </c:pt>
                <c:pt idx="129">
                  <c:v>15397.999999999998</c:v>
                </c:pt>
                <c:pt idx="130">
                  <c:v>15172.999999999998</c:v>
                </c:pt>
                <c:pt idx="131">
                  <c:v>14947.999999999998</c:v>
                </c:pt>
                <c:pt idx="132">
                  <c:v>14722.999999999998</c:v>
                </c:pt>
                <c:pt idx="133">
                  <c:v>14497.999999999998</c:v>
                </c:pt>
                <c:pt idx="134">
                  <c:v>14272.999999999998</c:v>
                </c:pt>
                <c:pt idx="135">
                  <c:v>14048</c:v>
                </c:pt>
                <c:pt idx="136">
                  <c:v>13823</c:v>
                </c:pt>
                <c:pt idx="137">
                  <c:v>13598</c:v>
                </c:pt>
                <c:pt idx="138">
                  <c:v>13373</c:v>
                </c:pt>
                <c:pt idx="139">
                  <c:v>13147.999999999998</c:v>
                </c:pt>
                <c:pt idx="140">
                  <c:v>12922.999999999998</c:v>
                </c:pt>
                <c:pt idx="141">
                  <c:v>12697.999999999998</c:v>
                </c:pt>
                <c:pt idx="142">
                  <c:v>12472.999999999998</c:v>
                </c:pt>
                <c:pt idx="143">
                  <c:v>12247.999999999998</c:v>
                </c:pt>
                <c:pt idx="144">
                  <c:v>12022.999999999998</c:v>
                </c:pt>
                <c:pt idx="145">
                  <c:v>11798</c:v>
                </c:pt>
                <c:pt idx="146">
                  <c:v>11573</c:v>
                </c:pt>
                <c:pt idx="147">
                  <c:v>11348</c:v>
                </c:pt>
                <c:pt idx="148">
                  <c:v>11122.999999999998</c:v>
                </c:pt>
                <c:pt idx="149">
                  <c:v>10898</c:v>
                </c:pt>
                <c:pt idx="150">
                  <c:v>10673</c:v>
                </c:pt>
                <c:pt idx="151">
                  <c:v>10447.999999999998</c:v>
                </c:pt>
                <c:pt idx="152">
                  <c:v>10222.999999999998</c:v>
                </c:pt>
                <c:pt idx="153">
                  <c:v>9997.9999999999982</c:v>
                </c:pt>
                <c:pt idx="154">
                  <c:v>9772.9999999999982</c:v>
                </c:pt>
                <c:pt idx="155">
                  <c:v>9548</c:v>
                </c:pt>
                <c:pt idx="156">
                  <c:v>9323</c:v>
                </c:pt>
                <c:pt idx="157">
                  <c:v>9098</c:v>
                </c:pt>
                <c:pt idx="158">
                  <c:v>8872.9999999999982</c:v>
                </c:pt>
                <c:pt idx="159">
                  <c:v>8648</c:v>
                </c:pt>
                <c:pt idx="160">
                  <c:v>8423</c:v>
                </c:pt>
                <c:pt idx="161">
                  <c:v>8197.9999999999982</c:v>
                </c:pt>
                <c:pt idx="162">
                  <c:v>7972.9999999999991</c:v>
                </c:pt>
                <c:pt idx="163">
                  <c:v>7747.9999999999991</c:v>
                </c:pt>
                <c:pt idx="164">
                  <c:v>7522.9999999999991</c:v>
                </c:pt>
                <c:pt idx="165">
                  <c:v>7298</c:v>
                </c:pt>
                <c:pt idx="166">
                  <c:v>7073</c:v>
                </c:pt>
                <c:pt idx="167">
                  <c:v>6848</c:v>
                </c:pt>
                <c:pt idx="168">
                  <c:v>6623.0000000000009</c:v>
                </c:pt>
                <c:pt idx="169">
                  <c:v>6398.0000000000009</c:v>
                </c:pt>
                <c:pt idx="170">
                  <c:v>6173.0000000000009</c:v>
                </c:pt>
                <c:pt idx="171">
                  <c:v>5947.9999999999982</c:v>
                </c:pt>
                <c:pt idx="172">
                  <c:v>5722.9999999999991</c:v>
                </c:pt>
                <c:pt idx="173">
                  <c:v>5497.9999999999991</c:v>
                </c:pt>
                <c:pt idx="174">
                  <c:v>5272.9999999999991</c:v>
                </c:pt>
                <c:pt idx="175">
                  <c:v>5048</c:v>
                </c:pt>
                <c:pt idx="176">
                  <c:v>4823</c:v>
                </c:pt>
                <c:pt idx="177">
                  <c:v>4597.9999999999973</c:v>
                </c:pt>
                <c:pt idx="178">
                  <c:v>4372.9999999999973</c:v>
                </c:pt>
                <c:pt idx="179">
                  <c:v>4147.9999999999982</c:v>
                </c:pt>
                <c:pt idx="180">
                  <c:v>3922.9999999999982</c:v>
                </c:pt>
                <c:pt idx="181">
                  <c:v>3697.9999999999986</c:v>
                </c:pt>
                <c:pt idx="182">
                  <c:v>3472.9999999999986</c:v>
                </c:pt>
                <c:pt idx="183">
                  <c:v>3247.9999999999991</c:v>
                </c:pt>
                <c:pt idx="184">
                  <c:v>3022.9999999999995</c:v>
                </c:pt>
                <c:pt idx="185">
                  <c:v>2797.9999999999995</c:v>
                </c:pt>
                <c:pt idx="186">
                  <c:v>2573</c:v>
                </c:pt>
                <c:pt idx="187">
                  <c:v>2348.0000000000005</c:v>
                </c:pt>
                <c:pt idx="188">
                  <c:v>2123.0000000000005</c:v>
                </c:pt>
                <c:pt idx="189">
                  <c:v>1898.0000000000009</c:v>
                </c:pt>
                <c:pt idx="190">
                  <c:v>1672.9999999999982</c:v>
                </c:pt>
                <c:pt idx="191">
                  <c:v>1447.9999999999986</c:v>
                </c:pt>
                <c:pt idx="192">
                  <c:v>1222.9999999999989</c:v>
                </c:pt>
                <c:pt idx="193">
                  <c:v>997.99999999999909</c:v>
                </c:pt>
                <c:pt idx="194">
                  <c:v>772.99999999999943</c:v>
                </c:pt>
                <c:pt idx="195">
                  <c:v>547.99999999999977</c:v>
                </c:pt>
                <c:pt idx="196">
                  <c:v>323.00000000000006</c:v>
                </c:pt>
                <c:pt idx="197">
                  <c:v>98.000000000000355</c:v>
                </c:pt>
                <c:pt idx="198">
                  <c:v>-127.00000000000232</c:v>
                </c:pt>
                <c:pt idx="199">
                  <c:v>-352.00000000000199</c:v>
                </c:pt>
                <c:pt idx="200">
                  <c:v>-577.00000000000171</c:v>
                </c:pt>
                <c:pt idx="201">
                  <c:v>-802.00000000000136</c:v>
                </c:pt>
                <c:pt idx="202">
                  <c:v>-1027.0000000000011</c:v>
                </c:pt>
                <c:pt idx="203">
                  <c:v>-1252.0000000000009</c:v>
                </c:pt>
              </c:numCache>
            </c:numRef>
          </c:xVal>
          <c:yVal>
            <c:numRef>
              <c:f>Circulation!$U$9:$U$109</c:f>
              <c:numCache>
                <c:formatCode>0</c:formatCode>
                <c:ptCount val="101"/>
                <c:pt idx="0">
                  <c:v>0</c:v>
                </c:pt>
                <c:pt idx="1">
                  <c:v>92.053073170731722</c:v>
                </c:pt>
                <c:pt idx="2">
                  <c:v>184.10614634146344</c:v>
                </c:pt>
                <c:pt idx="3">
                  <c:v>276.15921951219514</c:v>
                </c:pt>
                <c:pt idx="4">
                  <c:v>368.21229268292689</c:v>
                </c:pt>
                <c:pt idx="5">
                  <c:v>460.26536585365864</c:v>
                </c:pt>
                <c:pt idx="6">
                  <c:v>552.31843902439027</c:v>
                </c:pt>
                <c:pt idx="7">
                  <c:v>644.37151219512202</c:v>
                </c:pt>
                <c:pt idx="8">
                  <c:v>736.42458536585377</c:v>
                </c:pt>
                <c:pt idx="9">
                  <c:v>828.47765853658541</c:v>
                </c:pt>
                <c:pt idx="10">
                  <c:v>920.53073170731727</c:v>
                </c:pt>
                <c:pt idx="11">
                  <c:v>1012.5838048780489</c:v>
                </c:pt>
                <c:pt idx="12">
                  <c:v>1104.6368780487805</c:v>
                </c:pt>
                <c:pt idx="13">
                  <c:v>1196.6899512195123</c:v>
                </c:pt>
                <c:pt idx="14">
                  <c:v>1288.743024390244</c:v>
                </c:pt>
                <c:pt idx="15">
                  <c:v>1380.7960975609758</c:v>
                </c:pt>
                <c:pt idx="16">
                  <c:v>1472.8491707317075</c:v>
                </c:pt>
                <c:pt idx="17">
                  <c:v>1564.9022439024393</c:v>
                </c:pt>
                <c:pt idx="18">
                  <c:v>1656.9553170731708</c:v>
                </c:pt>
                <c:pt idx="19">
                  <c:v>1749.008390243903</c:v>
                </c:pt>
                <c:pt idx="20">
                  <c:v>1841.0614634146345</c:v>
                </c:pt>
                <c:pt idx="21">
                  <c:v>1933.1145365853661</c:v>
                </c:pt>
                <c:pt idx="22">
                  <c:v>2025.1676097560978</c:v>
                </c:pt>
                <c:pt idx="23">
                  <c:v>2117.2206829268298</c:v>
                </c:pt>
                <c:pt idx="24">
                  <c:v>2209.2737560975611</c:v>
                </c:pt>
                <c:pt idx="25">
                  <c:v>2301.3268292682928</c:v>
                </c:pt>
                <c:pt idx="26">
                  <c:v>2393.3799024390246</c:v>
                </c:pt>
                <c:pt idx="27">
                  <c:v>2485.4329756097563</c:v>
                </c:pt>
                <c:pt idx="28">
                  <c:v>2577.4860487804881</c:v>
                </c:pt>
                <c:pt idx="29">
                  <c:v>2669.5391219512198</c:v>
                </c:pt>
                <c:pt idx="30">
                  <c:v>2761.5921951219516</c:v>
                </c:pt>
                <c:pt idx="31">
                  <c:v>2853.6452682926833</c:v>
                </c:pt>
                <c:pt idx="32">
                  <c:v>2945.6983414634151</c:v>
                </c:pt>
                <c:pt idx="33">
                  <c:v>3037.7514146341464</c:v>
                </c:pt>
                <c:pt idx="34">
                  <c:v>3129.8044878048786</c:v>
                </c:pt>
                <c:pt idx="35">
                  <c:v>3221.8575609756099</c:v>
                </c:pt>
                <c:pt idx="36">
                  <c:v>3313.9106341463416</c:v>
                </c:pt>
                <c:pt idx="37">
                  <c:v>3405.9637073170738</c:v>
                </c:pt>
                <c:pt idx="38">
                  <c:v>3498.016780487806</c:v>
                </c:pt>
                <c:pt idx="39">
                  <c:v>3590.0698536585373</c:v>
                </c:pt>
                <c:pt idx="40">
                  <c:v>3682.1229268292691</c:v>
                </c:pt>
                <c:pt idx="41">
                  <c:v>3774.1760000000004</c:v>
                </c:pt>
                <c:pt idx="42">
                  <c:v>3866.2290731707321</c:v>
                </c:pt>
                <c:pt idx="43">
                  <c:v>3958.2821463414639</c:v>
                </c:pt>
                <c:pt idx="44">
                  <c:v>4050.3352195121956</c:v>
                </c:pt>
                <c:pt idx="45">
                  <c:v>4142.3882926829274</c:v>
                </c:pt>
                <c:pt idx="46">
                  <c:v>4234.4413658536596</c:v>
                </c:pt>
                <c:pt idx="47">
                  <c:v>4326.4944390243909</c:v>
                </c:pt>
                <c:pt idx="48">
                  <c:v>4418.5475121951222</c:v>
                </c:pt>
                <c:pt idx="49">
                  <c:v>4510.6005853658544</c:v>
                </c:pt>
                <c:pt idx="50">
                  <c:v>4602.6536585365857</c:v>
                </c:pt>
                <c:pt idx="51">
                  <c:v>4694.7067317073179</c:v>
                </c:pt>
                <c:pt idx="52">
                  <c:v>4786.7598048780492</c:v>
                </c:pt>
                <c:pt idx="53">
                  <c:v>4804.8076805851879</c:v>
                </c:pt>
                <c:pt idx="54">
                  <c:v>4804.8076805851879</c:v>
                </c:pt>
                <c:pt idx="55">
                  <c:v>4804.8076805851879</c:v>
                </c:pt>
                <c:pt idx="56">
                  <c:v>4804.8076805851879</c:v>
                </c:pt>
                <c:pt idx="57">
                  <c:v>4804.8076805851879</c:v>
                </c:pt>
                <c:pt idx="58">
                  <c:v>4804.8076805851879</c:v>
                </c:pt>
                <c:pt idx="59">
                  <c:v>4804.8076805851879</c:v>
                </c:pt>
                <c:pt idx="60">
                  <c:v>4804.8076805851879</c:v>
                </c:pt>
                <c:pt idx="61">
                  <c:v>4804.8076805851879</c:v>
                </c:pt>
                <c:pt idx="62">
                  <c:v>4804.8076805851879</c:v>
                </c:pt>
                <c:pt idx="63">
                  <c:v>4804.8076805851879</c:v>
                </c:pt>
                <c:pt idx="64">
                  <c:v>4804.8076805851879</c:v>
                </c:pt>
                <c:pt idx="65">
                  <c:v>4804.8076805851879</c:v>
                </c:pt>
                <c:pt idx="66">
                  <c:v>4804.8076805851879</c:v>
                </c:pt>
                <c:pt idx="67">
                  <c:v>4804.8076805851879</c:v>
                </c:pt>
                <c:pt idx="68">
                  <c:v>4804.8076805851879</c:v>
                </c:pt>
                <c:pt idx="69">
                  <c:v>4804.8076805851879</c:v>
                </c:pt>
                <c:pt idx="70">
                  <c:v>4804.8076805851879</c:v>
                </c:pt>
                <c:pt idx="71">
                  <c:v>4804.8076805851879</c:v>
                </c:pt>
                <c:pt idx="72">
                  <c:v>4804.8076805851879</c:v>
                </c:pt>
                <c:pt idx="73">
                  <c:v>4804.8076805851879</c:v>
                </c:pt>
                <c:pt idx="74">
                  <c:v>4804.8076805851879</c:v>
                </c:pt>
                <c:pt idx="75">
                  <c:v>4804.8076805851879</c:v>
                </c:pt>
                <c:pt idx="76">
                  <c:v>4804.8076805851879</c:v>
                </c:pt>
                <c:pt idx="77">
                  <c:v>4804.8076805851879</c:v>
                </c:pt>
                <c:pt idx="78">
                  <c:v>4804.8076805851879</c:v>
                </c:pt>
                <c:pt idx="79">
                  <c:v>4804.8076805851879</c:v>
                </c:pt>
                <c:pt idx="80">
                  <c:v>4804.8076805851879</c:v>
                </c:pt>
                <c:pt idx="81">
                  <c:v>4804.8076805851879</c:v>
                </c:pt>
                <c:pt idx="82">
                  <c:v>4804.8076805851879</c:v>
                </c:pt>
                <c:pt idx="83">
                  <c:v>4804.8076805851879</c:v>
                </c:pt>
                <c:pt idx="84">
                  <c:v>4804.8076805851879</c:v>
                </c:pt>
                <c:pt idx="85">
                  <c:v>4804.8076805851879</c:v>
                </c:pt>
                <c:pt idx="86">
                  <c:v>4804.8076805851879</c:v>
                </c:pt>
                <c:pt idx="87">
                  <c:v>4804.8076805851879</c:v>
                </c:pt>
                <c:pt idx="88">
                  <c:v>4804.8076805851879</c:v>
                </c:pt>
                <c:pt idx="89">
                  <c:v>4804.8076805851879</c:v>
                </c:pt>
                <c:pt idx="90">
                  <c:v>4804.8076805851879</c:v>
                </c:pt>
                <c:pt idx="91">
                  <c:v>4804.8076805851879</c:v>
                </c:pt>
                <c:pt idx="92">
                  <c:v>4804.8076805851879</c:v>
                </c:pt>
                <c:pt idx="93">
                  <c:v>4804.8076805851879</c:v>
                </c:pt>
                <c:pt idx="94">
                  <c:v>4804.8076805851879</c:v>
                </c:pt>
                <c:pt idx="95">
                  <c:v>4804.8076805851879</c:v>
                </c:pt>
                <c:pt idx="96">
                  <c:v>4804.8076805851879</c:v>
                </c:pt>
                <c:pt idx="97">
                  <c:v>4804.8076805851879</c:v>
                </c:pt>
                <c:pt idx="98">
                  <c:v>4804.8076805851879</c:v>
                </c:pt>
              </c:numCache>
            </c:numRef>
          </c:yVal>
          <c:smooth val="0"/>
        </c:ser>
        <c:ser>
          <c:idx val="2"/>
          <c:order val="4"/>
          <c:tx>
            <c:v>Extended Reach</c:v>
          </c:tx>
          <c:spPr>
            <a:ln w="28575" cap="sq">
              <a:solidFill>
                <a:schemeClr val="accent3">
                  <a:lumMod val="50000"/>
                </a:schemeClr>
              </a:solidFill>
              <a:tailEnd type="triangle" w="lg" len="lg"/>
            </a:ln>
          </c:spPr>
          <c:marker>
            <c:symbol val="none"/>
          </c:marker>
          <c:dLbls>
            <c:dLbl>
              <c:idx val="1"/>
              <c:layout/>
              <c:spPr>
                <a:solidFill>
                  <a:schemeClr val="bg1"/>
                </a:solidFill>
              </c:spPr>
              <c:txPr>
                <a:bodyPr/>
                <a:lstStyle/>
                <a:p>
                  <a:pPr>
                    <a:defRPr sz="1050" b="1">
                      <a:solidFill>
                        <a:schemeClr val="accent3">
                          <a:lumMod val="50000"/>
                        </a:schemeClr>
                      </a:solidFill>
                    </a:defRPr>
                  </a:pPr>
                  <a:endParaRPr lang="en-US"/>
                </a:p>
              </c:txPr>
              <c:dLblPos val="t"/>
              <c:showLegendKey val="0"/>
              <c:showVal val="0"/>
              <c:showCatName val="0"/>
              <c:showSerName val="1"/>
              <c:showPercent val="0"/>
              <c:showBubbleSize val="0"/>
            </c:dLbl>
            <c:showLegendKey val="0"/>
            <c:showVal val="0"/>
            <c:showCatName val="0"/>
            <c:showSerName val="0"/>
            <c:showPercent val="0"/>
            <c:showBubbleSize val="0"/>
          </c:dLbls>
          <c:xVal>
            <c:numRef>
              <c:f>Buckling!$B$29:$B$30</c:f>
              <c:numCache>
                <c:formatCode>0</c:formatCode>
                <c:ptCount val="2"/>
                <c:pt idx="0">
                  <c:v>16360.15312472286</c:v>
                </c:pt>
                <c:pt idx="1">
                  <c:v>20845.720205619466</c:v>
                </c:pt>
              </c:numCache>
            </c:numRef>
          </c:xVal>
          <c:yVal>
            <c:numRef>
              <c:f>Buckling!$C$29:$C$30</c:f>
              <c:numCache>
                <c:formatCode>General</c:formatCode>
                <c:ptCount val="2"/>
                <c:pt idx="0">
                  <c:v>500</c:v>
                </c:pt>
                <c:pt idx="1">
                  <c:v>500</c:v>
                </c:pt>
              </c:numCache>
            </c:numRef>
          </c:yVal>
          <c:smooth val="0"/>
        </c:ser>
        <c:dLbls>
          <c:showLegendKey val="0"/>
          <c:showVal val="0"/>
          <c:showCatName val="0"/>
          <c:showSerName val="0"/>
          <c:showPercent val="0"/>
          <c:showBubbleSize val="0"/>
        </c:dLbls>
        <c:axId val="152384640"/>
        <c:axId val="152386176"/>
      </c:scatterChart>
      <c:valAx>
        <c:axId val="1523846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2386176"/>
        <c:crosses val="autoZero"/>
        <c:crossBetween val="midCat"/>
      </c:valAx>
      <c:valAx>
        <c:axId val="152386176"/>
        <c:scaling>
          <c:orientation val="minMax"/>
          <c:max val="10000"/>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Circulating Pressure, psi</a:t>
                </a:r>
              </a:p>
            </c:rich>
          </c:tx>
          <c:layout>
            <c:manualLayout>
              <c:xMode val="edge"/>
              <c:yMode val="edge"/>
              <c:x val="2.6599475065616798E-2"/>
              <c:y val="0.3831651521647443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2384640"/>
        <c:crossesAt val="0"/>
        <c:crossBetween val="midCat"/>
      </c:valAx>
      <c:spPr>
        <a:solidFill>
          <a:srgbClr val="FFFFFF"/>
        </a:solidFill>
        <a:ln w="3175">
          <a:pattFill prst="pct50">
            <a:fgClr>
              <a:srgbClr val="000000"/>
            </a:fgClr>
            <a:bgClr>
              <a:srgbClr val="FFFFFF"/>
            </a:bgClr>
          </a:pattFill>
          <a:prstDash val="solid"/>
        </a:ln>
      </c:spPr>
    </c:plotArea>
    <c:legend>
      <c:legendPos val="r"/>
      <c:legendEntry>
        <c:idx val="4"/>
        <c:delete val="1"/>
      </c:legendEntry>
      <c:layout>
        <c:manualLayout>
          <c:xMode val="edge"/>
          <c:yMode val="edge"/>
          <c:x val="0.59461324001166527"/>
          <c:y val="1.3553763946837324E-2"/>
          <c:w val="0.38611910177894426"/>
          <c:h val="0.1666258849117963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6811343703986E-2"/>
          <c:y val="6.1915046796256298E-2"/>
          <c:w val="0.90244021854915435"/>
          <c:h val="0.81641554781944758"/>
        </c:manualLayout>
      </c:layout>
      <c:scatterChart>
        <c:scatterStyle val="lineMarker"/>
        <c:varyColors val="0"/>
        <c:ser>
          <c:idx val="0"/>
          <c:order val="0"/>
          <c:tx>
            <c:v>Circulating Pressure</c:v>
          </c:tx>
          <c:spPr>
            <a:ln w="25400">
              <a:solidFill>
                <a:srgbClr val="000080"/>
              </a:solidFill>
              <a:prstDash val="solid"/>
            </a:ln>
          </c:spPr>
          <c:marker>
            <c:symbol val="none"/>
          </c:marker>
          <c:xVal>
            <c:numRef>
              <c:f>Circulation!$A$9:$A$212</c:f>
              <c:numCache>
                <c:formatCode>General</c:formatCode>
                <c:ptCount val="204"/>
                <c:pt idx="0">
                  <c:v>0</c:v>
                </c:pt>
                <c:pt idx="1">
                  <c:v>212.48</c:v>
                </c:pt>
                <c:pt idx="2">
                  <c:v>424.96</c:v>
                </c:pt>
                <c:pt idx="3">
                  <c:v>637.43999999999983</c:v>
                </c:pt>
                <c:pt idx="4">
                  <c:v>849.92</c:v>
                </c:pt>
                <c:pt idx="5">
                  <c:v>1062.4000000000001</c:v>
                </c:pt>
                <c:pt idx="6">
                  <c:v>1274.8799999999997</c:v>
                </c:pt>
                <c:pt idx="7">
                  <c:v>1487.36</c:v>
                </c:pt>
                <c:pt idx="8">
                  <c:v>1699.84</c:v>
                </c:pt>
                <c:pt idx="9">
                  <c:v>1912.3199999999997</c:v>
                </c:pt>
                <c:pt idx="10">
                  <c:v>2124.8000000000002</c:v>
                </c:pt>
                <c:pt idx="11">
                  <c:v>2337.2800000000002</c:v>
                </c:pt>
                <c:pt idx="12">
                  <c:v>2549.7599999999993</c:v>
                </c:pt>
                <c:pt idx="13">
                  <c:v>2762.24</c:v>
                </c:pt>
                <c:pt idx="14">
                  <c:v>2974.72</c:v>
                </c:pt>
                <c:pt idx="15">
                  <c:v>3187.1999999999994</c:v>
                </c:pt>
                <c:pt idx="16">
                  <c:v>3399.68</c:v>
                </c:pt>
                <c:pt idx="17">
                  <c:v>3612.16</c:v>
                </c:pt>
                <c:pt idx="18">
                  <c:v>3824.6399999999994</c:v>
                </c:pt>
                <c:pt idx="19">
                  <c:v>4037.1200000000003</c:v>
                </c:pt>
                <c:pt idx="20">
                  <c:v>4249.6000000000004</c:v>
                </c:pt>
                <c:pt idx="21">
                  <c:v>4462.079999999999</c:v>
                </c:pt>
                <c:pt idx="22">
                  <c:v>4674.5600000000004</c:v>
                </c:pt>
                <c:pt idx="23">
                  <c:v>4887.04</c:v>
                </c:pt>
                <c:pt idx="24">
                  <c:v>5099.5199999999986</c:v>
                </c:pt>
                <c:pt idx="25">
                  <c:v>5312</c:v>
                </c:pt>
                <c:pt idx="26">
                  <c:v>5524.48</c:v>
                </c:pt>
                <c:pt idx="27">
                  <c:v>5736.9599999999991</c:v>
                </c:pt>
                <c:pt idx="28">
                  <c:v>5949.44</c:v>
                </c:pt>
                <c:pt idx="29">
                  <c:v>6161.92</c:v>
                </c:pt>
                <c:pt idx="30">
                  <c:v>6374.3999999999987</c:v>
                </c:pt>
                <c:pt idx="31">
                  <c:v>6586.88</c:v>
                </c:pt>
                <c:pt idx="32">
                  <c:v>6799.36</c:v>
                </c:pt>
                <c:pt idx="33">
                  <c:v>7011.8399999999992</c:v>
                </c:pt>
                <c:pt idx="34">
                  <c:v>7224.32</c:v>
                </c:pt>
                <c:pt idx="35">
                  <c:v>7436.7999999999984</c:v>
                </c:pt>
                <c:pt idx="36">
                  <c:v>7649.2799999999988</c:v>
                </c:pt>
                <c:pt idx="37">
                  <c:v>7861.76</c:v>
                </c:pt>
                <c:pt idx="38">
                  <c:v>8074.2400000000007</c:v>
                </c:pt>
                <c:pt idx="39">
                  <c:v>8286.7199999999993</c:v>
                </c:pt>
                <c:pt idx="40">
                  <c:v>8499.2000000000007</c:v>
                </c:pt>
                <c:pt idx="41">
                  <c:v>8711.68</c:v>
                </c:pt>
                <c:pt idx="42">
                  <c:v>8924.159999999998</c:v>
                </c:pt>
                <c:pt idx="43">
                  <c:v>9136.64</c:v>
                </c:pt>
                <c:pt idx="44">
                  <c:v>9349.1200000000008</c:v>
                </c:pt>
                <c:pt idx="45">
                  <c:v>9561.5999999999985</c:v>
                </c:pt>
                <c:pt idx="46">
                  <c:v>9774.08</c:v>
                </c:pt>
                <c:pt idx="47">
                  <c:v>9986.56</c:v>
                </c:pt>
                <c:pt idx="48">
                  <c:v>10199.039999999997</c:v>
                </c:pt>
                <c:pt idx="49">
                  <c:v>10411.52</c:v>
                </c:pt>
                <c:pt idx="50">
                  <c:v>10624</c:v>
                </c:pt>
                <c:pt idx="51">
                  <c:v>10836.479999999998</c:v>
                </c:pt>
                <c:pt idx="52">
                  <c:v>11048.96</c:v>
                </c:pt>
                <c:pt idx="53">
                  <c:v>11261.44</c:v>
                </c:pt>
                <c:pt idx="54">
                  <c:v>11473.919999999998</c:v>
                </c:pt>
                <c:pt idx="55">
                  <c:v>11686.4</c:v>
                </c:pt>
                <c:pt idx="56">
                  <c:v>11898.88</c:v>
                </c:pt>
                <c:pt idx="57">
                  <c:v>12111.359999999997</c:v>
                </c:pt>
                <c:pt idx="58">
                  <c:v>12323.84</c:v>
                </c:pt>
                <c:pt idx="59">
                  <c:v>12536.32</c:v>
                </c:pt>
                <c:pt idx="60">
                  <c:v>12748.799999999997</c:v>
                </c:pt>
                <c:pt idx="61">
                  <c:v>12961.279999999999</c:v>
                </c:pt>
                <c:pt idx="62">
                  <c:v>13173.76</c:v>
                </c:pt>
                <c:pt idx="63">
                  <c:v>13386.24</c:v>
                </c:pt>
                <c:pt idx="64">
                  <c:v>13598.72</c:v>
                </c:pt>
                <c:pt idx="65">
                  <c:v>13811.2</c:v>
                </c:pt>
                <c:pt idx="66">
                  <c:v>14023.679999999998</c:v>
                </c:pt>
                <c:pt idx="67">
                  <c:v>14236.159999999998</c:v>
                </c:pt>
                <c:pt idx="68">
                  <c:v>14448.64</c:v>
                </c:pt>
                <c:pt idx="69">
                  <c:v>14661.119999999999</c:v>
                </c:pt>
                <c:pt idx="70">
                  <c:v>14873.599999999997</c:v>
                </c:pt>
                <c:pt idx="71">
                  <c:v>15086.080000000002</c:v>
                </c:pt>
                <c:pt idx="72">
                  <c:v>15298.559999999998</c:v>
                </c:pt>
                <c:pt idx="73">
                  <c:v>15511.039999999999</c:v>
                </c:pt>
                <c:pt idx="74">
                  <c:v>15723.52</c:v>
                </c:pt>
                <c:pt idx="75">
                  <c:v>15935.999999999998</c:v>
                </c:pt>
                <c:pt idx="76">
                  <c:v>16148.480000000001</c:v>
                </c:pt>
                <c:pt idx="77">
                  <c:v>16360.96</c:v>
                </c:pt>
                <c:pt idx="78">
                  <c:v>16573.439999999999</c:v>
                </c:pt>
                <c:pt idx="79">
                  <c:v>16785.919999999998</c:v>
                </c:pt>
                <c:pt idx="80">
                  <c:v>16998.400000000001</c:v>
                </c:pt>
                <c:pt idx="81">
                  <c:v>17210.879999999997</c:v>
                </c:pt>
                <c:pt idx="82">
                  <c:v>17423.36</c:v>
                </c:pt>
                <c:pt idx="83">
                  <c:v>17635.84</c:v>
                </c:pt>
                <c:pt idx="84">
                  <c:v>17848.319999999996</c:v>
                </c:pt>
                <c:pt idx="85">
                  <c:v>18060.8</c:v>
                </c:pt>
                <c:pt idx="86">
                  <c:v>18273.28</c:v>
                </c:pt>
                <c:pt idx="87">
                  <c:v>18485.759999999998</c:v>
                </c:pt>
                <c:pt idx="88">
                  <c:v>18698.240000000002</c:v>
                </c:pt>
                <c:pt idx="89">
                  <c:v>18910.719999999998</c:v>
                </c:pt>
                <c:pt idx="90">
                  <c:v>19123.199999999997</c:v>
                </c:pt>
                <c:pt idx="91">
                  <c:v>19335.679999999997</c:v>
                </c:pt>
                <c:pt idx="92">
                  <c:v>19548.16</c:v>
                </c:pt>
                <c:pt idx="93">
                  <c:v>19760.64</c:v>
                </c:pt>
                <c:pt idx="94">
                  <c:v>19973.12</c:v>
                </c:pt>
                <c:pt idx="95">
                  <c:v>20185.599999999999</c:v>
                </c:pt>
                <c:pt idx="96">
                  <c:v>20398.079999999994</c:v>
                </c:pt>
                <c:pt idx="97">
                  <c:v>20610.560000000001</c:v>
                </c:pt>
                <c:pt idx="98">
                  <c:v>20823.04</c:v>
                </c:pt>
                <c:pt idx="99">
                  <c:v>21035.519999999997</c:v>
                </c:pt>
                <c:pt idx="100">
                  <c:v>21248</c:v>
                </c:pt>
                <c:pt idx="101">
                  <c:v>21248</c:v>
                </c:pt>
                <c:pt idx="102">
                  <c:v>21248</c:v>
                </c:pt>
                <c:pt idx="103">
                  <c:v>21248</c:v>
                </c:pt>
                <c:pt idx="104">
                  <c:v>21022.999999999996</c:v>
                </c:pt>
                <c:pt idx="105">
                  <c:v>20797.999999999996</c:v>
                </c:pt>
                <c:pt idx="106">
                  <c:v>20572.999999999996</c:v>
                </c:pt>
                <c:pt idx="107">
                  <c:v>20348</c:v>
                </c:pt>
                <c:pt idx="108">
                  <c:v>20123</c:v>
                </c:pt>
                <c:pt idx="109">
                  <c:v>19898</c:v>
                </c:pt>
                <c:pt idx="110">
                  <c:v>19673</c:v>
                </c:pt>
                <c:pt idx="111">
                  <c:v>19448</c:v>
                </c:pt>
                <c:pt idx="112">
                  <c:v>19223</c:v>
                </c:pt>
                <c:pt idx="113">
                  <c:v>18998</c:v>
                </c:pt>
                <c:pt idx="114">
                  <c:v>18773</c:v>
                </c:pt>
                <c:pt idx="115">
                  <c:v>18548</c:v>
                </c:pt>
                <c:pt idx="116">
                  <c:v>18323</c:v>
                </c:pt>
                <c:pt idx="117">
                  <c:v>18098</c:v>
                </c:pt>
                <c:pt idx="118">
                  <c:v>17872.999999999996</c:v>
                </c:pt>
                <c:pt idx="119">
                  <c:v>17647.999999999996</c:v>
                </c:pt>
                <c:pt idx="120">
                  <c:v>17422.999999999996</c:v>
                </c:pt>
                <c:pt idx="121">
                  <c:v>17197.999999999996</c:v>
                </c:pt>
                <c:pt idx="122">
                  <c:v>16973</c:v>
                </c:pt>
                <c:pt idx="123">
                  <c:v>16748</c:v>
                </c:pt>
                <c:pt idx="124">
                  <c:v>16523</c:v>
                </c:pt>
                <c:pt idx="125">
                  <c:v>16297.999999999996</c:v>
                </c:pt>
                <c:pt idx="126">
                  <c:v>16072.999999999996</c:v>
                </c:pt>
                <c:pt idx="127">
                  <c:v>15848</c:v>
                </c:pt>
                <c:pt idx="128">
                  <c:v>15623</c:v>
                </c:pt>
                <c:pt idx="129">
                  <c:v>15397.999999999998</c:v>
                </c:pt>
                <c:pt idx="130">
                  <c:v>15172.999999999998</c:v>
                </c:pt>
                <c:pt idx="131">
                  <c:v>14947.999999999998</c:v>
                </c:pt>
                <c:pt idx="132">
                  <c:v>14722.999999999998</c:v>
                </c:pt>
                <c:pt idx="133">
                  <c:v>14497.999999999998</c:v>
                </c:pt>
                <c:pt idx="134">
                  <c:v>14272.999999999998</c:v>
                </c:pt>
                <c:pt idx="135">
                  <c:v>14048</c:v>
                </c:pt>
                <c:pt idx="136">
                  <c:v>13823</c:v>
                </c:pt>
                <c:pt idx="137">
                  <c:v>13598</c:v>
                </c:pt>
                <c:pt idx="138">
                  <c:v>13373</c:v>
                </c:pt>
                <c:pt idx="139">
                  <c:v>13147.999999999998</c:v>
                </c:pt>
                <c:pt idx="140">
                  <c:v>12922.999999999998</c:v>
                </c:pt>
                <c:pt idx="141">
                  <c:v>12697.999999999998</c:v>
                </c:pt>
                <c:pt idx="142">
                  <c:v>12472.999999999998</c:v>
                </c:pt>
                <c:pt idx="143">
                  <c:v>12247.999999999998</c:v>
                </c:pt>
                <c:pt idx="144">
                  <c:v>12022.999999999998</c:v>
                </c:pt>
                <c:pt idx="145">
                  <c:v>11798</c:v>
                </c:pt>
                <c:pt idx="146">
                  <c:v>11573</c:v>
                </c:pt>
                <c:pt idx="147">
                  <c:v>11348</c:v>
                </c:pt>
                <c:pt idx="148">
                  <c:v>11122.999999999998</c:v>
                </c:pt>
                <c:pt idx="149">
                  <c:v>10898</c:v>
                </c:pt>
                <c:pt idx="150">
                  <c:v>10673</c:v>
                </c:pt>
                <c:pt idx="151">
                  <c:v>10447.999999999998</c:v>
                </c:pt>
                <c:pt idx="152">
                  <c:v>10222.999999999998</c:v>
                </c:pt>
                <c:pt idx="153">
                  <c:v>9997.9999999999982</c:v>
                </c:pt>
                <c:pt idx="154">
                  <c:v>9772.9999999999982</c:v>
                </c:pt>
                <c:pt idx="155">
                  <c:v>9548</c:v>
                </c:pt>
                <c:pt idx="156">
                  <c:v>9323</c:v>
                </c:pt>
                <c:pt idx="157">
                  <c:v>9098</c:v>
                </c:pt>
                <c:pt idx="158">
                  <c:v>8872.9999999999982</c:v>
                </c:pt>
                <c:pt idx="159">
                  <c:v>8648</c:v>
                </c:pt>
                <c:pt idx="160">
                  <c:v>8423</c:v>
                </c:pt>
                <c:pt idx="161">
                  <c:v>8197.9999999999982</c:v>
                </c:pt>
                <c:pt idx="162">
                  <c:v>7972.9999999999991</c:v>
                </c:pt>
                <c:pt idx="163">
                  <c:v>7747.9999999999991</c:v>
                </c:pt>
                <c:pt idx="164">
                  <c:v>7522.9999999999991</c:v>
                </c:pt>
                <c:pt idx="165">
                  <c:v>7298</c:v>
                </c:pt>
                <c:pt idx="166">
                  <c:v>7073</c:v>
                </c:pt>
                <c:pt idx="167">
                  <c:v>6848</c:v>
                </c:pt>
                <c:pt idx="168">
                  <c:v>6623.0000000000009</c:v>
                </c:pt>
                <c:pt idx="169">
                  <c:v>6398.0000000000009</c:v>
                </c:pt>
                <c:pt idx="170">
                  <c:v>6173.0000000000009</c:v>
                </c:pt>
                <c:pt idx="171">
                  <c:v>5947.9999999999982</c:v>
                </c:pt>
                <c:pt idx="172">
                  <c:v>5722.9999999999991</c:v>
                </c:pt>
                <c:pt idx="173">
                  <c:v>5497.9999999999991</c:v>
                </c:pt>
                <c:pt idx="174">
                  <c:v>5272.9999999999991</c:v>
                </c:pt>
                <c:pt idx="175">
                  <c:v>5048</c:v>
                </c:pt>
                <c:pt idx="176">
                  <c:v>4823</c:v>
                </c:pt>
                <c:pt idx="177">
                  <c:v>4597.9999999999973</c:v>
                </c:pt>
                <c:pt idx="178">
                  <c:v>4372.9999999999973</c:v>
                </c:pt>
                <c:pt idx="179">
                  <c:v>4147.9999999999982</c:v>
                </c:pt>
                <c:pt idx="180">
                  <c:v>3922.9999999999982</c:v>
                </c:pt>
                <c:pt idx="181">
                  <c:v>3697.9999999999986</c:v>
                </c:pt>
                <c:pt idx="182">
                  <c:v>3472.9999999999986</c:v>
                </c:pt>
                <c:pt idx="183">
                  <c:v>3247.9999999999991</c:v>
                </c:pt>
                <c:pt idx="184">
                  <c:v>3022.9999999999995</c:v>
                </c:pt>
                <c:pt idx="185">
                  <c:v>2797.9999999999995</c:v>
                </c:pt>
                <c:pt idx="186">
                  <c:v>2573</c:v>
                </c:pt>
                <c:pt idx="187">
                  <c:v>2348.0000000000005</c:v>
                </c:pt>
                <c:pt idx="188">
                  <c:v>2123.0000000000005</c:v>
                </c:pt>
                <c:pt idx="189">
                  <c:v>1898.0000000000009</c:v>
                </c:pt>
                <c:pt idx="190">
                  <c:v>1672.9999999999982</c:v>
                </c:pt>
                <c:pt idx="191">
                  <c:v>1447.9999999999986</c:v>
                </c:pt>
                <c:pt idx="192">
                  <c:v>1222.9999999999989</c:v>
                </c:pt>
                <c:pt idx="193">
                  <c:v>997.99999999999909</c:v>
                </c:pt>
                <c:pt idx="194">
                  <c:v>772.99999999999943</c:v>
                </c:pt>
                <c:pt idx="195">
                  <c:v>547.99999999999977</c:v>
                </c:pt>
                <c:pt idx="196">
                  <c:v>323.00000000000006</c:v>
                </c:pt>
                <c:pt idx="197">
                  <c:v>98.000000000000355</c:v>
                </c:pt>
                <c:pt idx="198">
                  <c:v>-127.00000000000232</c:v>
                </c:pt>
                <c:pt idx="199">
                  <c:v>-352.00000000000199</c:v>
                </c:pt>
                <c:pt idx="200">
                  <c:v>-577.00000000000171</c:v>
                </c:pt>
                <c:pt idx="201">
                  <c:v>-802.00000000000136</c:v>
                </c:pt>
                <c:pt idx="202">
                  <c:v>-1027.0000000000011</c:v>
                </c:pt>
                <c:pt idx="203">
                  <c:v>-1252.0000000000009</c:v>
                </c:pt>
              </c:numCache>
            </c:numRef>
          </c:xVal>
          <c:yVal>
            <c:numRef>
              <c:f>Circulation!$B$9:$B$212</c:f>
              <c:numCache>
                <c:formatCode>0</c:formatCode>
                <c:ptCount val="204"/>
                <c:pt idx="0">
                  <c:v>1014.7283138706209</c:v>
                </c:pt>
                <c:pt idx="1">
                  <c:v>1109.8345245031392</c:v>
                </c:pt>
                <c:pt idx="2">
                  <c:v>1204.9173839926241</c:v>
                </c:pt>
                <c:pt idx="3">
                  <c:v>1299.9757548834791</c:v>
                </c:pt>
                <c:pt idx="4">
                  <c:v>1395.0085136505602</c:v>
                </c:pt>
                <c:pt idx="5">
                  <c:v>1490.0145506989213</c:v>
                </c:pt>
                <c:pt idx="6">
                  <c:v>1584.9927703606018</c:v>
                </c:pt>
                <c:pt idx="7">
                  <c:v>1679.9420908884829</c:v>
                </c:pt>
                <c:pt idx="8">
                  <c:v>1774.8614444472464</c:v>
                </c:pt>
                <c:pt idx="9">
                  <c:v>1869.749777101455</c:v>
                </c:pt>
                <c:pt idx="10">
                  <c:v>1964.6060488007893</c:v>
                </c:pt>
                <c:pt idx="11">
                  <c:v>2059.4292333624653</c:v>
                </c:pt>
                <c:pt idx="12">
                  <c:v>2154.2183184508563</c:v>
                </c:pt>
                <c:pt idx="13">
                  <c:v>2248.9723055543518</c:v>
                </c:pt>
                <c:pt idx="14">
                  <c:v>2343.6902099594749</c:v>
                </c:pt>
                <c:pt idx="15">
                  <c:v>2438.3710607222833</c:v>
                </c:pt>
                <c:pt idx="16">
                  <c:v>2533.0139006370832</c:v>
                </c:pt>
                <c:pt idx="17">
                  <c:v>2627.6177862024774</c:v>
                </c:pt>
                <c:pt idx="18">
                  <c:v>2722.1817875847792</c:v>
                </c:pt>
                <c:pt idx="19">
                  <c:v>2816.7049885788019</c:v>
                </c:pt>
                <c:pt idx="20">
                  <c:v>2911.1864865660696</c:v>
                </c:pt>
                <c:pt idx="21">
                  <c:v>3005.6253924704533</c:v>
                </c:pt>
                <c:pt idx="22">
                  <c:v>3100.0208307112684</c:v>
                </c:pt>
                <c:pt idx="23">
                  <c:v>3194.3719391538543</c:v>
                </c:pt>
                <c:pt idx="24">
                  <c:v>3288.6778690576543</c:v>
                </c:pt>
                <c:pt idx="25">
                  <c:v>3382.9377850218284</c:v>
                </c:pt>
                <c:pt idx="26">
                  <c:v>3477.1508649284124</c:v>
                </c:pt>
                <c:pt idx="27">
                  <c:v>3571.3162998830517</c:v>
                </c:pt>
                <c:pt idx="28">
                  <c:v>3665.4332941533276</c:v>
                </c:pt>
                <c:pt idx="29">
                  <c:v>3759.5010651047064</c:v>
                </c:pt>
                <c:pt idx="30">
                  <c:v>3853.5188431341207</c:v>
                </c:pt>
                <c:pt idx="31">
                  <c:v>3947.4858716012154</c:v>
                </c:pt>
                <c:pt idx="32">
                  <c:v>4041.4014067572725</c:v>
                </c:pt>
                <c:pt idx="33">
                  <c:v>4135.264717671841</c:v>
                </c:pt>
                <c:pt idx="34">
                  <c:v>4229.0750861570914</c:v>
                </c:pt>
                <c:pt idx="35">
                  <c:v>4322.8318066899092</c:v>
                </c:pt>
                <c:pt idx="36">
                  <c:v>4416.5341863317553</c:v>
                </c:pt>
                <c:pt idx="37">
                  <c:v>4510.1815446463161</c:v>
                </c:pt>
                <c:pt idx="38">
                  <c:v>4603.773213614948</c:v>
                </c:pt>
                <c:pt idx="39">
                  <c:v>4697.3085375499531</c:v>
                </c:pt>
                <c:pt idx="40">
                  <c:v>4790.7868730056962</c:v>
                </c:pt>
                <c:pt idx="41">
                  <c:v>4884.2075886875828</c:v>
                </c:pt>
                <c:pt idx="42">
                  <c:v>4977.5700653589174</c:v>
                </c:pt>
                <c:pt idx="43">
                  <c:v>5070.8736957456667</c:v>
                </c:pt>
                <c:pt idx="44">
                  <c:v>5164.1178844391361</c:v>
                </c:pt>
                <c:pt idx="45">
                  <c:v>5257.3020477965829</c:v>
                </c:pt>
                <c:pt idx="46">
                  <c:v>5350.425613839785</c:v>
                </c:pt>
                <c:pt idx="47">
                  <c:v>5443.4880221515805</c:v>
                </c:pt>
                <c:pt idx="48">
                  <c:v>5536.4887237703988</c:v>
                </c:pt>
                <c:pt idx="49">
                  <c:v>5629.427181082794</c:v>
                </c:pt>
                <c:pt idx="50">
                  <c:v>5722.3028677140046</c:v>
                </c:pt>
                <c:pt idx="51">
                  <c:v>5815.11526841655</c:v>
                </c:pt>
                <c:pt idx="52">
                  <c:v>5907.8638789568895</c:v>
                </c:pt>
                <c:pt idx="53">
                  <c:v>6000.5482060001468</c:v>
                </c:pt>
                <c:pt idx="54">
                  <c:v>6001.662690482397</c:v>
                </c:pt>
                <c:pt idx="55">
                  <c:v>6002.7771708450364</c:v>
                </c:pt>
                <c:pt idx="56">
                  <c:v>6003.8916470881104</c:v>
                </c:pt>
                <c:pt idx="57">
                  <c:v>6005.0061192116655</c:v>
                </c:pt>
                <c:pt idx="58">
                  <c:v>6006.1205872157461</c:v>
                </c:pt>
                <c:pt idx="59">
                  <c:v>6007.2350511003988</c:v>
                </c:pt>
                <c:pt idx="60">
                  <c:v>6008.3495108656698</c:v>
                </c:pt>
                <c:pt idx="61">
                  <c:v>6009.4639665116038</c:v>
                </c:pt>
                <c:pt idx="62">
                  <c:v>6010.5784180382461</c:v>
                </c:pt>
                <c:pt idx="63">
                  <c:v>6011.6928654456424</c:v>
                </c:pt>
                <c:pt idx="64">
                  <c:v>6012.8073087338389</c:v>
                </c:pt>
                <c:pt idx="65">
                  <c:v>6013.9217479028821</c:v>
                </c:pt>
                <c:pt idx="66">
                  <c:v>6015.0361829528165</c:v>
                </c:pt>
                <c:pt idx="67">
                  <c:v>6016.1506138836885</c:v>
                </c:pt>
                <c:pt idx="68">
                  <c:v>6017.2650406955427</c:v>
                </c:pt>
                <c:pt idx="69">
                  <c:v>6018.3794633884263</c:v>
                </c:pt>
                <c:pt idx="70">
                  <c:v>6019.493881962384</c:v>
                </c:pt>
                <c:pt idx="71">
                  <c:v>6020.608296417462</c:v>
                </c:pt>
                <c:pt idx="72">
                  <c:v>6021.7227067537051</c:v>
                </c:pt>
                <c:pt idx="73">
                  <c:v>6022.8371129711595</c:v>
                </c:pt>
                <c:pt idx="74">
                  <c:v>6023.9515150698708</c:v>
                </c:pt>
                <c:pt idx="75">
                  <c:v>6025.0659130498843</c:v>
                </c:pt>
                <c:pt idx="76">
                  <c:v>6026.1803069112457</c:v>
                </c:pt>
                <c:pt idx="77">
                  <c:v>6027.2946966540021</c:v>
                </c:pt>
                <c:pt idx="78">
                  <c:v>6028.4090822781973</c:v>
                </c:pt>
                <c:pt idx="79">
                  <c:v>6029.5234637838785</c:v>
                </c:pt>
                <c:pt idx="80">
                  <c:v>6030.6378411710903</c:v>
                </c:pt>
                <c:pt idx="81">
                  <c:v>6031.752214439879</c:v>
                </c:pt>
                <c:pt idx="82">
                  <c:v>6032.8665835902893</c:v>
                </c:pt>
                <c:pt idx="83">
                  <c:v>6033.9809486223685</c:v>
                </c:pt>
                <c:pt idx="84">
                  <c:v>6035.0953095361601</c:v>
                </c:pt>
                <c:pt idx="85">
                  <c:v>6036.2096663317107</c:v>
                </c:pt>
                <c:pt idx="86">
                  <c:v>6037.3240190090673</c:v>
                </c:pt>
                <c:pt idx="87">
                  <c:v>6038.4383675682739</c:v>
                </c:pt>
                <c:pt idx="88">
                  <c:v>6039.5527120093775</c:v>
                </c:pt>
                <c:pt idx="89">
                  <c:v>6040.6670523324219</c:v>
                </c:pt>
                <c:pt idx="90">
                  <c:v>6041.7813885374535</c:v>
                </c:pt>
                <c:pt idx="91">
                  <c:v>6042.8957206245195</c:v>
                </c:pt>
                <c:pt idx="92">
                  <c:v>6044.0100485936637</c:v>
                </c:pt>
                <c:pt idx="93">
                  <c:v>6045.1243724449323</c:v>
                </c:pt>
                <c:pt idx="94">
                  <c:v>6046.2386921783709</c:v>
                </c:pt>
                <c:pt idx="95">
                  <c:v>6047.3530077940259</c:v>
                </c:pt>
                <c:pt idx="96">
                  <c:v>6048.4673192919427</c:v>
                </c:pt>
                <c:pt idx="97">
                  <c:v>6049.5816266721649</c:v>
                </c:pt>
                <c:pt idx="98">
                  <c:v>6050.6959299347418</c:v>
                </c:pt>
                <c:pt idx="99">
                  <c:v>6051.810229079716</c:v>
                </c:pt>
                <c:pt idx="100">
                  <c:v>6052.9245241071349</c:v>
                </c:pt>
                <c:pt idx="101">
                  <c:v>6052.9245241071349</c:v>
                </c:pt>
                <c:pt idx="102">
                  <c:v>7293.9410593154489</c:v>
                </c:pt>
                <c:pt idx="103">
                  <c:v>7293.9410593154489</c:v>
                </c:pt>
                <c:pt idx="104">
                  <c:v>7293.9410593154489</c:v>
                </c:pt>
                <c:pt idx="105">
                  <c:v>7322.4220835776805</c:v>
                </c:pt>
                <c:pt idx="106">
                  <c:v>7350.9004291586052</c:v>
                </c:pt>
                <c:pt idx="107">
                  <c:v>7379.3760968139077</c:v>
                </c:pt>
                <c:pt idx="108">
                  <c:v>7407.849087298915</c:v>
                </c:pt>
                <c:pt idx="109">
                  <c:v>7436.3194013685988</c:v>
                </c:pt>
                <c:pt idx="110">
                  <c:v>7464.7870397775796</c:v>
                </c:pt>
                <c:pt idx="111">
                  <c:v>7493.2520032801176</c:v>
                </c:pt>
                <c:pt idx="112">
                  <c:v>7521.7142926301231</c:v>
                </c:pt>
                <c:pt idx="113">
                  <c:v>7550.1739085811523</c:v>
                </c:pt>
                <c:pt idx="114">
                  <c:v>7578.6308518864062</c:v>
                </c:pt>
                <c:pt idx="115">
                  <c:v>7607.0851232987307</c:v>
                </c:pt>
                <c:pt idx="116">
                  <c:v>7635.5367235706217</c:v>
                </c:pt>
                <c:pt idx="117">
                  <c:v>7663.9856534542196</c:v>
                </c:pt>
                <c:pt idx="118">
                  <c:v>7692.4319137013126</c:v>
                </c:pt>
                <c:pt idx="119">
                  <c:v>7720.8755050633363</c:v>
                </c:pt>
                <c:pt idx="120">
                  <c:v>7749.316428291374</c:v>
                </c:pt>
                <c:pt idx="121">
                  <c:v>7777.7546841361554</c:v>
                </c:pt>
                <c:pt idx="122">
                  <c:v>7806.1902733480601</c:v>
                </c:pt>
                <c:pt idx="123">
                  <c:v>7834.6231966771138</c:v>
                </c:pt>
                <c:pt idx="124">
                  <c:v>7863.0534548729929</c:v>
                </c:pt>
                <c:pt idx="125">
                  <c:v>7891.481048685022</c:v>
                </c:pt>
                <c:pt idx="126">
                  <c:v>7919.9059788621726</c:v>
                </c:pt>
                <c:pt idx="127">
                  <c:v>7948.3282461530698</c:v>
                </c:pt>
                <c:pt idx="128">
                  <c:v>7976.7478513059832</c:v>
                </c:pt>
                <c:pt idx="129">
                  <c:v>8005.1647950688339</c:v>
                </c:pt>
                <c:pt idx="130">
                  <c:v>8033.5790781891938</c:v>
                </c:pt>
                <c:pt idx="131">
                  <c:v>8061.9907014142827</c:v>
                </c:pt>
                <c:pt idx="132">
                  <c:v>8090.3996654909743</c:v>
                </c:pt>
                <c:pt idx="133">
                  <c:v>8118.8059711657879</c:v>
                </c:pt>
                <c:pt idx="134">
                  <c:v>8147.2096191848987</c:v>
                </c:pt>
                <c:pt idx="135">
                  <c:v>8175.6106102941294</c:v>
                </c:pt>
                <c:pt idx="136">
                  <c:v>8204.0089452389548</c:v>
                </c:pt>
                <c:pt idx="137">
                  <c:v>8232.4046247645019</c:v>
                </c:pt>
                <c:pt idx="138">
                  <c:v>8260.7976496155497</c:v>
                </c:pt>
                <c:pt idx="139">
                  <c:v>8289.1880205365251</c:v>
                </c:pt>
                <c:pt idx="140">
                  <c:v>8317.5757382715128</c:v>
                </c:pt>
                <c:pt idx="141">
                  <c:v>8345.9608035642468</c:v>
                </c:pt>
                <c:pt idx="142">
                  <c:v>8374.3432171581153</c:v>
                </c:pt>
                <c:pt idx="143">
                  <c:v>8402.7229797961572</c:v>
                </c:pt>
                <c:pt idx="144">
                  <c:v>8431.1000922210642</c:v>
                </c:pt>
                <c:pt idx="145">
                  <c:v>8459.4745551751839</c:v>
                </c:pt>
                <c:pt idx="146">
                  <c:v>8487.846369400515</c:v>
                </c:pt>
                <c:pt idx="147">
                  <c:v>8516.2155356387138</c:v>
                </c:pt>
                <c:pt idx="148">
                  <c:v>8544.5820546310842</c:v>
                </c:pt>
                <c:pt idx="149">
                  <c:v>8572.9459271185897</c:v>
                </c:pt>
                <c:pt idx="150">
                  <c:v>8503.4874311684089</c:v>
                </c:pt>
                <c:pt idx="151">
                  <c:v>8434.0396071998657</c:v>
                </c:pt>
                <c:pt idx="152">
                  <c:v>8364.6038561456371</c:v>
                </c:pt>
                <c:pt idx="153">
                  <c:v>8295.1815999710579</c:v>
                </c:pt>
                <c:pt idx="154">
                  <c:v>8225.7742820164676</c:v>
                </c:pt>
                <c:pt idx="155">
                  <c:v>8156.3833673409226</c:v>
                </c:pt>
                <c:pt idx="156">
                  <c:v>8087.0103430673835</c:v>
                </c:pt>
                <c:pt idx="157">
                  <c:v>8017.6567187294668</c:v>
                </c:pt>
                <c:pt idx="158">
                  <c:v>7948.3240266198309</c:v>
                </c:pt>
                <c:pt idx="159">
                  <c:v>7879.0138221403049</c:v>
                </c:pt>
                <c:pt idx="160">
                  <c:v>7809.7276841538578</c:v>
                </c:pt>
                <c:pt idx="161">
                  <c:v>7740.4672153384909</c:v>
                </c:pt>
                <c:pt idx="162">
                  <c:v>7671.2340425431794</c:v>
                </c:pt>
                <c:pt idx="163">
                  <c:v>7602.0298171459417</c:v>
                </c:pt>
                <c:pt idx="164">
                  <c:v>7532.8562154141719</c:v>
                </c:pt>
                <c:pt idx="165">
                  <c:v>7463.7149388673242</c:v>
                </c:pt>
                <c:pt idx="166">
                  <c:v>7394.6077146420848</c:v>
                </c:pt>
                <c:pt idx="167">
                  <c:v>7325.5362958601336</c:v>
                </c:pt>
                <c:pt idx="168">
                  <c:v>7256.5024619986361</c:v>
                </c:pt>
                <c:pt idx="169">
                  <c:v>7187.5080192635796</c:v>
                </c:pt>
                <c:pt idx="170">
                  <c:v>7118.5548009660961</c:v>
                </c:pt>
                <c:pt idx="171">
                  <c:v>7049.6446679018982</c:v>
                </c:pt>
                <c:pt idx="172">
                  <c:v>6980.7795087339837</c:v>
                </c:pt>
                <c:pt idx="173">
                  <c:v>6911.9612403787341</c:v>
                </c:pt>
                <c:pt idx="174">
                  <c:v>6843.1918083955816</c:v>
                </c:pt>
                <c:pt idx="175">
                  <c:v>6774.4731873803776</c:v>
                </c:pt>
                <c:pt idx="176">
                  <c:v>6705.8073813626443</c:v>
                </c:pt>
                <c:pt idx="177">
                  <c:v>6637.1964242068625</c:v>
                </c:pt>
                <c:pt idx="178">
                  <c:v>6568.6423800179673</c:v>
                </c:pt>
                <c:pt idx="179">
                  <c:v>6500.1473435512462</c:v>
                </c:pt>
                <c:pt idx="180">
                  <c:v>6431.7134406268033</c:v>
                </c:pt>
                <c:pt idx="181">
                  <c:v>6363.3428285487971</c:v>
                </c:pt>
                <c:pt idx="182">
                  <c:v>6295.0376965296364</c:v>
                </c:pt>
                <c:pt idx="183">
                  <c:v>6226.8002661193523</c:v>
                </c:pt>
                <c:pt idx="184">
                  <c:v>6158.6327916403498</c:v>
                </c:pt>
                <c:pt idx="185">
                  <c:v>6090.5375606277503</c:v>
                </c:pt>
                <c:pt idx="186">
                  <c:v>6022.5168942755809</c:v>
                </c:pt>
                <c:pt idx="187">
                  <c:v>5954.5731478890075</c:v>
                </c:pt>
                <c:pt idx="188">
                  <c:v>5886.7087113428852</c:v>
                </c:pt>
                <c:pt idx="189">
                  <c:v>5818.9260095468589</c:v>
                </c:pt>
                <c:pt idx="190">
                  <c:v>5751.2275029172934</c:v>
                </c:pt>
                <c:pt idx="191">
                  <c:v>5683.6156878562861</c:v>
                </c:pt>
                <c:pt idx="192">
                  <c:v>5616.0930972380493</c:v>
                </c:pt>
                <c:pt idx="193">
                  <c:v>5548.6623009029627</c:v>
                </c:pt>
                <c:pt idx="194">
                  <c:v>5481.3259061595791</c:v>
                </c:pt>
                <c:pt idx="195">
                  <c:v>5414.08655829491</c:v>
                </c:pt>
                <c:pt idx="196">
                  <c:v>5346.946941093307</c:v>
                </c:pt>
                <c:pt idx="197">
                  <c:v>5279.9097773642789</c:v>
                </c:pt>
                <c:pt idx="198">
                  <c:v>5212.9778294795906</c:v>
                </c:pt>
                <c:pt idx="199">
                  <c:v>5253.4834080831579</c:v>
                </c:pt>
                <c:pt idx="200">
                  <c:v>5293.9838409216973</c:v>
                </c:pt>
                <c:pt idx="201">
                  <c:v>5334.4791299559247</c:v>
                </c:pt>
                <c:pt idx="202">
                  <c:v>5374.9692771453092</c:v>
                </c:pt>
                <c:pt idx="203">
                  <c:v>5415.4542844480766</c:v>
                </c:pt>
              </c:numCache>
            </c:numRef>
          </c:yVal>
          <c:smooth val="0"/>
        </c:ser>
        <c:ser>
          <c:idx val="1"/>
          <c:order val="1"/>
          <c:tx>
            <c:v>Hydrostatic Head</c:v>
          </c:tx>
          <c:spPr>
            <a:ln w="12700">
              <a:solidFill>
                <a:srgbClr val="808080"/>
              </a:solidFill>
              <a:prstDash val="solid"/>
            </a:ln>
          </c:spPr>
          <c:marker>
            <c:symbol val="none"/>
          </c:marker>
          <c:xVal>
            <c:numRef>
              <c:f>Circulation!$A$9:$A$212</c:f>
              <c:numCache>
                <c:formatCode>General</c:formatCode>
                <c:ptCount val="204"/>
                <c:pt idx="0">
                  <c:v>0</c:v>
                </c:pt>
                <c:pt idx="1">
                  <c:v>212.48</c:v>
                </c:pt>
                <c:pt idx="2">
                  <c:v>424.96</c:v>
                </c:pt>
                <c:pt idx="3">
                  <c:v>637.43999999999983</c:v>
                </c:pt>
                <c:pt idx="4">
                  <c:v>849.92</c:v>
                </c:pt>
                <c:pt idx="5">
                  <c:v>1062.4000000000001</c:v>
                </c:pt>
                <c:pt idx="6">
                  <c:v>1274.8799999999997</c:v>
                </c:pt>
                <c:pt idx="7">
                  <c:v>1487.36</c:v>
                </c:pt>
                <c:pt idx="8">
                  <c:v>1699.84</c:v>
                </c:pt>
                <c:pt idx="9">
                  <c:v>1912.3199999999997</c:v>
                </c:pt>
                <c:pt idx="10">
                  <c:v>2124.8000000000002</c:v>
                </c:pt>
                <c:pt idx="11">
                  <c:v>2337.2800000000002</c:v>
                </c:pt>
                <c:pt idx="12">
                  <c:v>2549.7599999999993</c:v>
                </c:pt>
                <c:pt idx="13">
                  <c:v>2762.24</c:v>
                </c:pt>
                <c:pt idx="14">
                  <c:v>2974.72</c:v>
                </c:pt>
                <c:pt idx="15">
                  <c:v>3187.1999999999994</c:v>
                </c:pt>
                <c:pt idx="16">
                  <c:v>3399.68</c:v>
                </c:pt>
                <c:pt idx="17">
                  <c:v>3612.16</c:v>
                </c:pt>
                <c:pt idx="18">
                  <c:v>3824.6399999999994</c:v>
                </c:pt>
                <c:pt idx="19">
                  <c:v>4037.1200000000003</c:v>
                </c:pt>
                <c:pt idx="20">
                  <c:v>4249.6000000000004</c:v>
                </c:pt>
                <c:pt idx="21">
                  <c:v>4462.079999999999</c:v>
                </c:pt>
                <c:pt idx="22">
                  <c:v>4674.5600000000004</c:v>
                </c:pt>
                <c:pt idx="23">
                  <c:v>4887.04</c:v>
                </c:pt>
                <c:pt idx="24">
                  <c:v>5099.5199999999986</c:v>
                </c:pt>
                <c:pt idx="25">
                  <c:v>5312</c:v>
                </c:pt>
                <c:pt idx="26">
                  <c:v>5524.48</c:v>
                </c:pt>
                <c:pt idx="27">
                  <c:v>5736.9599999999991</c:v>
                </c:pt>
                <c:pt idx="28">
                  <c:v>5949.44</c:v>
                </c:pt>
                <c:pt idx="29">
                  <c:v>6161.92</c:v>
                </c:pt>
                <c:pt idx="30">
                  <c:v>6374.3999999999987</c:v>
                </c:pt>
                <c:pt idx="31">
                  <c:v>6586.88</c:v>
                </c:pt>
                <c:pt idx="32">
                  <c:v>6799.36</c:v>
                </c:pt>
                <c:pt idx="33">
                  <c:v>7011.8399999999992</c:v>
                </c:pt>
                <c:pt idx="34">
                  <c:v>7224.32</c:v>
                </c:pt>
                <c:pt idx="35">
                  <c:v>7436.7999999999984</c:v>
                </c:pt>
                <c:pt idx="36">
                  <c:v>7649.2799999999988</c:v>
                </c:pt>
                <c:pt idx="37">
                  <c:v>7861.76</c:v>
                </c:pt>
                <c:pt idx="38">
                  <c:v>8074.2400000000007</c:v>
                </c:pt>
                <c:pt idx="39">
                  <c:v>8286.7199999999993</c:v>
                </c:pt>
                <c:pt idx="40">
                  <c:v>8499.2000000000007</c:v>
                </c:pt>
                <c:pt idx="41">
                  <c:v>8711.68</c:v>
                </c:pt>
                <c:pt idx="42">
                  <c:v>8924.159999999998</c:v>
                </c:pt>
                <c:pt idx="43">
                  <c:v>9136.64</c:v>
                </c:pt>
                <c:pt idx="44">
                  <c:v>9349.1200000000008</c:v>
                </c:pt>
                <c:pt idx="45">
                  <c:v>9561.5999999999985</c:v>
                </c:pt>
                <c:pt idx="46">
                  <c:v>9774.08</c:v>
                </c:pt>
                <c:pt idx="47">
                  <c:v>9986.56</c:v>
                </c:pt>
                <c:pt idx="48">
                  <c:v>10199.039999999997</c:v>
                </c:pt>
                <c:pt idx="49">
                  <c:v>10411.52</c:v>
                </c:pt>
                <c:pt idx="50">
                  <c:v>10624</c:v>
                </c:pt>
                <c:pt idx="51">
                  <c:v>10836.479999999998</c:v>
                </c:pt>
                <c:pt idx="52">
                  <c:v>11048.96</c:v>
                </c:pt>
                <c:pt idx="53">
                  <c:v>11261.44</c:v>
                </c:pt>
                <c:pt idx="54">
                  <c:v>11473.919999999998</c:v>
                </c:pt>
                <c:pt idx="55">
                  <c:v>11686.4</c:v>
                </c:pt>
                <c:pt idx="56">
                  <c:v>11898.88</c:v>
                </c:pt>
                <c:pt idx="57">
                  <c:v>12111.359999999997</c:v>
                </c:pt>
                <c:pt idx="58">
                  <c:v>12323.84</c:v>
                </c:pt>
                <c:pt idx="59">
                  <c:v>12536.32</c:v>
                </c:pt>
                <c:pt idx="60">
                  <c:v>12748.799999999997</c:v>
                </c:pt>
                <c:pt idx="61">
                  <c:v>12961.279999999999</c:v>
                </c:pt>
                <c:pt idx="62">
                  <c:v>13173.76</c:v>
                </c:pt>
                <c:pt idx="63">
                  <c:v>13386.24</c:v>
                </c:pt>
                <c:pt idx="64">
                  <c:v>13598.72</c:v>
                </c:pt>
                <c:pt idx="65">
                  <c:v>13811.2</c:v>
                </c:pt>
                <c:pt idx="66">
                  <c:v>14023.679999999998</c:v>
                </c:pt>
                <c:pt idx="67">
                  <c:v>14236.159999999998</c:v>
                </c:pt>
                <c:pt idx="68">
                  <c:v>14448.64</c:v>
                </c:pt>
                <c:pt idx="69">
                  <c:v>14661.119999999999</c:v>
                </c:pt>
                <c:pt idx="70">
                  <c:v>14873.599999999997</c:v>
                </c:pt>
                <c:pt idx="71">
                  <c:v>15086.080000000002</c:v>
                </c:pt>
                <c:pt idx="72">
                  <c:v>15298.559999999998</c:v>
                </c:pt>
                <c:pt idx="73">
                  <c:v>15511.039999999999</c:v>
                </c:pt>
                <c:pt idx="74">
                  <c:v>15723.52</c:v>
                </c:pt>
                <c:pt idx="75">
                  <c:v>15935.999999999998</c:v>
                </c:pt>
                <c:pt idx="76">
                  <c:v>16148.480000000001</c:v>
                </c:pt>
                <c:pt idx="77">
                  <c:v>16360.96</c:v>
                </c:pt>
                <c:pt idx="78">
                  <c:v>16573.439999999999</c:v>
                </c:pt>
                <c:pt idx="79">
                  <c:v>16785.919999999998</c:v>
                </c:pt>
                <c:pt idx="80">
                  <c:v>16998.400000000001</c:v>
                </c:pt>
                <c:pt idx="81">
                  <c:v>17210.879999999997</c:v>
                </c:pt>
                <c:pt idx="82">
                  <c:v>17423.36</c:v>
                </c:pt>
                <c:pt idx="83">
                  <c:v>17635.84</c:v>
                </c:pt>
                <c:pt idx="84">
                  <c:v>17848.319999999996</c:v>
                </c:pt>
                <c:pt idx="85">
                  <c:v>18060.8</c:v>
                </c:pt>
                <c:pt idx="86">
                  <c:v>18273.28</c:v>
                </c:pt>
                <c:pt idx="87">
                  <c:v>18485.759999999998</c:v>
                </c:pt>
                <c:pt idx="88">
                  <c:v>18698.240000000002</c:v>
                </c:pt>
                <c:pt idx="89">
                  <c:v>18910.719999999998</c:v>
                </c:pt>
                <c:pt idx="90">
                  <c:v>19123.199999999997</c:v>
                </c:pt>
                <c:pt idx="91">
                  <c:v>19335.679999999997</c:v>
                </c:pt>
                <c:pt idx="92">
                  <c:v>19548.16</c:v>
                </c:pt>
                <c:pt idx="93">
                  <c:v>19760.64</c:v>
                </c:pt>
                <c:pt idx="94">
                  <c:v>19973.12</c:v>
                </c:pt>
                <c:pt idx="95">
                  <c:v>20185.599999999999</c:v>
                </c:pt>
                <c:pt idx="96">
                  <c:v>20398.079999999994</c:v>
                </c:pt>
                <c:pt idx="97">
                  <c:v>20610.560000000001</c:v>
                </c:pt>
                <c:pt idx="98">
                  <c:v>20823.04</c:v>
                </c:pt>
                <c:pt idx="99">
                  <c:v>21035.519999999997</c:v>
                </c:pt>
                <c:pt idx="100">
                  <c:v>21248</c:v>
                </c:pt>
                <c:pt idx="101">
                  <c:v>21248</c:v>
                </c:pt>
                <c:pt idx="102">
                  <c:v>21248</c:v>
                </c:pt>
                <c:pt idx="103">
                  <c:v>21248</c:v>
                </c:pt>
                <c:pt idx="104">
                  <c:v>21022.999999999996</c:v>
                </c:pt>
                <c:pt idx="105">
                  <c:v>20797.999999999996</c:v>
                </c:pt>
                <c:pt idx="106">
                  <c:v>20572.999999999996</c:v>
                </c:pt>
                <c:pt idx="107">
                  <c:v>20348</c:v>
                </c:pt>
                <c:pt idx="108">
                  <c:v>20123</c:v>
                </c:pt>
                <c:pt idx="109">
                  <c:v>19898</c:v>
                </c:pt>
                <c:pt idx="110">
                  <c:v>19673</c:v>
                </c:pt>
                <c:pt idx="111">
                  <c:v>19448</c:v>
                </c:pt>
                <c:pt idx="112">
                  <c:v>19223</c:v>
                </c:pt>
                <c:pt idx="113">
                  <c:v>18998</c:v>
                </c:pt>
                <c:pt idx="114">
                  <c:v>18773</c:v>
                </c:pt>
                <c:pt idx="115">
                  <c:v>18548</c:v>
                </c:pt>
                <c:pt idx="116">
                  <c:v>18323</c:v>
                </c:pt>
                <c:pt idx="117">
                  <c:v>18098</c:v>
                </c:pt>
                <c:pt idx="118">
                  <c:v>17872.999999999996</c:v>
                </c:pt>
                <c:pt idx="119">
                  <c:v>17647.999999999996</c:v>
                </c:pt>
                <c:pt idx="120">
                  <c:v>17422.999999999996</c:v>
                </c:pt>
                <c:pt idx="121">
                  <c:v>17197.999999999996</c:v>
                </c:pt>
                <c:pt idx="122">
                  <c:v>16973</c:v>
                </c:pt>
                <c:pt idx="123">
                  <c:v>16748</c:v>
                </c:pt>
                <c:pt idx="124">
                  <c:v>16523</c:v>
                </c:pt>
                <c:pt idx="125">
                  <c:v>16297.999999999996</c:v>
                </c:pt>
                <c:pt idx="126">
                  <c:v>16072.999999999996</c:v>
                </c:pt>
                <c:pt idx="127">
                  <c:v>15848</c:v>
                </c:pt>
                <c:pt idx="128">
                  <c:v>15623</c:v>
                </c:pt>
                <c:pt idx="129">
                  <c:v>15397.999999999998</c:v>
                </c:pt>
                <c:pt idx="130">
                  <c:v>15172.999999999998</c:v>
                </c:pt>
                <c:pt idx="131">
                  <c:v>14947.999999999998</c:v>
                </c:pt>
                <c:pt idx="132">
                  <c:v>14722.999999999998</c:v>
                </c:pt>
                <c:pt idx="133">
                  <c:v>14497.999999999998</c:v>
                </c:pt>
                <c:pt idx="134">
                  <c:v>14272.999999999998</c:v>
                </c:pt>
                <c:pt idx="135">
                  <c:v>14048</c:v>
                </c:pt>
                <c:pt idx="136">
                  <c:v>13823</c:v>
                </c:pt>
                <c:pt idx="137">
                  <c:v>13598</c:v>
                </c:pt>
                <c:pt idx="138">
                  <c:v>13373</c:v>
                </c:pt>
                <c:pt idx="139">
                  <c:v>13147.999999999998</c:v>
                </c:pt>
                <c:pt idx="140">
                  <c:v>12922.999999999998</c:v>
                </c:pt>
                <c:pt idx="141">
                  <c:v>12697.999999999998</c:v>
                </c:pt>
                <c:pt idx="142">
                  <c:v>12472.999999999998</c:v>
                </c:pt>
                <c:pt idx="143">
                  <c:v>12247.999999999998</c:v>
                </c:pt>
                <c:pt idx="144">
                  <c:v>12022.999999999998</c:v>
                </c:pt>
                <c:pt idx="145">
                  <c:v>11798</c:v>
                </c:pt>
                <c:pt idx="146">
                  <c:v>11573</c:v>
                </c:pt>
                <c:pt idx="147">
                  <c:v>11348</c:v>
                </c:pt>
                <c:pt idx="148">
                  <c:v>11122.999999999998</c:v>
                </c:pt>
                <c:pt idx="149">
                  <c:v>10898</c:v>
                </c:pt>
                <c:pt idx="150">
                  <c:v>10673</c:v>
                </c:pt>
                <c:pt idx="151">
                  <c:v>10447.999999999998</c:v>
                </c:pt>
                <c:pt idx="152">
                  <c:v>10222.999999999998</c:v>
                </c:pt>
                <c:pt idx="153">
                  <c:v>9997.9999999999982</c:v>
                </c:pt>
                <c:pt idx="154">
                  <c:v>9772.9999999999982</c:v>
                </c:pt>
                <c:pt idx="155">
                  <c:v>9548</c:v>
                </c:pt>
                <c:pt idx="156">
                  <c:v>9323</c:v>
                </c:pt>
                <c:pt idx="157">
                  <c:v>9098</c:v>
                </c:pt>
                <c:pt idx="158">
                  <c:v>8872.9999999999982</c:v>
                </c:pt>
                <c:pt idx="159">
                  <c:v>8648</c:v>
                </c:pt>
                <c:pt idx="160">
                  <c:v>8423</c:v>
                </c:pt>
                <c:pt idx="161">
                  <c:v>8197.9999999999982</c:v>
                </c:pt>
                <c:pt idx="162">
                  <c:v>7972.9999999999991</c:v>
                </c:pt>
                <c:pt idx="163">
                  <c:v>7747.9999999999991</c:v>
                </c:pt>
                <c:pt idx="164">
                  <c:v>7522.9999999999991</c:v>
                </c:pt>
                <c:pt idx="165">
                  <c:v>7298</c:v>
                </c:pt>
                <c:pt idx="166">
                  <c:v>7073</c:v>
                </c:pt>
                <c:pt idx="167">
                  <c:v>6848</c:v>
                </c:pt>
                <c:pt idx="168">
                  <c:v>6623.0000000000009</c:v>
                </c:pt>
                <c:pt idx="169">
                  <c:v>6398.0000000000009</c:v>
                </c:pt>
                <c:pt idx="170">
                  <c:v>6173.0000000000009</c:v>
                </c:pt>
                <c:pt idx="171">
                  <c:v>5947.9999999999982</c:v>
                </c:pt>
                <c:pt idx="172">
                  <c:v>5722.9999999999991</c:v>
                </c:pt>
                <c:pt idx="173">
                  <c:v>5497.9999999999991</c:v>
                </c:pt>
                <c:pt idx="174">
                  <c:v>5272.9999999999991</c:v>
                </c:pt>
                <c:pt idx="175">
                  <c:v>5048</c:v>
                </c:pt>
                <c:pt idx="176">
                  <c:v>4823</c:v>
                </c:pt>
                <c:pt idx="177">
                  <c:v>4597.9999999999973</c:v>
                </c:pt>
                <c:pt idx="178">
                  <c:v>4372.9999999999973</c:v>
                </c:pt>
                <c:pt idx="179">
                  <c:v>4147.9999999999982</c:v>
                </c:pt>
                <c:pt idx="180">
                  <c:v>3922.9999999999982</c:v>
                </c:pt>
                <c:pt idx="181">
                  <c:v>3697.9999999999986</c:v>
                </c:pt>
                <c:pt idx="182">
                  <c:v>3472.9999999999986</c:v>
                </c:pt>
                <c:pt idx="183">
                  <c:v>3247.9999999999991</c:v>
                </c:pt>
                <c:pt idx="184">
                  <c:v>3022.9999999999995</c:v>
                </c:pt>
                <c:pt idx="185">
                  <c:v>2797.9999999999995</c:v>
                </c:pt>
                <c:pt idx="186">
                  <c:v>2573</c:v>
                </c:pt>
                <c:pt idx="187">
                  <c:v>2348.0000000000005</c:v>
                </c:pt>
                <c:pt idx="188">
                  <c:v>2123.0000000000005</c:v>
                </c:pt>
                <c:pt idx="189">
                  <c:v>1898.0000000000009</c:v>
                </c:pt>
                <c:pt idx="190">
                  <c:v>1672.9999999999982</c:v>
                </c:pt>
                <c:pt idx="191">
                  <c:v>1447.9999999999986</c:v>
                </c:pt>
                <c:pt idx="192">
                  <c:v>1222.9999999999989</c:v>
                </c:pt>
                <c:pt idx="193">
                  <c:v>997.99999999999909</c:v>
                </c:pt>
                <c:pt idx="194">
                  <c:v>772.99999999999943</c:v>
                </c:pt>
                <c:pt idx="195">
                  <c:v>547.99999999999977</c:v>
                </c:pt>
                <c:pt idx="196">
                  <c:v>323.00000000000006</c:v>
                </c:pt>
                <c:pt idx="197">
                  <c:v>98.000000000000355</c:v>
                </c:pt>
                <c:pt idx="198">
                  <c:v>-127.00000000000232</c:v>
                </c:pt>
                <c:pt idx="199">
                  <c:v>-352.00000000000199</c:v>
                </c:pt>
                <c:pt idx="200">
                  <c:v>-577.00000000000171</c:v>
                </c:pt>
                <c:pt idx="201">
                  <c:v>-802.00000000000136</c:v>
                </c:pt>
                <c:pt idx="202">
                  <c:v>-1027.0000000000011</c:v>
                </c:pt>
                <c:pt idx="203">
                  <c:v>-1252.0000000000009</c:v>
                </c:pt>
              </c:numCache>
            </c:numRef>
          </c:xVal>
          <c:yVal>
            <c:numRef>
              <c:f>Circulation!$U$9:$U$109</c:f>
              <c:numCache>
                <c:formatCode>0</c:formatCode>
                <c:ptCount val="101"/>
                <c:pt idx="0">
                  <c:v>0</c:v>
                </c:pt>
                <c:pt idx="1">
                  <c:v>92.053073170731722</c:v>
                </c:pt>
                <c:pt idx="2">
                  <c:v>184.10614634146344</c:v>
                </c:pt>
                <c:pt idx="3">
                  <c:v>276.15921951219514</c:v>
                </c:pt>
                <c:pt idx="4">
                  <c:v>368.21229268292689</c:v>
                </c:pt>
                <c:pt idx="5">
                  <c:v>460.26536585365864</c:v>
                </c:pt>
                <c:pt idx="6">
                  <c:v>552.31843902439027</c:v>
                </c:pt>
                <c:pt idx="7">
                  <c:v>644.37151219512202</c:v>
                </c:pt>
                <c:pt idx="8">
                  <c:v>736.42458536585377</c:v>
                </c:pt>
                <c:pt idx="9">
                  <c:v>828.47765853658541</c:v>
                </c:pt>
                <c:pt idx="10">
                  <c:v>920.53073170731727</c:v>
                </c:pt>
                <c:pt idx="11">
                  <c:v>1012.5838048780489</c:v>
                </c:pt>
                <c:pt idx="12">
                  <c:v>1104.6368780487805</c:v>
                </c:pt>
                <c:pt idx="13">
                  <c:v>1196.6899512195123</c:v>
                </c:pt>
                <c:pt idx="14">
                  <c:v>1288.743024390244</c:v>
                </c:pt>
                <c:pt idx="15">
                  <c:v>1380.7960975609758</c:v>
                </c:pt>
                <c:pt idx="16">
                  <c:v>1472.8491707317075</c:v>
                </c:pt>
                <c:pt idx="17">
                  <c:v>1564.9022439024393</c:v>
                </c:pt>
                <c:pt idx="18">
                  <c:v>1656.9553170731708</c:v>
                </c:pt>
                <c:pt idx="19">
                  <c:v>1749.008390243903</c:v>
                </c:pt>
                <c:pt idx="20">
                  <c:v>1841.0614634146345</c:v>
                </c:pt>
                <c:pt idx="21">
                  <c:v>1933.1145365853661</c:v>
                </c:pt>
                <c:pt idx="22">
                  <c:v>2025.1676097560978</c:v>
                </c:pt>
                <c:pt idx="23">
                  <c:v>2117.2206829268298</c:v>
                </c:pt>
                <c:pt idx="24">
                  <c:v>2209.2737560975611</c:v>
                </c:pt>
                <c:pt idx="25">
                  <c:v>2301.3268292682928</c:v>
                </c:pt>
                <c:pt idx="26">
                  <c:v>2393.3799024390246</c:v>
                </c:pt>
                <c:pt idx="27">
                  <c:v>2485.4329756097563</c:v>
                </c:pt>
                <c:pt idx="28">
                  <c:v>2577.4860487804881</c:v>
                </c:pt>
                <c:pt idx="29">
                  <c:v>2669.5391219512198</c:v>
                </c:pt>
                <c:pt idx="30">
                  <c:v>2761.5921951219516</c:v>
                </c:pt>
                <c:pt idx="31">
                  <c:v>2853.6452682926833</c:v>
                </c:pt>
                <c:pt idx="32">
                  <c:v>2945.6983414634151</c:v>
                </c:pt>
                <c:pt idx="33">
                  <c:v>3037.7514146341464</c:v>
                </c:pt>
                <c:pt idx="34">
                  <c:v>3129.8044878048786</c:v>
                </c:pt>
                <c:pt idx="35">
                  <c:v>3221.8575609756099</c:v>
                </c:pt>
                <c:pt idx="36">
                  <c:v>3313.9106341463416</c:v>
                </c:pt>
                <c:pt idx="37">
                  <c:v>3405.9637073170738</c:v>
                </c:pt>
                <c:pt idx="38">
                  <c:v>3498.016780487806</c:v>
                </c:pt>
                <c:pt idx="39">
                  <c:v>3590.0698536585373</c:v>
                </c:pt>
                <c:pt idx="40">
                  <c:v>3682.1229268292691</c:v>
                </c:pt>
                <c:pt idx="41">
                  <c:v>3774.1760000000004</c:v>
                </c:pt>
                <c:pt idx="42">
                  <c:v>3866.2290731707321</c:v>
                </c:pt>
                <c:pt idx="43">
                  <c:v>3958.2821463414639</c:v>
                </c:pt>
                <c:pt idx="44">
                  <c:v>4050.3352195121956</c:v>
                </c:pt>
                <c:pt idx="45">
                  <c:v>4142.3882926829274</c:v>
                </c:pt>
                <c:pt idx="46">
                  <c:v>4234.4413658536596</c:v>
                </c:pt>
                <c:pt idx="47">
                  <c:v>4326.4944390243909</c:v>
                </c:pt>
                <c:pt idx="48">
                  <c:v>4418.5475121951222</c:v>
                </c:pt>
                <c:pt idx="49">
                  <c:v>4510.6005853658544</c:v>
                </c:pt>
                <c:pt idx="50">
                  <c:v>4602.6536585365857</c:v>
                </c:pt>
                <c:pt idx="51">
                  <c:v>4694.7067317073179</c:v>
                </c:pt>
                <c:pt idx="52">
                  <c:v>4786.7598048780492</c:v>
                </c:pt>
                <c:pt idx="53">
                  <c:v>4804.8076805851879</c:v>
                </c:pt>
                <c:pt idx="54">
                  <c:v>4804.8076805851879</c:v>
                </c:pt>
                <c:pt idx="55">
                  <c:v>4804.8076805851879</c:v>
                </c:pt>
                <c:pt idx="56">
                  <c:v>4804.8076805851879</c:v>
                </c:pt>
                <c:pt idx="57">
                  <c:v>4804.8076805851879</c:v>
                </c:pt>
                <c:pt idx="58">
                  <c:v>4804.8076805851879</c:v>
                </c:pt>
                <c:pt idx="59">
                  <c:v>4804.8076805851879</c:v>
                </c:pt>
                <c:pt idx="60">
                  <c:v>4804.8076805851879</c:v>
                </c:pt>
                <c:pt idx="61">
                  <c:v>4804.8076805851879</c:v>
                </c:pt>
                <c:pt idx="62">
                  <c:v>4804.8076805851879</c:v>
                </c:pt>
                <c:pt idx="63">
                  <c:v>4804.8076805851879</c:v>
                </c:pt>
                <c:pt idx="64">
                  <c:v>4804.8076805851879</c:v>
                </c:pt>
                <c:pt idx="65">
                  <c:v>4804.8076805851879</c:v>
                </c:pt>
                <c:pt idx="66">
                  <c:v>4804.8076805851879</c:v>
                </c:pt>
                <c:pt idx="67">
                  <c:v>4804.8076805851879</c:v>
                </c:pt>
                <c:pt idx="68">
                  <c:v>4804.8076805851879</c:v>
                </c:pt>
                <c:pt idx="69">
                  <c:v>4804.8076805851879</c:v>
                </c:pt>
                <c:pt idx="70">
                  <c:v>4804.8076805851879</c:v>
                </c:pt>
                <c:pt idx="71">
                  <c:v>4804.8076805851879</c:v>
                </c:pt>
                <c:pt idx="72">
                  <c:v>4804.8076805851879</c:v>
                </c:pt>
                <c:pt idx="73">
                  <c:v>4804.8076805851879</c:v>
                </c:pt>
                <c:pt idx="74">
                  <c:v>4804.8076805851879</c:v>
                </c:pt>
                <c:pt idx="75">
                  <c:v>4804.8076805851879</c:v>
                </c:pt>
                <c:pt idx="76">
                  <c:v>4804.8076805851879</c:v>
                </c:pt>
                <c:pt idx="77">
                  <c:v>4804.8076805851879</c:v>
                </c:pt>
                <c:pt idx="78">
                  <c:v>4804.8076805851879</c:v>
                </c:pt>
                <c:pt idx="79">
                  <c:v>4804.8076805851879</c:v>
                </c:pt>
                <c:pt idx="80">
                  <c:v>4804.8076805851879</c:v>
                </c:pt>
                <c:pt idx="81">
                  <c:v>4804.8076805851879</c:v>
                </c:pt>
                <c:pt idx="82">
                  <c:v>4804.8076805851879</c:v>
                </c:pt>
                <c:pt idx="83">
                  <c:v>4804.8076805851879</c:v>
                </c:pt>
                <c:pt idx="84">
                  <c:v>4804.8076805851879</c:v>
                </c:pt>
                <c:pt idx="85">
                  <c:v>4804.8076805851879</c:v>
                </c:pt>
                <c:pt idx="86">
                  <c:v>4804.8076805851879</c:v>
                </c:pt>
                <c:pt idx="87">
                  <c:v>4804.8076805851879</c:v>
                </c:pt>
                <c:pt idx="88">
                  <c:v>4804.8076805851879</c:v>
                </c:pt>
                <c:pt idx="89">
                  <c:v>4804.8076805851879</c:v>
                </c:pt>
                <c:pt idx="90">
                  <c:v>4804.8076805851879</c:v>
                </c:pt>
                <c:pt idx="91">
                  <c:v>4804.8076805851879</c:v>
                </c:pt>
                <c:pt idx="92">
                  <c:v>4804.8076805851879</c:v>
                </c:pt>
                <c:pt idx="93">
                  <c:v>4804.8076805851879</c:v>
                </c:pt>
                <c:pt idx="94">
                  <c:v>4804.8076805851879</c:v>
                </c:pt>
                <c:pt idx="95">
                  <c:v>4804.8076805851879</c:v>
                </c:pt>
                <c:pt idx="96">
                  <c:v>4804.8076805851879</c:v>
                </c:pt>
                <c:pt idx="97">
                  <c:v>4804.8076805851879</c:v>
                </c:pt>
                <c:pt idx="98">
                  <c:v>4804.8076805851879</c:v>
                </c:pt>
              </c:numCache>
            </c:numRef>
          </c:yVal>
          <c:smooth val="0"/>
        </c:ser>
        <c:dLbls>
          <c:showLegendKey val="0"/>
          <c:showVal val="0"/>
          <c:showCatName val="0"/>
          <c:showSerName val="0"/>
          <c:showPercent val="0"/>
          <c:showBubbleSize val="0"/>
        </c:dLbls>
        <c:axId val="152422272"/>
        <c:axId val="152424448"/>
      </c:scatterChart>
      <c:valAx>
        <c:axId val="152422272"/>
        <c:scaling>
          <c:orientation val="minMax"/>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Measured Depth, ft</a:t>
                </a:r>
              </a:p>
            </c:rich>
          </c:tx>
          <c:layout>
            <c:manualLayout>
              <c:xMode val="edge"/>
              <c:yMode val="edge"/>
              <c:x val="0.78521252796420582"/>
              <c:y val="0.941685572240834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2424448"/>
        <c:crosses val="autoZero"/>
        <c:crossBetween val="midCat"/>
      </c:valAx>
      <c:valAx>
        <c:axId val="15242444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Pressure, psi</a:t>
                </a:r>
              </a:p>
            </c:rich>
          </c:tx>
          <c:layout>
            <c:manualLayout>
              <c:xMode val="edge"/>
              <c:yMode val="edge"/>
              <c:x val="1.296306082545051E-2"/>
              <c:y val="0.36501125264309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2422272"/>
        <c:crosses val="autoZero"/>
        <c:crossBetween val="midCat"/>
        <c:majorUnit val="1000"/>
      </c:valAx>
      <c:spPr>
        <a:solidFill>
          <a:srgbClr val="FFFFFF"/>
        </a:solidFill>
        <a:ln w="25400">
          <a:noFill/>
        </a:ln>
      </c:spPr>
    </c:plotArea>
    <c:legend>
      <c:legendPos val="r"/>
      <c:layout>
        <c:manualLayout>
          <c:xMode val="edge"/>
          <c:yMode val="edge"/>
          <c:x val="0.65389860663390231"/>
          <c:y val="0.7314614830813535"/>
          <c:w val="0.25609751801159086"/>
          <c:h val="0.12095032397408212"/>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840769903761"/>
          <c:y val="5.1400554097404488E-2"/>
          <c:w val="0.80819203849518806"/>
          <c:h val="0.81410104986876641"/>
        </c:manualLayout>
      </c:layout>
      <c:scatterChart>
        <c:scatterStyle val="lineMarker"/>
        <c:varyColors val="0"/>
        <c:ser>
          <c:idx val="2"/>
          <c:order val="0"/>
          <c:tx>
            <c:v>1.69 Eq Orifice</c:v>
          </c:tx>
          <c:spPr>
            <a:ln w="12700">
              <a:solidFill>
                <a:schemeClr val="tx2">
                  <a:lumMod val="60000"/>
                  <a:lumOff val="40000"/>
                </a:schemeClr>
              </a:solidFill>
              <a:prstDash val="dash"/>
            </a:ln>
          </c:spPr>
          <c:marker>
            <c:symbol val="none"/>
          </c:marker>
          <c:xVal>
            <c:numRef>
              <c:f>'HP Data'!$B$15:$B$30</c:f>
              <c:numCache>
                <c:formatCode>General</c:formatCode>
                <c:ptCount val="16"/>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numCache>
            </c:numRef>
          </c:xVal>
          <c:yVal>
            <c:numRef>
              <c:f>'HP Data'!$G$15:$G$30</c:f>
              <c:numCache>
                <c:formatCode>0</c:formatCode>
                <c:ptCount val="16"/>
                <c:pt idx="0">
                  <c:v>0</c:v>
                </c:pt>
                <c:pt idx="1">
                  <c:v>10.725826804670131</c:v>
                </c:pt>
                <c:pt idx="2">
                  <c:v>42.903307218680524</c:v>
                </c:pt>
                <c:pt idx="3">
                  <c:v>96.532441242031169</c:v>
                </c:pt>
                <c:pt idx="4">
                  <c:v>171.6132288747221</c:v>
                </c:pt>
                <c:pt idx="5">
                  <c:v>268.14567011675325</c:v>
                </c:pt>
                <c:pt idx="6">
                  <c:v>386.12976496812468</c:v>
                </c:pt>
                <c:pt idx="7">
                  <c:v>525.56551342883631</c:v>
                </c:pt>
                <c:pt idx="8">
                  <c:v>686.45291549888839</c:v>
                </c:pt>
                <c:pt idx="9">
                  <c:v>868.79197117828051</c:v>
                </c:pt>
                <c:pt idx="10">
                  <c:v>1072.582680467013</c:v>
                </c:pt>
              </c:numCache>
            </c:numRef>
          </c:yVal>
          <c:smooth val="0"/>
        </c:ser>
        <c:ser>
          <c:idx val="3"/>
          <c:order val="1"/>
          <c:tx>
            <c:v>2.88 Eq Orifice</c:v>
          </c:tx>
          <c:spPr>
            <a:ln w="12700">
              <a:solidFill>
                <a:srgbClr val="FF0000"/>
              </a:solidFill>
              <a:prstDash val="dash"/>
            </a:ln>
          </c:spPr>
          <c:marker>
            <c:symbol val="none"/>
          </c:marker>
          <c:xVal>
            <c:numRef>
              <c:f>'HP Data'!$B$15:$B$30</c:f>
              <c:numCache>
                <c:formatCode>General</c:formatCode>
                <c:ptCount val="16"/>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numCache>
            </c:numRef>
          </c:xVal>
          <c:yVal>
            <c:numRef>
              <c:f>'HP Data'!$H$15:$H$30</c:f>
              <c:numCache>
                <c:formatCode>0</c:formatCode>
                <c:ptCount val="16"/>
                <c:pt idx="0">
                  <c:v>0</c:v>
                </c:pt>
                <c:pt idx="1">
                  <c:v>6.6960808705881512</c:v>
                </c:pt>
                <c:pt idx="2">
                  <c:v>26.784323482352605</c:v>
                </c:pt>
                <c:pt idx="3">
                  <c:v>60.26472783529335</c:v>
                </c:pt>
                <c:pt idx="4">
                  <c:v>107.13729392941042</c:v>
                </c:pt>
                <c:pt idx="5">
                  <c:v>167.40202176470376</c:v>
                </c:pt>
                <c:pt idx="6">
                  <c:v>241.0589113411734</c:v>
                </c:pt>
                <c:pt idx="7">
                  <c:v>328.10796265881936</c:v>
                </c:pt>
                <c:pt idx="8">
                  <c:v>428.54917571764167</c:v>
                </c:pt>
                <c:pt idx="9">
                  <c:v>542.3825505176402</c:v>
                </c:pt>
                <c:pt idx="10">
                  <c:v>669.60808705881504</c:v>
                </c:pt>
                <c:pt idx="11">
                  <c:v>810.22578534116633</c:v>
                </c:pt>
                <c:pt idx="12">
                  <c:v>964.2356453646936</c:v>
                </c:pt>
                <c:pt idx="13">
                  <c:v>1131.6376671293974</c:v>
                </c:pt>
                <c:pt idx="14">
                  <c:v>1312.4318506352774</c:v>
                </c:pt>
                <c:pt idx="15">
                  <c:v>1506.6181958823338</c:v>
                </c:pt>
              </c:numCache>
            </c:numRef>
          </c:yVal>
          <c:smooth val="0"/>
        </c:ser>
        <c:dLbls>
          <c:showLegendKey val="0"/>
          <c:showVal val="0"/>
          <c:showCatName val="0"/>
          <c:showSerName val="0"/>
          <c:showPercent val="0"/>
          <c:showBubbleSize val="0"/>
        </c:dLbls>
        <c:axId val="152436096"/>
        <c:axId val="152446464"/>
      </c:scatterChart>
      <c:valAx>
        <c:axId val="152436096"/>
        <c:scaling>
          <c:orientation val="minMax"/>
          <c:max val="150"/>
        </c:scaling>
        <c:delete val="0"/>
        <c:axPos val="b"/>
        <c:majorGridlines/>
        <c:title>
          <c:tx>
            <c:rich>
              <a:bodyPr/>
              <a:lstStyle/>
              <a:p>
                <a:pPr>
                  <a:defRPr/>
                </a:pPr>
                <a:r>
                  <a:rPr lang="en-US"/>
                  <a:t>Flow (gpm)</a:t>
                </a:r>
              </a:p>
            </c:rich>
          </c:tx>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446464"/>
        <c:crosses val="autoZero"/>
        <c:crossBetween val="midCat"/>
        <c:majorUnit val="25"/>
      </c:valAx>
      <c:valAx>
        <c:axId val="152446464"/>
        <c:scaling>
          <c:orientation val="minMax"/>
          <c:min val="0"/>
        </c:scaling>
        <c:delete val="0"/>
        <c:axPos val="l"/>
        <c:majorGridlines/>
        <c:title>
          <c:tx>
            <c:rich>
              <a:bodyPr rot="-5400000" vert="horz"/>
              <a:lstStyle/>
              <a:p>
                <a:pPr>
                  <a:defRPr/>
                </a:pPr>
                <a:r>
                  <a:rPr lang="en-US"/>
                  <a:t>Press Drop (psid)</a:t>
                </a:r>
              </a:p>
            </c:rich>
          </c:tx>
          <c:layout/>
          <c:overlay val="0"/>
          <c:spPr>
            <a:noFill/>
            <a:ln w="25400">
              <a:noFill/>
            </a:ln>
          </c:spPr>
        </c:title>
        <c:numFmt formatCode="0" sourceLinked="1"/>
        <c:majorTickMark val="out"/>
        <c:minorTickMark val="none"/>
        <c:tickLblPos val="nextTo"/>
        <c:crossAx val="152436096"/>
        <c:crosses val="autoZero"/>
        <c:crossBetween val="midCat"/>
      </c:valAx>
    </c:plotArea>
    <c:legend>
      <c:legendPos val="r"/>
      <c:layout>
        <c:manualLayout>
          <c:xMode val="edge"/>
          <c:yMode val="edge"/>
          <c:x val="0.14336089238845146"/>
          <c:y val="8.2949412145399637E-2"/>
          <c:w val="0.26901465441819772"/>
          <c:h val="0.26458763887390785"/>
        </c:manualLayout>
      </c:layout>
      <c:overlay val="0"/>
      <c:spPr>
        <a:solidFill>
          <a:schemeClr val="bg1"/>
        </a:solidFill>
        <a:ln>
          <a:solidFill>
            <a:srgbClr val="FF0000"/>
          </a:solidFill>
        </a:ln>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Specific Gravity vs. Brine Concentration</a:t>
            </a:r>
          </a:p>
        </c:rich>
      </c:tx>
      <c:layout>
        <c:manualLayout>
          <c:xMode val="edge"/>
          <c:yMode val="edge"/>
          <c:x val="0.1752292213473316"/>
          <c:y val="1.3888888888888888E-2"/>
        </c:manualLayout>
      </c:layout>
      <c:overlay val="1"/>
    </c:title>
    <c:autoTitleDeleted val="0"/>
    <c:plotArea>
      <c:layout>
        <c:manualLayout>
          <c:layoutTarget val="inner"/>
          <c:xMode val="edge"/>
          <c:yMode val="edge"/>
          <c:x val="0.13551640419947505"/>
          <c:y val="0.1162153689122193"/>
          <c:w val="0.67759470691163604"/>
          <c:h val="0.73444808982210552"/>
        </c:manualLayout>
      </c:layout>
      <c:scatterChart>
        <c:scatterStyle val="lineMarker"/>
        <c:varyColors val="0"/>
        <c:ser>
          <c:idx val="0"/>
          <c:order val="0"/>
          <c:tx>
            <c:strRef>
              <c:f>Brine!$E$6</c:f>
              <c:strCache>
                <c:ptCount val="1"/>
                <c:pt idx="0">
                  <c:v>50</c:v>
                </c:pt>
              </c:strCache>
            </c:strRef>
          </c:tx>
          <c:xVal>
            <c:numRef>
              <c:f>Brine!$D$17:$D$22</c:f>
              <c:numCache>
                <c:formatCode>General</c:formatCode>
                <c:ptCount val="6"/>
                <c:pt idx="0">
                  <c:v>0</c:v>
                </c:pt>
                <c:pt idx="1">
                  <c:v>5</c:v>
                </c:pt>
                <c:pt idx="2">
                  <c:v>10</c:v>
                </c:pt>
                <c:pt idx="3">
                  <c:v>15</c:v>
                </c:pt>
                <c:pt idx="4">
                  <c:v>20</c:v>
                </c:pt>
                <c:pt idx="5">
                  <c:v>25</c:v>
                </c:pt>
              </c:numCache>
            </c:numRef>
          </c:xVal>
          <c:yVal>
            <c:numRef>
              <c:f>Brine!$E$17:$E$22</c:f>
              <c:numCache>
                <c:formatCode>0.000</c:formatCode>
                <c:ptCount val="6"/>
                <c:pt idx="0">
                  <c:v>1.0004174786050324</c:v>
                </c:pt>
                <c:pt idx="1">
                  <c:v>1.1290064102564101</c:v>
                </c:pt>
                <c:pt idx="2">
                  <c:v>1.1501602564102564</c:v>
                </c:pt>
                <c:pt idx="3">
                  <c:v>1.1716346153846153</c:v>
                </c:pt>
                <c:pt idx="4">
                  <c:v>1.195673076923077</c:v>
                </c:pt>
                <c:pt idx="5">
                  <c:v>1.2235576923076923</c:v>
                </c:pt>
              </c:numCache>
            </c:numRef>
          </c:yVal>
          <c:smooth val="0"/>
        </c:ser>
        <c:ser>
          <c:idx val="1"/>
          <c:order val="1"/>
          <c:tx>
            <c:strRef>
              <c:f>Brine!$F$6</c:f>
              <c:strCache>
                <c:ptCount val="1"/>
                <c:pt idx="0">
                  <c:v>100</c:v>
                </c:pt>
              </c:strCache>
            </c:strRef>
          </c:tx>
          <c:xVal>
            <c:numRef>
              <c:f>Brine!$D$17:$D$22</c:f>
              <c:numCache>
                <c:formatCode>General</c:formatCode>
                <c:ptCount val="6"/>
                <c:pt idx="0">
                  <c:v>0</c:v>
                </c:pt>
                <c:pt idx="1">
                  <c:v>5</c:v>
                </c:pt>
                <c:pt idx="2">
                  <c:v>10</c:v>
                </c:pt>
                <c:pt idx="3">
                  <c:v>15</c:v>
                </c:pt>
                <c:pt idx="4">
                  <c:v>20</c:v>
                </c:pt>
                <c:pt idx="5">
                  <c:v>25</c:v>
                </c:pt>
              </c:numCache>
            </c:numRef>
          </c:xVal>
          <c:yVal>
            <c:numRef>
              <c:f>Brine!$F$17:$F$22</c:f>
              <c:numCache>
                <c:formatCode>0.000</c:formatCode>
                <c:ptCount val="6"/>
                <c:pt idx="0">
                  <c:v>0.9919231152594995</c:v>
                </c:pt>
                <c:pt idx="1">
                  <c:v>1.0945512820512819</c:v>
                </c:pt>
                <c:pt idx="2">
                  <c:v>1.1189102564102564</c:v>
                </c:pt>
                <c:pt idx="3">
                  <c:v>1.1435897435897435</c:v>
                </c:pt>
                <c:pt idx="4">
                  <c:v>1.1700320512820512</c:v>
                </c:pt>
                <c:pt idx="5">
                  <c:v>1.1995192307692306</c:v>
                </c:pt>
              </c:numCache>
            </c:numRef>
          </c:yVal>
          <c:smooth val="0"/>
        </c:ser>
        <c:ser>
          <c:idx val="2"/>
          <c:order val="2"/>
          <c:tx>
            <c:strRef>
              <c:f>Brine!$G$6</c:f>
              <c:strCache>
                <c:ptCount val="1"/>
                <c:pt idx="0">
                  <c:v>150</c:v>
                </c:pt>
              </c:strCache>
            </c:strRef>
          </c:tx>
          <c:xVal>
            <c:numRef>
              <c:f>Brine!$D$17:$D$22</c:f>
              <c:numCache>
                <c:formatCode>General</c:formatCode>
                <c:ptCount val="6"/>
                <c:pt idx="0">
                  <c:v>0</c:v>
                </c:pt>
                <c:pt idx="1">
                  <c:v>5</c:v>
                </c:pt>
                <c:pt idx="2">
                  <c:v>10</c:v>
                </c:pt>
                <c:pt idx="3">
                  <c:v>15</c:v>
                </c:pt>
                <c:pt idx="4">
                  <c:v>20</c:v>
                </c:pt>
                <c:pt idx="5">
                  <c:v>25</c:v>
                </c:pt>
              </c:numCache>
            </c:numRef>
          </c:xVal>
          <c:yVal>
            <c:numRef>
              <c:f>Brine!$G$17:$G$22</c:f>
              <c:numCache>
                <c:formatCode>0.000</c:formatCode>
                <c:ptCount val="6"/>
                <c:pt idx="0">
                  <c:v>0.97954715114633462</c:v>
                </c:pt>
                <c:pt idx="1">
                  <c:v>1.0600961538461537</c:v>
                </c:pt>
                <c:pt idx="2">
                  <c:v>1.0876602564102564</c:v>
                </c:pt>
                <c:pt idx="3">
                  <c:v>1.1155448717948717</c:v>
                </c:pt>
                <c:pt idx="4">
                  <c:v>1.1443910256410257</c:v>
                </c:pt>
                <c:pt idx="5">
                  <c:v>1.1754807692307692</c:v>
                </c:pt>
              </c:numCache>
            </c:numRef>
          </c:yVal>
          <c:smooth val="0"/>
        </c:ser>
        <c:ser>
          <c:idx val="3"/>
          <c:order val="3"/>
          <c:tx>
            <c:strRef>
              <c:f>Brine!$H$6</c:f>
              <c:strCache>
                <c:ptCount val="1"/>
                <c:pt idx="0">
                  <c:v>200</c:v>
                </c:pt>
              </c:strCache>
            </c:strRef>
          </c:tx>
          <c:xVal>
            <c:numRef>
              <c:f>Brine!$D$17:$D$22</c:f>
              <c:numCache>
                <c:formatCode>General</c:formatCode>
                <c:ptCount val="6"/>
                <c:pt idx="0">
                  <c:v>0</c:v>
                </c:pt>
                <c:pt idx="1">
                  <c:v>5</c:v>
                </c:pt>
                <c:pt idx="2">
                  <c:v>10</c:v>
                </c:pt>
                <c:pt idx="3">
                  <c:v>15</c:v>
                </c:pt>
                <c:pt idx="4">
                  <c:v>20</c:v>
                </c:pt>
                <c:pt idx="5">
                  <c:v>25</c:v>
                </c:pt>
              </c:numCache>
            </c:numRef>
          </c:xVal>
          <c:yVal>
            <c:numRef>
              <c:f>Brine!$H$17:$H$22</c:f>
              <c:numCache>
                <c:formatCode>0.000</c:formatCode>
                <c:ptCount val="6"/>
                <c:pt idx="0">
                  <c:v>0.96328947620422201</c:v>
                </c:pt>
                <c:pt idx="1">
                  <c:v>1.0256410256410255</c:v>
                </c:pt>
                <c:pt idx="2">
                  <c:v>1.0564102564102564</c:v>
                </c:pt>
                <c:pt idx="3">
                  <c:v>1.0874999999999999</c:v>
                </c:pt>
                <c:pt idx="4">
                  <c:v>1.1187499999999999</c:v>
                </c:pt>
                <c:pt idx="5">
                  <c:v>1.1514423076923077</c:v>
                </c:pt>
              </c:numCache>
            </c:numRef>
          </c:yVal>
          <c:smooth val="0"/>
        </c:ser>
        <c:ser>
          <c:idx val="4"/>
          <c:order val="4"/>
          <c:tx>
            <c:strRef>
              <c:f>Brine!$I$6</c:f>
              <c:strCache>
                <c:ptCount val="1"/>
                <c:pt idx="0">
                  <c:v>250</c:v>
                </c:pt>
              </c:strCache>
            </c:strRef>
          </c:tx>
          <c:xVal>
            <c:numRef>
              <c:f>Brine!$D$17:$D$22</c:f>
              <c:numCache>
                <c:formatCode>General</c:formatCode>
                <c:ptCount val="6"/>
                <c:pt idx="0">
                  <c:v>0</c:v>
                </c:pt>
                <c:pt idx="1">
                  <c:v>5</c:v>
                </c:pt>
                <c:pt idx="2">
                  <c:v>10</c:v>
                </c:pt>
                <c:pt idx="3">
                  <c:v>15</c:v>
                </c:pt>
                <c:pt idx="4">
                  <c:v>20</c:v>
                </c:pt>
                <c:pt idx="5">
                  <c:v>25</c:v>
                </c:pt>
              </c:numCache>
            </c:numRef>
          </c:xVal>
          <c:yVal>
            <c:numRef>
              <c:f>Brine!$I$17:$I$22</c:f>
              <c:numCache>
                <c:formatCode>0.000</c:formatCode>
                <c:ptCount val="6"/>
                <c:pt idx="0">
                  <c:v>0.94314990771633456</c:v>
                </c:pt>
                <c:pt idx="1">
                  <c:v>0.99118589743589736</c:v>
                </c:pt>
                <c:pt idx="2">
                  <c:v>1.0251602564102564</c:v>
                </c:pt>
                <c:pt idx="3">
                  <c:v>1.0594551282051283</c:v>
                </c:pt>
                <c:pt idx="4">
                  <c:v>1.0931089743589744</c:v>
                </c:pt>
                <c:pt idx="5">
                  <c:v>1.127403846153846</c:v>
                </c:pt>
              </c:numCache>
            </c:numRef>
          </c:yVal>
          <c:smooth val="0"/>
        </c:ser>
        <c:ser>
          <c:idx val="5"/>
          <c:order val="5"/>
          <c:tx>
            <c:strRef>
              <c:f>Brine!$J$6</c:f>
              <c:strCache>
                <c:ptCount val="1"/>
                <c:pt idx="0">
                  <c:v>300</c:v>
                </c:pt>
              </c:strCache>
            </c:strRef>
          </c:tx>
          <c:xVal>
            <c:numRef>
              <c:f>Brine!$D$17:$D$22</c:f>
              <c:numCache>
                <c:formatCode>General</c:formatCode>
                <c:ptCount val="6"/>
                <c:pt idx="0">
                  <c:v>0</c:v>
                </c:pt>
                <c:pt idx="1">
                  <c:v>5</c:v>
                </c:pt>
                <c:pt idx="2">
                  <c:v>10</c:v>
                </c:pt>
                <c:pt idx="3">
                  <c:v>15</c:v>
                </c:pt>
                <c:pt idx="4">
                  <c:v>20</c:v>
                </c:pt>
                <c:pt idx="5">
                  <c:v>25</c:v>
                </c:pt>
              </c:numCache>
            </c:numRef>
          </c:xVal>
          <c:yVal>
            <c:numRef>
              <c:f>Brine!$J$17:$J$22</c:f>
              <c:numCache>
                <c:formatCode>0.000</c:formatCode>
                <c:ptCount val="6"/>
                <c:pt idx="0">
                  <c:v>0.91912819031033566</c:v>
                </c:pt>
                <c:pt idx="1">
                  <c:v>0.95673076923076916</c:v>
                </c:pt>
                <c:pt idx="2">
                  <c:v>0.99391025641025632</c:v>
                </c:pt>
                <c:pt idx="3">
                  <c:v>1.0314102564102565</c:v>
                </c:pt>
                <c:pt idx="4">
                  <c:v>1.0674679487179488</c:v>
                </c:pt>
                <c:pt idx="5">
                  <c:v>1.1033653846153846</c:v>
                </c:pt>
              </c:numCache>
            </c:numRef>
          </c:yVal>
          <c:smooth val="0"/>
        </c:ser>
        <c:dLbls>
          <c:showLegendKey val="0"/>
          <c:showVal val="0"/>
          <c:showCatName val="0"/>
          <c:showSerName val="0"/>
          <c:showPercent val="0"/>
          <c:showBubbleSize val="0"/>
        </c:dLbls>
        <c:axId val="151590016"/>
        <c:axId val="151592320"/>
      </c:scatterChart>
      <c:valAx>
        <c:axId val="151590016"/>
        <c:scaling>
          <c:orientation val="minMax"/>
          <c:max val="25"/>
        </c:scaling>
        <c:delete val="0"/>
        <c:axPos val="b"/>
        <c:title>
          <c:tx>
            <c:rich>
              <a:bodyPr/>
              <a:lstStyle/>
              <a:p>
                <a:pPr>
                  <a:defRPr/>
                </a:pPr>
                <a:r>
                  <a:rPr lang="en-US"/>
                  <a:t>Brine Concentration (% by weight)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1592320"/>
        <c:crosses val="autoZero"/>
        <c:crossBetween val="midCat"/>
      </c:valAx>
      <c:valAx>
        <c:axId val="151592320"/>
        <c:scaling>
          <c:orientation val="minMax"/>
          <c:max val="1.25"/>
          <c:min val="0.85000000000000009"/>
        </c:scaling>
        <c:delete val="0"/>
        <c:axPos val="l"/>
        <c:majorGridlines/>
        <c:title>
          <c:tx>
            <c:rich>
              <a:bodyPr rot="-5400000" vert="horz"/>
              <a:lstStyle/>
              <a:p>
                <a:pPr>
                  <a:defRPr/>
                </a:pPr>
                <a:r>
                  <a:rPr lang="en-US"/>
                  <a:t>Specific Gravity</a:t>
                </a:r>
              </a:p>
            </c:rich>
          </c:tx>
          <c:layout/>
          <c:overlay val="0"/>
        </c:title>
        <c:numFmt formatCode="0.000" sourceLinked="1"/>
        <c:majorTickMark val="out"/>
        <c:minorTickMark val="none"/>
        <c:tickLblPos val="nextTo"/>
        <c:crossAx val="151590016"/>
        <c:crosses val="autoZero"/>
        <c:crossBetween val="midCat"/>
        <c:majorUnit val="5.000000000000001E-2"/>
      </c:valAx>
    </c:plotArea>
    <c:legend>
      <c:legendPos val="r"/>
      <c:layout/>
      <c:overlay val="0"/>
      <c:spPr>
        <a:ln>
          <a:solidFill>
            <a:schemeClr val="tx1"/>
          </a:solidFill>
        </a:ln>
      </c:sp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a2 Formula</a:t>
            </a:r>
          </a:p>
        </c:rich>
      </c:tx>
      <c:layout/>
      <c:overlay val="1"/>
    </c:title>
    <c:autoTitleDeleted val="0"/>
    <c:plotArea>
      <c:layout/>
      <c:scatterChart>
        <c:scatterStyle val="lineMarker"/>
        <c:varyColors val="0"/>
        <c:ser>
          <c:idx val="0"/>
          <c:order val="0"/>
          <c:spPr>
            <a:ln w="28575">
              <a:noFill/>
            </a:ln>
          </c:spPr>
          <c:trendline>
            <c:trendlineType val="poly"/>
            <c:order val="2"/>
            <c:dispRSqr val="0"/>
            <c:dispEq val="1"/>
            <c:trendlineLbl>
              <c:layout>
                <c:manualLayout>
                  <c:x val="0.14725415573053369"/>
                  <c:y val="-0.13308617672790901"/>
                </c:manualLayout>
              </c:layout>
              <c:numFmt formatCode="General" sourceLinked="0"/>
            </c:trendlineLbl>
          </c:trendline>
          <c:xVal>
            <c:numRef>
              <c:f>Brine!$B$10:$B$14</c:f>
              <c:numCache>
                <c:formatCode>0%</c:formatCode>
                <c:ptCount val="5"/>
                <c:pt idx="0">
                  <c:v>0.05</c:v>
                </c:pt>
                <c:pt idx="1">
                  <c:v>0.1</c:v>
                </c:pt>
                <c:pt idx="2">
                  <c:v>0.15</c:v>
                </c:pt>
                <c:pt idx="3">
                  <c:v>0.2</c:v>
                </c:pt>
                <c:pt idx="4">
                  <c:v>0.25</c:v>
                </c:pt>
              </c:numCache>
            </c:numRef>
          </c:xVal>
          <c:yVal>
            <c:numRef>
              <c:f>Brine!$C$10:$C$14</c:f>
              <c:numCache>
                <c:formatCode>General</c:formatCode>
                <c:ptCount val="5"/>
                <c:pt idx="0">
                  <c:v>4.2999999999999997E-2</c:v>
                </c:pt>
                <c:pt idx="1">
                  <c:v>3.9E-2</c:v>
                </c:pt>
                <c:pt idx="2">
                  <c:v>3.5000000000000003E-2</c:v>
                </c:pt>
                <c:pt idx="3">
                  <c:v>3.2000000000000001E-2</c:v>
                </c:pt>
                <c:pt idx="4" formatCode="0.000">
                  <c:v>0.03</c:v>
                </c:pt>
              </c:numCache>
            </c:numRef>
          </c:yVal>
          <c:smooth val="0"/>
        </c:ser>
        <c:dLbls>
          <c:showLegendKey val="0"/>
          <c:showVal val="0"/>
          <c:showCatName val="0"/>
          <c:showSerName val="0"/>
          <c:showPercent val="0"/>
          <c:showBubbleSize val="0"/>
        </c:dLbls>
        <c:axId val="152741376"/>
        <c:axId val="152743296"/>
      </c:scatterChart>
      <c:valAx>
        <c:axId val="152741376"/>
        <c:scaling>
          <c:orientation val="minMax"/>
        </c:scaling>
        <c:delete val="0"/>
        <c:axPos val="b"/>
        <c:title>
          <c:tx>
            <c:rich>
              <a:bodyPr/>
              <a:lstStyle/>
              <a:p>
                <a:pPr>
                  <a:defRPr/>
                </a:pPr>
                <a:r>
                  <a:rPr lang="en-US"/>
                  <a:t>Concentration (% wt)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743296"/>
        <c:crosses val="autoZero"/>
        <c:crossBetween val="midCat"/>
      </c:valAx>
      <c:valAx>
        <c:axId val="152743296"/>
        <c:scaling>
          <c:orientation val="minMax"/>
        </c:scaling>
        <c:delete val="0"/>
        <c:axPos val="l"/>
        <c:majorGridlines/>
        <c:title>
          <c:tx>
            <c:rich>
              <a:bodyPr rot="-5400000" vert="horz"/>
              <a:lstStyle/>
              <a:p>
                <a:pPr>
                  <a:defRPr/>
                </a:pPr>
                <a:r>
                  <a:rPr lang="en-US"/>
                  <a:t>a2</a:t>
                </a:r>
              </a:p>
            </c:rich>
          </c:tx>
          <c:layout/>
          <c:overlay val="0"/>
        </c:title>
        <c:numFmt formatCode="General" sourceLinked="1"/>
        <c:majorTickMark val="out"/>
        <c:minorTickMark val="none"/>
        <c:tickLblPos val="nextTo"/>
        <c:crossAx val="152741376"/>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a3 Formula</a:t>
            </a:r>
          </a:p>
        </c:rich>
      </c:tx>
      <c:layout/>
      <c:overlay val="1"/>
    </c:title>
    <c:autoTitleDeleted val="0"/>
    <c:plotArea>
      <c:layout/>
      <c:scatterChart>
        <c:scatterStyle val="lineMarker"/>
        <c:varyColors val="0"/>
        <c:ser>
          <c:idx val="0"/>
          <c:order val="0"/>
          <c:spPr>
            <a:ln w="28575">
              <a:noFill/>
            </a:ln>
          </c:spPr>
          <c:trendline>
            <c:trendlineType val="poly"/>
            <c:order val="2"/>
            <c:dispRSqr val="0"/>
            <c:dispEq val="1"/>
            <c:trendlineLbl>
              <c:layout>
                <c:manualLayout>
                  <c:x val="-3.5477252843394577E-2"/>
                  <c:y val="2.7135462233887429E-2"/>
                </c:manualLayout>
              </c:layout>
              <c:numFmt formatCode="General" sourceLinked="0"/>
            </c:trendlineLbl>
          </c:trendline>
          <c:xVal>
            <c:numRef>
              <c:f>Brine!$B$10:$B$14</c:f>
              <c:numCache>
                <c:formatCode>0%</c:formatCode>
                <c:ptCount val="5"/>
                <c:pt idx="0">
                  <c:v>0.05</c:v>
                </c:pt>
                <c:pt idx="1">
                  <c:v>0.1</c:v>
                </c:pt>
                <c:pt idx="2">
                  <c:v>0.15</c:v>
                </c:pt>
                <c:pt idx="3">
                  <c:v>0.2</c:v>
                </c:pt>
                <c:pt idx="4">
                  <c:v>0.25</c:v>
                </c:pt>
              </c:numCache>
            </c:numRef>
          </c:xVal>
          <c:yVal>
            <c:numRef>
              <c:f>Brine!$D$10:$D$14</c:f>
              <c:numCache>
                <c:formatCode>General</c:formatCode>
                <c:ptCount val="5"/>
                <c:pt idx="0">
                  <c:v>72.599999999999994</c:v>
                </c:pt>
                <c:pt idx="1">
                  <c:v>73.72</c:v>
                </c:pt>
                <c:pt idx="2">
                  <c:v>74.86</c:v>
                </c:pt>
                <c:pt idx="3">
                  <c:v>76.209999999999994</c:v>
                </c:pt>
                <c:pt idx="4">
                  <c:v>77.849999999999994</c:v>
                </c:pt>
              </c:numCache>
            </c:numRef>
          </c:yVal>
          <c:smooth val="0"/>
        </c:ser>
        <c:dLbls>
          <c:showLegendKey val="0"/>
          <c:showVal val="0"/>
          <c:showCatName val="0"/>
          <c:showSerName val="0"/>
          <c:showPercent val="0"/>
          <c:showBubbleSize val="0"/>
        </c:dLbls>
        <c:axId val="152326528"/>
        <c:axId val="152328448"/>
      </c:scatterChart>
      <c:valAx>
        <c:axId val="152326528"/>
        <c:scaling>
          <c:orientation val="minMax"/>
        </c:scaling>
        <c:delete val="0"/>
        <c:axPos val="b"/>
        <c:title>
          <c:tx>
            <c:rich>
              <a:bodyPr/>
              <a:lstStyle/>
              <a:p>
                <a:pPr>
                  <a:defRPr/>
                </a:pPr>
                <a:r>
                  <a:rPr lang="en-US"/>
                  <a:t>Concentration (% wt)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328448"/>
        <c:crosses val="autoZero"/>
        <c:crossBetween val="midCat"/>
      </c:valAx>
      <c:valAx>
        <c:axId val="152328448"/>
        <c:scaling>
          <c:orientation val="minMax"/>
        </c:scaling>
        <c:delete val="0"/>
        <c:axPos val="l"/>
        <c:majorGridlines/>
        <c:title>
          <c:tx>
            <c:rich>
              <a:bodyPr rot="-5400000" vert="horz"/>
              <a:lstStyle/>
              <a:p>
                <a:pPr>
                  <a:defRPr/>
                </a:pPr>
                <a:r>
                  <a:rPr lang="en-US"/>
                  <a:t>a3</a:t>
                </a:r>
              </a:p>
            </c:rich>
          </c:tx>
          <c:layout/>
          <c:overlay val="0"/>
        </c:title>
        <c:numFmt formatCode="General" sourceLinked="1"/>
        <c:majorTickMark val="out"/>
        <c:minorTickMark val="none"/>
        <c:tickLblPos val="nextTo"/>
        <c:crossAx val="1523265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123825</xdr:colOff>
      <xdr:row>2</xdr:row>
      <xdr:rowOff>76200</xdr:rowOff>
    </xdr:from>
    <xdr:to>
      <xdr:col>17</xdr:col>
      <xdr:colOff>981075</xdr:colOff>
      <xdr:row>39</xdr:row>
      <xdr:rowOff>0</xdr:rowOff>
    </xdr:to>
    <xdr:graphicFrame macro="">
      <xdr:nvGraphicFramePr>
        <xdr:cNvPr id="1099" name="Chart 5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581025</xdr:colOff>
      <xdr:row>0</xdr:row>
      <xdr:rowOff>38100</xdr:rowOff>
    </xdr:from>
    <xdr:to>
      <xdr:col>0</xdr:col>
      <xdr:colOff>1885950</xdr:colOff>
      <xdr:row>0</xdr:row>
      <xdr:rowOff>295275</xdr:rowOff>
    </xdr:to>
    <xdr:pic>
      <xdr:nvPicPr>
        <xdr:cNvPr id="1100" name="Picture 566" descr="Tempress Logo CA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38100"/>
          <a:ext cx="1304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0.11389</cdr:x>
      <cdr:y>0.94599</cdr:y>
    </cdr:from>
    <cdr:to>
      <cdr:x>0.92465</cdr:x>
      <cdr:y>0.99037</cdr:y>
    </cdr:to>
    <cdr:sp macro="" textlink="">
      <cdr:nvSpPr>
        <cdr:cNvPr id="410625" name="Text Box 1"/>
        <cdr:cNvSpPr txBox="1">
          <a:spLocks xmlns:a="http://schemas.openxmlformats.org/drawingml/2006/main" noChangeArrowheads="1"/>
        </cdr:cNvSpPr>
      </cdr:nvSpPr>
      <cdr:spPr bwMode="auto">
        <a:xfrm xmlns:a="http://schemas.openxmlformats.org/drawingml/2006/main">
          <a:off x="600885" y="4679643"/>
          <a:ext cx="4255111" cy="2193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r>
            <a:rPr lang="en-US" sz="1050" b="1" i="0" u="none" strike="noStrike" baseline="0">
              <a:solidFill>
                <a:srgbClr val="000000"/>
              </a:solidFill>
              <a:latin typeface="Arial"/>
              <a:cs typeface="Arial"/>
            </a:rPr>
            <a:t>Tubing on Reel    </a:t>
          </a:r>
          <a:r>
            <a:rPr lang="en-US" sz="1000" b="1" i="0" baseline="0">
              <a:effectLst/>
              <a:latin typeface="+mn-lt"/>
              <a:ea typeface="+mn-ea"/>
              <a:cs typeface="+mn-cs"/>
            </a:rPr>
            <a:t>←</a:t>
          </a:r>
          <a:r>
            <a:rPr lang="en-US" sz="1050" b="1" i="0" u="none" strike="noStrike" baseline="0">
              <a:solidFill>
                <a:srgbClr val="000000"/>
              </a:solidFill>
              <a:latin typeface="Arial"/>
              <a:cs typeface="Arial"/>
            </a:rPr>
            <a:t>  0 </a:t>
          </a:r>
          <a:r>
            <a:rPr lang="en-US" sz="1000" b="1" i="0" baseline="0">
              <a:effectLst/>
              <a:latin typeface="+mn-lt"/>
              <a:ea typeface="+mn-ea"/>
              <a:cs typeface="+mn-cs"/>
            </a:rPr>
            <a:t>→</a:t>
          </a:r>
          <a:r>
            <a:rPr lang="en-US" sz="1050" b="1" i="0" u="none" strike="noStrike" baseline="0">
              <a:solidFill>
                <a:srgbClr val="000000"/>
              </a:solidFill>
              <a:latin typeface="Arial"/>
              <a:cs typeface="Arial"/>
            </a:rPr>
            <a:t>   Measured Depth (ft)</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571500</xdr:colOff>
      <xdr:row>12</xdr:row>
      <xdr:rowOff>66675</xdr:rowOff>
    </xdr:from>
    <xdr:to>
      <xdr:col>12</xdr:col>
      <xdr:colOff>428625</xdr:colOff>
      <xdr:row>39</xdr:row>
      <xdr:rowOff>104775</xdr:rowOff>
    </xdr:to>
    <xdr:graphicFrame macro="">
      <xdr:nvGraphicFramePr>
        <xdr:cNvPr id="2080" name="Chart 17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0.06412</cdr:x>
      <cdr:y>0.93003</cdr:y>
    </cdr:from>
    <cdr:to>
      <cdr:x>0.31837</cdr:x>
      <cdr:y>0.97748</cdr:y>
    </cdr:to>
    <cdr:sp macro="" textlink="">
      <cdr:nvSpPr>
        <cdr:cNvPr id="350209" name="Text Box 8193"/>
        <cdr:cNvSpPr txBox="1">
          <a:spLocks xmlns:a="http://schemas.openxmlformats.org/drawingml/2006/main" noChangeArrowheads="1"/>
        </cdr:cNvSpPr>
      </cdr:nvSpPr>
      <cdr:spPr bwMode="auto">
        <a:xfrm xmlns:a="http://schemas.openxmlformats.org/drawingml/2006/main">
          <a:off x="436455" y="4113527"/>
          <a:ext cx="1275824" cy="20973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strike="noStrike">
              <a:solidFill>
                <a:srgbClr val="000000"/>
              </a:solidFill>
              <a:latin typeface="Arial"/>
              <a:cs typeface="Arial"/>
            </a:rPr>
            <a:t>Tubing on Reel, ft</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323850</xdr:colOff>
      <xdr:row>36</xdr:row>
      <xdr:rowOff>38100</xdr:rowOff>
    </xdr:from>
    <xdr:to>
      <xdr:col>7</xdr:col>
      <xdr:colOff>523875</xdr:colOff>
      <xdr:row>57</xdr:row>
      <xdr:rowOff>114300</xdr:rowOff>
    </xdr:to>
    <xdr:graphicFrame macro="">
      <xdr:nvGraphicFramePr>
        <xdr:cNvPr id="31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19050</xdr:colOff>
      <xdr:row>29</xdr:row>
      <xdr:rowOff>85725</xdr:rowOff>
    </xdr:from>
    <xdr:to>
      <xdr:col>14</xdr:col>
      <xdr:colOff>552450</xdr:colOff>
      <xdr:row>42</xdr:row>
      <xdr:rowOff>76200</xdr:rowOff>
    </xdr:to>
    <xdr:pic>
      <xdr:nvPicPr>
        <xdr:cNvPr id="3167"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19825" y="4857750"/>
          <a:ext cx="36576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581025</xdr:colOff>
      <xdr:row>58</xdr:row>
      <xdr:rowOff>38100</xdr:rowOff>
    </xdr:from>
    <xdr:to>
      <xdr:col>8</xdr:col>
      <xdr:colOff>28575</xdr:colOff>
      <xdr:row>76</xdr:row>
      <xdr:rowOff>9525</xdr:rowOff>
    </xdr:to>
    <xdr:pic>
      <xdr:nvPicPr>
        <xdr:cNvPr id="3168"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49413"/>
        <a:stretch>
          <a:fillRect/>
        </a:stretch>
      </xdr:blipFill>
      <xdr:spPr bwMode="auto">
        <a:xfrm>
          <a:off x="581025" y="9505950"/>
          <a:ext cx="503872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447675</xdr:colOff>
      <xdr:row>14</xdr:row>
      <xdr:rowOff>28575</xdr:rowOff>
    </xdr:from>
    <xdr:to>
      <xdr:col>19</xdr:col>
      <xdr:colOff>142875</xdr:colOff>
      <xdr:row>31</xdr:row>
      <xdr:rowOff>19050</xdr:rowOff>
    </xdr:to>
    <xdr:graphicFrame macro="">
      <xdr:nvGraphicFramePr>
        <xdr:cNvPr id="41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666750</xdr:colOff>
      <xdr:row>32</xdr:row>
      <xdr:rowOff>142875</xdr:rowOff>
    </xdr:from>
    <xdr:to>
      <xdr:col>10</xdr:col>
      <xdr:colOff>276225</xdr:colOff>
      <xdr:row>49</xdr:row>
      <xdr:rowOff>133350</xdr:rowOff>
    </xdr:to>
    <xdr:graphicFrame macro="">
      <xdr:nvGraphicFramePr>
        <xdr:cNvPr id="41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600075</xdr:colOff>
      <xdr:row>33</xdr:row>
      <xdr:rowOff>19050</xdr:rowOff>
    </xdr:from>
    <xdr:to>
      <xdr:col>18</xdr:col>
      <xdr:colOff>295275</xdr:colOff>
      <xdr:row>50</xdr:row>
      <xdr:rowOff>9525</xdr:rowOff>
    </xdr:to>
    <xdr:graphicFrame macro="">
      <xdr:nvGraphicFramePr>
        <xdr:cNvPr id="41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0.85521</cdr:x>
      <cdr:y>0.07639</cdr:y>
    </cdr:from>
    <cdr:to>
      <cdr:x>0.98021</cdr:x>
      <cdr:y>0.23958</cdr:y>
    </cdr:to>
    <cdr:sp macro="" textlink="">
      <cdr:nvSpPr>
        <cdr:cNvPr id="2" name="TextBox 1"/>
        <cdr:cNvSpPr txBox="1"/>
      </cdr:nvSpPr>
      <cdr:spPr>
        <a:xfrm xmlns:a="http://schemas.openxmlformats.org/drawingml/2006/main">
          <a:off x="3910013" y="209550"/>
          <a:ext cx="571500"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Temp</a:t>
          </a:r>
          <a:r>
            <a:rPr lang="en-US" sz="1100" baseline="0"/>
            <a:t>  </a:t>
          </a:r>
          <a:r>
            <a:rPr lang="en-US" sz="1100" baseline="30000"/>
            <a:t>o</a:t>
          </a:r>
          <a:r>
            <a:rPr lang="en-US" sz="1100" baseline="0"/>
            <a:t>F</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osti.gov/bridge/servlets/purl/7111583-l9lvkU/native/7111583.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zoomScale="75" workbookViewId="0">
      <selection activeCell="F27" sqref="F27"/>
    </sheetView>
  </sheetViews>
  <sheetFormatPr defaultRowHeight="12.75" x14ac:dyDescent="0.2"/>
  <cols>
    <col min="1" max="1" width="9.85546875" customWidth="1"/>
    <col min="2" max="2" width="22.42578125" customWidth="1"/>
    <col min="4" max="4" width="11.7109375" customWidth="1"/>
  </cols>
  <sheetData>
    <row r="1" spans="1:5" ht="15.75" x14ac:dyDescent="0.25">
      <c r="A1" s="66" t="s">
        <v>240</v>
      </c>
    </row>
    <row r="2" spans="1:5" x14ac:dyDescent="0.2">
      <c r="C2" s="333" t="s">
        <v>310</v>
      </c>
    </row>
    <row r="4" spans="1:5" x14ac:dyDescent="0.2">
      <c r="B4" s="59" t="s">
        <v>242</v>
      </c>
      <c r="C4" s="59" t="s">
        <v>246</v>
      </c>
      <c r="D4" s="59"/>
    </row>
    <row r="5" spans="1:5" x14ac:dyDescent="0.2">
      <c r="B5" s="17" t="s">
        <v>241</v>
      </c>
      <c r="C5" s="14" t="s">
        <v>224</v>
      </c>
      <c r="D5" s="14" t="s">
        <v>235</v>
      </c>
    </row>
    <row r="6" spans="1:5" x14ac:dyDescent="0.2">
      <c r="C6" s="11" t="s">
        <v>80</v>
      </c>
      <c r="D6" s="11" t="s">
        <v>78</v>
      </c>
    </row>
    <row r="7" spans="1:5" x14ac:dyDescent="0.2">
      <c r="B7" s="379" t="s">
        <v>296</v>
      </c>
      <c r="C7" s="206">
        <v>0.154</v>
      </c>
      <c r="D7" s="279">
        <v>1.3</v>
      </c>
      <c r="E7" s="267"/>
    </row>
    <row r="8" spans="1:5" x14ac:dyDescent="0.2">
      <c r="B8" s="381" t="s">
        <v>297</v>
      </c>
      <c r="C8" s="206">
        <v>0.127</v>
      </c>
      <c r="D8" s="279">
        <v>0.88</v>
      </c>
      <c r="E8" s="267"/>
    </row>
    <row r="9" spans="1:5" x14ac:dyDescent="0.2">
      <c r="B9" s="381" t="s">
        <v>298</v>
      </c>
      <c r="C9" s="206">
        <v>0.187</v>
      </c>
      <c r="D9" s="279">
        <v>1.86</v>
      </c>
      <c r="E9" s="267"/>
    </row>
    <row r="10" spans="1:5" x14ac:dyDescent="0.2">
      <c r="B10" s="381" t="s">
        <v>299</v>
      </c>
      <c r="C10" s="206">
        <v>0.159</v>
      </c>
      <c r="D10" s="279">
        <v>1.36</v>
      </c>
      <c r="E10" s="267"/>
    </row>
    <row r="11" spans="1:5" x14ac:dyDescent="0.2">
      <c r="A11" s="334"/>
      <c r="B11" s="381" t="s">
        <v>300</v>
      </c>
      <c r="C11" s="206">
        <v>0.15</v>
      </c>
      <c r="D11" s="279">
        <v>1.05</v>
      </c>
      <c r="E11" s="267"/>
    </row>
    <row r="12" spans="1:5" x14ac:dyDescent="0.2">
      <c r="B12" s="379" t="s">
        <v>301</v>
      </c>
      <c r="C12" s="206">
        <v>0.217</v>
      </c>
      <c r="D12" s="279">
        <v>2</v>
      </c>
      <c r="E12" s="267"/>
    </row>
    <row r="13" spans="1:5" x14ac:dyDescent="0.2">
      <c r="B13" s="381" t="s">
        <v>305</v>
      </c>
      <c r="C13" s="206">
        <v>0.16500000000000001</v>
      </c>
      <c r="D13" s="279">
        <v>1.1000000000000001</v>
      </c>
      <c r="E13" s="267"/>
    </row>
    <row r="14" spans="1:5" x14ac:dyDescent="0.2">
      <c r="B14" s="380" t="s">
        <v>304</v>
      </c>
      <c r="C14" s="206">
        <v>0.13400000000000001</v>
      </c>
      <c r="D14" s="279">
        <v>1</v>
      </c>
      <c r="E14" s="267"/>
    </row>
    <row r="15" spans="1:5" x14ac:dyDescent="0.2">
      <c r="B15" s="381" t="s">
        <v>302</v>
      </c>
      <c r="C15" s="206">
        <v>0.222</v>
      </c>
      <c r="D15" s="279">
        <v>2.73</v>
      </c>
      <c r="E15" s="267"/>
    </row>
    <row r="16" spans="1:5" x14ac:dyDescent="0.2">
      <c r="B16" s="380" t="s">
        <v>303</v>
      </c>
      <c r="C16" s="206">
        <v>0.19</v>
      </c>
      <c r="D16" s="279">
        <v>2</v>
      </c>
      <c r="E16" s="267"/>
    </row>
    <row r="19" spans="2:4" x14ac:dyDescent="0.2">
      <c r="B19" s="56" t="s">
        <v>252</v>
      </c>
      <c r="C19" s="59" t="s">
        <v>251</v>
      </c>
      <c r="D19" s="284" t="e">
        <f>VLOOKUP('Circ Model'!#REF!,'JR Data'!B7:D16,3,FALSE)</f>
        <v>#REF!</v>
      </c>
    </row>
    <row r="39" spans="3:3" x14ac:dyDescent="0.2">
      <c r="C39" s="1"/>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I266"/>
  <sheetViews>
    <sheetView tabSelected="1" zoomScaleNormal="100" workbookViewId="0">
      <selection activeCell="G23" sqref="G23"/>
    </sheetView>
  </sheetViews>
  <sheetFormatPr defaultColWidth="0" defaultRowHeight="12.75" zeroHeight="1" x14ac:dyDescent="0.2"/>
  <cols>
    <col min="1" max="1" width="38.140625" style="83" customWidth="1"/>
    <col min="2" max="2" width="8.28515625" style="345" hidden="1" customWidth="1"/>
    <col min="3" max="3" width="8" style="83" hidden="1" customWidth="1"/>
    <col min="4" max="4" width="8.140625" style="83" hidden="1" customWidth="1"/>
    <col min="5" max="5" width="12.42578125" style="83" hidden="1" customWidth="1"/>
    <col min="6" max="6" width="8.28515625" style="83" hidden="1" customWidth="1"/>
    <col min="7" max="7" width="21.85546875" style="83" customWidth="1"/>
    <col min="8" max="8" width="8.5703125" style="83" customWidth="1"/>
    <col min="9" max="9" width="5.28515625" style="83" customWidth="1"/>
    <col min="10" max="10" width="5.42578125" style="83" customWidth="1"/>
    <col min="11" max="11" width="12.140625" style="83" customWidth="1"/>
    <col min="12" max="12" width="8.42578125" style="83" customWidth="1"/>
    <col min="13" max="13" width="10.5703125" style="83" customWidth="1"/>
    <col min="14" max="14" width="6.7109375" style="83" customWidth="1"/>
    <col min="15" max="15" width="12" style="83" customWidth="1"/>
    <col min="16" max="16" width="11.28515625" style="83" customWidth="1"/>
    <col min="17" max="17" width="10.85546875" style="83" customWidth="1"/>
    <col min="18" max="18" width="15.85546875" style="83" customWidth="1"/>
    <col min="19" max="19" width="14.140625" style="83" hidden="1" customWidth="1"/>
    <col min="20" max="20" width="10.7109375" style="83" hidden="1" customWidth="1"/>
    <col min="21" max="21" width="8.7109375" style="83" hidden="1" customWidth="1"/>
    <col min="22" max="22" width="9.5703125" style="83" hidden="1" customWidth="1"/>
    <col min="23" max="23" width="12.28515625" style="83" hidden="1" customWidth="1"/>
    <col min="24" max="27" width="11.5703125" style="83" hidden="1" customWidth="1"/>
    <col min="28" max="87" width="10.5703125" style="83" hidden="1" customWidth="1"/>
    <col min="88" max="16384" width="9.140625" style="83" hidden="1"/>
  </cols>
  <sheetData>
    <row r="1" spans="1:46" ht="24.75" customHeight="1" x14ac:dyDescent="0.2">
      <c r="A1" s="324"/>
      <c r="B1" s="346" t="s">
        <v>249</v>
      </c>
      <c r="C1" s="347"/>
      <c r="D1" s="348"/>
      <c r="E1" s="347"/>
      <c r="F1" s="349"/>
      <c r="G1" s="524" t="s">
        <v>450</v>
      </c>
      <c r="H1" s="525"/>
      <c r="I1" s="525"/>
      <c r="J1" s="525"/>
      <c r="K1" s="525"/>
      <c r="L1" s="526"/>
      <c r="M1" s="390" t="s">
        <v>318</v>
      </c>
      <c r="N1" s="392" t="s">
        <v>317</v>
      </c>
      <c r="O1" s="391" t="s">
        <v>319</v>
      </c>
      <c r="P1" s="527" t="s">
        <v>408</v>
      </c>
      <c r="Q1" s="527"/>
      <c r="R1" s="527"/>
      <c r="S1" s="527"/>
      <c r="Y1" s="75"/>
      <c r="Z1" s="75"/>
      <c r="AA1" s="75"/>
      <c r="AB1" s="75"/>
      <c r="AC1" s="75"/>
      <c r="AD1" s="75"/>
      <c r="AE1" s="75"/>
      <c r="AF1" s="75"/>
      <c r="AG1" s="75"/>
      <c r="AH1" s="75"/>
      <c r="AI1" s="75"/>
      <c r="AJ1" s="75"/>
      <c r="AK1" s="75"/>
      <c r="AL1" s="75"/>
      <c r="AM1" s="75"/>
      <c r="AN1" s="75"/>
      <c r="AO1" s="75"/>
    </row>
    <row r="2" spans="1:46" ht="18" customHeight="1" x14ac:dyDescent="0.2">
      <c r="A2" s="241" t="s">
        <v>210</v>
      </c>
      <c r="B2" s="350"/>
      <c r="C2" s="351"/>
      <c r="D2" s="351"/>
      <c r="E2" s="352" t="s">
        <v>74</v>
      </c>
      <c r="F2" s="351"/>
      <c r="G2" s="213" t="s">
        <v>83</v>
      </c>
      <c r="H2" s="323"/>
      <c r="I2" s="529" t="s">
        <v>132</v>
      </c>
      <c r="J2" s="529"/>
      <c r="K2" s="529" t="s">
        <v>368</v>
      </c>
      <c r="L2" s="529"/>
      <c r="M2" s="366"/>
      <c r="N2" s="366"/>
      <c r="O2" s="366"/>
      <c r="P2" s="366"/>
      <c r="Q2" s="251"/>
      <c r="R2" s="252"/>
      <c r="S2" s="252"/>
      <c r="T2" s="236"/>
      <c r="U2" s="219"/>
      <c r="V2" s="219"/>
      <c r="W2" s="219"/>
      <c r="X2" s="214"/>
      <c r="Y2" s="214"/>
      <c r="Z2" s="214"/>
      <c r="AA2" s="214"/>
      <c r="AB2" s="75"/>
      <c r="AC2" s="75"/>
      <c r="AD2" s="225"/>
      <c r="AE2" s="75"/>
      <c r="AF2" s="75"/>
      <c r="AG2" s="75"/>
      <c r="AH2" s="75"/>
      <c r="AI2" s="75"/>
      <c r="AJ2" s="75"/>
      <c r="AK2" s="75"/>
      <c r="AL2" s="75"/>
      <c r="AM2" s="75"/>
      <c r="AN2" s="75"/>
      <c r="AO2" s="75"/>
      <c r="AP2" s="75"/>
      <c r="AQ2" s="75"/>
      <c r="AR2" s="75"/>
      <c r="AS2" s="75"/>
      <c r="AT2" s="75"/>
    </row>
    <row r="3" spans="1:46" ht="15" customHeight="1" x14ac:dyDescent="0.2">
      <c r="A3" s="242" t="s">
        <v>401</v>
      </c>
      <c r="B3" s="353"/>
      <c r="C3" s="351"/>
      <c r="D3" s="351"/>
      <c r="E3" s="355"/>
      <c r="F3" s="351"/>
      <c r="G3" s="520" t="s">
        <v>459</v>
      </c>
      <c r="H3" s="521"/>
      <c r="I3" s="521"/>
      <c r="J3" s="521"/>
      <c r="K3" s="521"/>
      <c r="L3" s="522"/>
      <c r="M3" s="255"/>
      <c r="N3" s="256"/>
      <c r="O3" s="257"/>
      <c r="P3" s="257"/>
      <c r="Q3" s="257"/>
      <c r="R3" s="257"/>
      <c r="S3" s="257"/>
      <c r="T3" s="238"/>
      <c r="U3" s="224"/>
      <c r="V3" s="220"/>
      <c r="W3" s="221"/>
      <c r="X3" s="80"/>
      <c r="Y3" s="80"/>
      <c r="Z3" s="80"/>
      <c r="AA3" s="80"/>
      <c r="AB3" s="80"/>
      <c r="AC3" s="80"/>
      <c r="AD3" s="75"/>
      <c r="AE3" s="226"/>
      <c r="AF3" s="227"/>
      <c r="AG3" s="75"/>
      <c r="AH3" s="80"/>
      <c r="AI3" s="75"/>
      <c r="AJ3" s="75"/>
      <c r="AK3" s="75"/>
      <c r="AL3" s="75"/>
      <c r="AM3" s="75"/>
      <c r="AN3" s="75"/>
      <c r="AO3" s="75"/>
      <c r="AP3" s="75"/>
      <c r="AQ3" s="75"/>
      <c r="AR3" s="75"/>
      <c r="AS3" s="75"/>
      <c r="AT3" s="75"/>
    </row>
    <row r="4" spans="1:46" ht="15" customHeight="1" x14ac:dyDescent="0.2">
      <c r="A4" s="247" t="s">
        <v>253</v>
      </c>
      <c r="B4" s="363" t="s">
        <v>239</v>
      </c>
      <c r="C4" s="364"/>
      <c r="D4" s="364"/>
      <c r="E4" s="365">
        <f>G4/3.281</f>
        <v>3381.2861932337701</v>
      </c>
      <c r="F4" s="364" t="s">
        <v>6</v>
      </c>
      <c r="G4" s="547">
        <v>11094</v>
      </c>
      <c r="H4" s="351" t="s">
        <v>29</v>
      </c>
      <c r="I4" s="417">
        <f>TVD/1000</f>
        <v>3.3812861932337701</v>
      </c>
      <c r="J4" s="364" t="s">
        <v>137</v>
      </c>
      <c r="K4" s="358"/>
      <c r="L4" s="358"/>
      <c r="M4" s="255"/>
      <c r="N4" s="256"/>
      <c r="O4" s="257"/>
      <c r="P4" s="257"/>
      <c r="Q4" s="257"/>
      <c r="R4" s="257"/>
      <c r="S4" s="257"/>
      <c r="T4" s="238"/>
      <c r="U4" s="224"/>
      <c r="V4" s="220"/>
      <c r="W4" s="221"/>
      <c r="X4" s="80"/>
      <c r="Y4" s="80"/>
      <c r="Z4" s="80"/>
      <c r="AA4" s="80"/>
      <c r="AB4" s="80"/>
      <c r="AC4" s="80"/>
      <c r="AD4" s="75"/>
      <c r="AE4" s="226"/>
      <c r="AF4" s="227"/>
      <c r="AG4" s="75"/>
      <c r="AH4" s="80"/>
      <c r="AI4" s="75"/>
      <c r="AJ4" s="75"/>
      <c r="AK4" s="75"/>
      <c r="AL4" s="75"/>
      <c r="AM4" s="75"/>
      <c r="AN4" s="75"/>
      <c r="AO4" s="75"/>
      <c r="AP4" s="75"/>
      <c r="AQ4" s="75"/>
      <c r="AR4" s="75"/>
      <c r="AS4" s="75"/>
      <c r="AT4" s="75"/>
    </row>
    <row r="5" spans="1:46" ht="15" customHeight="1" x14ac:dyDescent="0.2">
      <c r="A5" s="247" t="s">
        <v>272</v>
      </c>
      <c r="B5" s="363" t="s">
        <v>19</v>
      </c>
      <c r="C5" s="364"/>
      <c r="D5" s="364"/>
      <c r="E5" s="365">
        <f>G5/3.28</f>
        <v>6478.0487804878048</v>
      </c>
      <c r="F5" s="364" t="s">
        <v>6</v>
      </c>
      <c r="G5" s="547">
        <v>21248</v>
      </c>
      <c r="H5" s="351" t="s">
        <v>29</v>
      </c>
      <c r="I5" s="417">
        <f>L/1000</f>
        <v>6.4780487804878044</v>
      </c>
      <c r="J5" s="364" t="s">
        <v>137</v>
      </c>
      <c r="K5" s="358"/>
      <c r="L5" s="358"/>
      <c r="M5" s="255"/>
      <c r="N5" s="256"/>
      <c r="O5" s="257"/>
      <c r="P5" s="257"/>
      <c r="Q5" s="257"/>
      <c r="R5" s="257"/>
      <c r="S5" s="257"/>
      <c r="T5" s="238"/>
      <c r="U5" s="224"/>
      <c r="V5" s="220"/>
      <c r="W5" s="221"/>
      <c r="X5" s="80"/>
      <c r="Y5" s="80"/>
      <c r="Z5" s="80"/>
      <c r="AA5" s="80"/>
      <c r="AB5" s="80"/>
      <c r="AC5" s="80"/>
      <c r="AD5" s="75"/>
      <c r="AE5" s="226"/>
      <c r="AF5" s="227"/>
      <c r="AG5" s="75"/>
      <c r="AH5" s="80"/>
      <c r="AI5" s="75"/>
      <c r="AJ5" s="75"/>
      <c r="AK5" s="75"/>
      <c r="AL5" s="75"/>
      <c r="AM5" s="75"/>
      <c r="AN5" s="75"/>
      <c r="AO5" s="75"/>
      <c r="AP5" s="75"/>
      <c r="AQ5" s="75"/>
      <c r="AR5" s="75"/>
      <c r="AS5" s="75"/>
      <c r="AT5" s="75"/>
    </row>
    <row r="6" spans="1:46" ht="15" customHeight="1" x14ac:dyDescent="0.2">
      <c r="A6" s="242" t="s">
        <v>77</v>
      </c>
      <c r="B6" s="353" t="s">
        <v>8</v>
      </c>
      <c r="C6" s="351"/>
      <c r="D6" s="351"/>
      <c r="E6" s="354">
        <f>G6/3.28</f>
        <v>6859.7560975609758</v>
      </c>
      <c r="F6" s="351" t="s">
        <v>6</v>
      </c>
      <c r="G6" s="549">
        <v>22500</v>
      </c>
      <c r="H6" s="351" t="s">
        <v>29</v>
      </c>
      <c r="I6" s="477">
        <f>lt/1000</f>
        <v>6.8597560975609762</v>
      </c>
      <c r="J6" s="364" t="s">
        <v>137</v>
      </c>
      <c r="K6" s="358"/>
      <c r="L6" s="358"/>
      <c r="M6" s="253"/>
      <c r="N6" s="253"/>
      <c r="O6" s="253"/>
      <c r="P6" s="254"/>
      <c r="Q6" s="254"/>
      <c r="R6" s="372"/>
      <c r="S6" s="372"/>
      <c r="T6" s="237"/>
      <c r="U6" s="237"/>
      <c r="V6" s="237"/>
      <c r="W6" s="237"/>
      <c r="X6" s="215"/>
      <c r="Y6" s="215"/>
      <c r="Z6" s="215"/>
      <c r="AA6" s="215"/>
      <c r="AB6" s="77"/>
      <c r="AC6" s="77"/>
      <c r="AD6" s="75"/>
      <c r="AE6" s="226"/>
      <c r="AF6" s="227"/>
      <c r="AG6" s="75"/>
      <c r="AH6" s="215"/>
      <c r="AI6" s="75"/>
      <c r="AJ6" s="75"/>
      <c r="AK6" s="75"/>
      <c r="AL6" s="75"/>
      <c r="AM6" s="75"/>
      <c r="AN6" s="75"/>
      <c r="AO6" s="75"/>
      <c r="AP6" s="75"/>
      <c r="AQ6" s="75"/>
      <c r="AR6" s="75"/>
      <c r="AS6" s="75"/>
      <c r="AT6" s="75"/>
    </row>
    <row r="7" spans="1:46" ht="15" customHeight="1" x14ac:dyDescent="0.2">
      <c r="A7" s="242" t="s">
        <v>402</v>
      </c>
      <c r="B7" s="353" t="s">
        <v>9</v>
      </c>
      <c r="C7" s="351"/>
      <c r="D7" s="351"/>
      <c r="E7" s="355">
        <f>G7/39.37</f>
        <v>5.0800101600203207E-2</v>
      </c>
      <c r="F7" s="351" t="s">
        <v>6</v>
      </c>
      <c r="G7" s="543">
        <v>2</v>
      </c>
      <c r="H7" s="351" t="s">
        <v>7</v>
      </c>
      <c r="I7" s="416">
        <f>25.4*D</f>
        <v>50.8</v>
      </c>
      <c r="J7" s="351" t="s">
        <v>15</v>
      </c>
      <c r="K7" s="370"/>
      <c r="L7" s="370"/>
      <c r="M7" s="255"/>
      <c r="N7" s="256"/>
      <c r="O7" s="257"/>
      <c r="P7" s="257"/>
      <c r="Q7" s="257"/>
      <c r="R7" s="257"/>
      <c r="S7" s="257"/>
      <c r="T7" s="238"/>
      <c r="U7" s="224"/>
      <c r="V7" s="220"/>
      <c r="W7" s="221"/>
      <c r="X7" s="80"/>
      <c r="Y7" s="80"/>
      <c r="Z7" s="80"/>
      <c r="AA7" s="80"/>
      <c r="AB7" s="80"/>
      <c r="AC7" s="80"/>
      <c r="AD7" s="75"/>
      <c r="AE7" s="226"/>
      <c r="AF7" s="227"/>
      <c r="AG7" s="75"/>
      <c r="AH7" s="80"/>
      <c r="AI7" s="75"/>
      <c r="AJ7" s="75"/>
      <c r="AK7" s="75"/>
      <c r="AL7" s="75"/>
      <c r="AM7" s="75"/>
      <c r="AN7" s="75"/>
      <c r="AO7" s="75"/>
      <c r="AP7" s="75"/>
      <c r="AQ7" s="75"/>
      <c r="AR7" s="75"/>
      <c r="AS7" s="75"/>
      <c r="AT7" s="75"/>
    </row>
    <row r="8" spans="1:46" ht="15" customHeight="1" x14ac:dyDescent="0.2">
      <c r="A8" s="242" t="s">
        <v>403</v>
      </c>
      <c r="B8" s="353"/>
      <c r="C8" s="351"/>
      <c r="D8" s="351"/>
      <c r="E8" s="356">
        <f>G8/39.37</f>
        <v>5.1562103124206254E-3</v>
      </c>
      <c r="F8" s="351" t="s">
        <v>6</v>
      </c>
      <c r="G8" s="543">
        <v>0.20300000000000001</v>
      </c>
      <c r="H8" s="351" t="s">
        <v>7</v>
      </c>
      <c r="I8" s="418">
        <f>25.4*G8</f>
        <v>5.1562000000000001</v>
      </c>
      <c r="J8" s="351" t="s">
        <v>15</v>
      </c>
      <c r="K8" s="370"/>
      <c r="L8" s="370"/>
      <c r="M8" s="368"/>
      <c r="N8" s="368"/>
      <c r="O8" s="368"/>
      <c r="P8" s="258"/>
      <c r="Q8" s="258"/>
      <c r="R8" s="368"/>
      <c r="S8" s="368"/>
      <c r="T8" s="238"/>
      <c r="U8" s="224"/>
      <c r="V8" s="220"/>
      <c r="W8" s="221"/>
      <c r="X8" s="81"/>
      <c r="Y8" s="81"/>
      <c r="Z8" s="81"/>
      <c r="AA8" s="81"/>
      <c r="AB8" s="82"/>
      <c r="AC8" s="82"/>
      <c r="AD8" s="75"/>
      <c r="AE8" s="226"/>
      <c r="AF8" s="228"/>
      <c r="AG8" s="75"/>
      <c r="AH8" s="209"/>
      <c r="AI8" s="210"/>
      <c r="AJ8" s="210"/>
      <c r="AK8" s="210"/>
      <c r="AL8" s="210"/>
      <c r="AM8" s="75"/>
      <c r="AN8" s="75"/>
      <c r="AO8" s="75"/>
      <c r="AP8" s="75"/>
      <c r="AQ8" s="75"/>
      <c r="AR8" s="75"/>
      <c r="AS8" s="75"/>
      <c r="AT8" s="75"/>
    </row>
    <row r="9" spans="1:46" ht="15" customHeight="1" x14ac:dyDescent="0.2">
      <c r="A9" s="242" t="s">
        <v>96</v>
      </c>
      <c r="B9" s="353" t="s">
        <v>270</v>
      </c>
      <c r="C9" s="351"/>
      <c r="D9" s="351"/>
      <c r="E9" s="355">
        <f>G9/39.37</f>
        <v>0.11861823723647448</v>
      </c>
      <c r="F9" s="351" t="s">
        <v>6</v>
      </c>
      <c r="G9" s="543">
        <v>4.67</v>
      </c>
      <c r="H9" s="351" t="s">
        <v>7</v>
      </c>
      <c r="I9" s="418">
        <f>25.4*G9</f>
        <v>118.61799999999999</v>
      </c>
      <c r="J9" s="351" t="s">
        <v>15</v>
      </c>
      <c r="K9" s="370"/>
      <c r="L9" s="370"/>
      <c r="M9" s="351"/>
      <c r="N9" s="255"/>
      <c r="O9" s="259"/>
      <c r="P9" s="258"/>
      <c r="Q9" s="259"/>
      <c r="R9" s="255"/>
      <c r="S9" s="255"/>
      <c r="T9" s="238"/>
      <c r="U9" s="224"/>
      <c r="V9" s="220"/>
      <c r="W9" s="221"/>
      <c r="X9" s="79"/>
      <c r="Y9" s="81"/>
      <c r="Z9" s="81"/>
      <c r="AA9" s="81"/>
      <c r="AB9" s="82"/>
      <c r="AC9" s="82"/>
      <c r="AD9" s="75"/>
      <c r="AE9" s="226"/>
      <c r="AF9" s="227"/>
      <c r="AG9" s="75"/>
      <c r="AH9" s="209"/>
      <c r="AI9" s="210"/>
      <c r="AJ9" s="210"/>
      <c r="AK9" s="210"/>
      <c r="AL9" s="210"/>
      <c r="AM9" s="75"/>
      <c r="AN9" s="75"/>
      <c r="AO9" s="75"/>
    </row>
    <row r="10" spans="1:46" ht="15" customHeight="1" x14ac:dyDescent="0.2">
      <c r="A10" s="242" t="s">
        <v>273</v>
      </c>
      <c r="B10" s="353" t="s">
        <v>269</v>
      </c>
      <c r="C10" s="351"/>
      <c r="D10" s="351"/>
      <c r="E10" s="355">
        <f>G10/39.37</f>
        <v>0.11861823723647448</v>
      </c>
      <c r="F10" s="351" t="s">
        <v>6</v>
      </c>
      <c r="G10" s="543">
        <v>4.67</v>
      </c>
      <c r="H10" s="351" t="s">
        <v>7</v>
      </c>
      <c r="I10" s="418">
        <f>25.4*G10</f>
        <v>118.61799999999999</v>
      </c>
      <c r="J10" s="351" t="s">
        <v>15</v>
      </c>
      <c r="K10" s="370"/>
      <c r="L10" s="370"/>
      <c r="M10" s="351"/>
      <c r="N10" s="255"/>
      <c r="O10" s="259"/>
      <c r="P10" s="258"/>
      <c r="Q10" s="259"/>
      <c r="R10" s="255"/>
      <c r="S10" s="255"/>
      <c r="T10" s="238"/>
      <c r="U10" s="224"/>
      <c r="V10" s="220"/>
      <c r="W10" s="221"/>
      <c r="X10" s="79"/>
      <c r="Y10" s="81"/>
      <c r="Z10" s="81"/>
      <c r="AA10" s="81"/>
      <c r="AB10" s="82"/>
      <c r="AC10" s="82"/>
      <c r="AD10" s="75"/>
      <c r="AE10" s="226"/>
      <c r="AF10" s="227"/>
      <c r="AG10" s="75"/>
      <c r="AH10" s="209"/>
      <c r="AI10" s="210"/>
      <c r="AJ10" s="210"/>
      <c r="AK10" s="210"/>
      <c r="AL10" s="210"/>
      <c r="AM10" s="75"/>
      <c r="AN10" s="75"/>
      <c r="AO10" s="75"/>
    </row>
    <row r="11" spans="1:46" ht="15" customHeight="1" x14ac:dyDescent="0.2">
      <c r="A11" s="343" t="s">
        <v>404</v>
      </c>
      <c r="B11" s="353" t="s">
        <v>56</v>
      </c>
      <c r="C11" s="351"/>
      <c r="D11" s="351"/>
      <c r="E11" s="367">
        <f>I11+273</f>
        <v>299.66666666666669</v>
      </c>
      <c r="F11" s="377" t="s">
        <v>349</v>
      </c>
      <c r="G11" s="548">
        <v>80</v>
      </c>
      <c r="H11" s="377" t="s">
        <v>346</v>
      </c>
      <c r="I11" s="419">
        <f>(G11-32)*5/9</f>
        <v>26.666666666666668</v>
      </c>
      <c r="J11" s="377" t="s">
        <v>347</v>
      </c>
      <c r="K11" s="370"/>
      <c r="L11" s="370"/>
      <c r="M11" s="351"/>
      <c r="N11" s="255"/>
      <c r="O11" s="259"/>
      <c r="P11" s="258"/>
      <c r="Q11" s="259"/>
      <c r="R11" s="255"/>
      <c r="S11" s="255"/>
      <c r="T11" s="238"/>
      <c r="U11" s="224"/>
      <c r="V11" s="220"/>
      <c r="W11" s="221"/>
      <c r="X11" s="79"/>
      <c r="Y11" s="81"/>
      <c r="Z11" s="81"/>
      <c r="AA11" s="81"/>
      <c r="AB11" s="82"/>
      <c r="AC11" s="82"/>
      <c r="AD11" s="75"/>
      <c r="AE11" s="226"/>
      <c r="AF11" s="227"/>
      <c r="AG11" s="75"/>
      <c r="AH11" s="209"/>
      <c r="AI11" s="210"/>
      <c r="AJ11" s="210"/>
      <c r="AK11" s="210"/>
      <c r="AL11" s="210"/>
      <c r="AM11" s="75"/>
      <c r="AN11" s="75"/>
      <c r="AO11" s="75"/>
    </row>
    <row r="12" spans="1:46" ht="15" customHeight="1" x14ac:dyDescent="0.2">
      <c r="A12" s="242" t="s">
        <v>329</v>
      </c>
      <c r="B12" s="353" t="s">
        <v>55</v>
      </c>
      <c r="C12" s="351"/>
      <c r="D12" s="351"/>
      <c r="E12" s="355">
        <f>I12/1000</f>
        <v>2.2784722222222224E-2</v>
      </c>
      <c r="F12" s="377" t="s">
        <v>348</v>
      </c>
      <c r="G12" s="545">
        <v>12.5</v>
      </c>
      <c r="H12" s="377" t="s">
        <v>330</v>
      </c>
      <c r="I12" s="418">
        <f>G12*5/9*3.281</f>
        <v>22.784722222222225</v>
      </c>
      <c r="J12" s="377" t="s">
        <v>331</v>
      </c>
      <c r="K12" s="376"/>
      <c r="L12" s="376"/>
      <c r="M12" s="376"/>
      <c r="N12" s="260"/>
      <c r="O12" s="261"/>
      <c r="P12" s="262"/>
      <c r="Q12" s="261"/>
      <c r="R12" s="260"/>
      <c r="S12" s="260"/>
      <c r="T12" s="238"/>
      <c r="U12" s="224"/>
      <c r="V12" s="220"/>
      <c r="W12" s="221"/>
      <c r="X12" s="84"/>
      <c r="Y12" s="215"/>
      <c r="Z12" s="215"/>
      <c r="AA12" s="215"/>
      <c r="AB12" s="75"/>
      <c r="AC12" s="75"/>
      <c r="AD12" s="75"/>
      <c r="AE12" s="226"/>
      <c r="AF12" s="121"/>
      <c r="AG12" s="75"/>
      <c r="AH12" s="75"/>
      <c r="AI12" s="75"/>
      <c r="AJ12" s="210"/>
      <c r="AK12" s="210"/>
      <c r="AL12" s="210"/>
      <c r="AM12" s="210"/>
      <c r="AN12" s="210"/>
      <c r="AO12" s="210"/>
    </row>
    <row r="13" spans="1:46" ht="15" customHeight="1" x14ac:dyDescent="0.2">
      <c r="A13" s="242" t="s">
        <v>398</v>
      </c>
      <c r="B13" s="353" t="s">
        <v>26</v>
      </c>
      <c r="C13" s="351"/>
      <c r="D13" s="351"/>
      <c r="E13" s="361">
        <f>1000*I13+100000</f>
        <v>6996551.7241379311</v>
      </c>
      <c r="F13" s="351" t="s">
        <v>3</v>
      </c>
      <c r="G13" s="544">
        <v>1000</v>
      </c>
      <c r="H13" s="351" t="s">
        <v>259</v>
      </c>
      <c r="I13" s="420">
        <f>G13/0.145</f>
        <v>6896.5517241379312</v>
      </c>
      <c r="J13" s="367" t="s">
        <v>260</v>
      </c>
      <c r="K13" s="370"/>
      <c r="L13" s="376"/>
      <c r="M13" s="376"/>
      <c r="N13" s="260"/>
      <c r="O13" s="261"/>
      <c r="P13" s="262"/>
      <c r="Q13" s="261"/>
      <c r="R13" s="260"/>
      <c r="S13" s="260"/>
      <c r="T13" s="238"/>
      <c r="U13" s="224"/>
      <c r="V13" s="220"/>
      <c r="W13" s="221"/>
      <c r="X13" s="84"/>
      <c r="Y13" s="215"/>
      <c r="Z13" s="215"/>
      <c r="AA13" s="215"/>
      <c r="AB13" s="75"/>
      <c r="AC13" s="75"/>
      <c r="AD13" s="75"/>
      <c r="AE13" s="226"/>
      <c r="AF13" s="121"/>
      <c r="AG13" s="75"/>
      <c r="AH13" s="75"/>
      <c r="AI13" s="75"/>
      <c r="AJ13" s="210"/>
      <c r="AK13" s="210"/>
      <c r="AL13" s="210"/>
      <c r="AM13" s="210"/>
      <c r="AN13" s="210"/>
      <c r="AO13" s="210"/>
    </row>
    <row r="14" spans="1:46" ht="15" customHeight="1" x14ac:dyDescent="0.2">
      <c r="A14" s="242" t="s">
        <v>405</v>
      </c>
      <c r="B14" s="353" t="s">
        <v>173</v>
      </c>
      <c r="C14" s="351"/>
      <c r="D14" s="351"/>
      <c r="E14" s="356"/>
      <c r="F14" s="351"/>
      <c r="G14" s="546">
        <v>0</v>
      </c>
      <c r="H14" s="351" t="s">
        <v>91</v>
      </c>
      <c r="I14" s="354"/>
      <c r="J14" s="351"/>
      <c r="K14" s="376"/>
      <c r="L14" s="376"/>
      <c r="M14" s="376"/>
      <c r="N14" s="260"/>
      <c r="O14" s="261"/>
      <c r="P14" s="262"/>
      <c r="Q14" s="261"/>
      <c r="R14" s="260"/>
      <c r="S14" s="260"/>
      <c r="T14" s="238"/>
      <c r="U14" s="224"/>
      <c r="V14" s="220"/>
      <c r="W14" s="221"/>
      <c r="X14" s="84"/>
      <c r="Y14" s="215"/>
      <c r="Z14" s="215"/>
      <c r="AA14" s="215"/>
      <c r="AB14" s="75"/>
      <c r="AC14" s="75"/>
      <c r="AD14" s="75"/>
      <c r="AE14" s="226"/>
      <c r="AF14" s="231"/>
      <c r="AG14" s="75"/>
      <c r="AH14" s="75"/>
      <c r="AI14" s="75"/>
      <c r="AJ14" s="210"/>
      <c r="AK14" s="210"/>
      <c r="AL14" s="210"/>
      <c r="AM14" s="210"/>
      <c r="AN14" s="210"/>
      <c r="AO14" s="210"/>
    </row>
    <row r="15" spans="1:46" ht="18" customHeight="1" x14ac:dyDescent="0.2">
      <c r="A15" s="241" t="s">
        <v>243</v>
      </c>
      <c r="B15" s="353"/>
      <c r="C15" s="351"/>
      <c r="D15" s="351"/>
      <c r="E15" s="355"/>
      <c r="F15" s="351"/>
      <c r="G15" s="246"/>
      <c r="H15" s="351"/>
      <c r="I15" s="245"/>
      <c r="J15" s="351"/>
      <c r="K15" s="376"/>
      <c r="L15" s="376"/>
      <c r="M15" s="376"/>
      <c r="N15" s="260"/>
      <c r="O15" s="261"/>
      <c r="P15" s="262"/>
      <c r="Q15" s="261"/>
      <c r="R15" s="260"/>
      <c r="S15" s="260"/>
      <c r="T15" s="238"/>
      <c r="U15" s="224"/>
      <c r="V15" s="220"/>
      <c r="W15" s="221"/>
      <c r="X15" s="84"/>
      <c r="Y15" s="215"/>
      <c r="Z15" s="215"/>
      <c r="AA15" s="215"/>
      <c r="AB15" s="75"/>
      <c r="AC15" s="75"/>
      <c r="AD15" s="75"/>
      <c r="AE15" s="226"/>
      <c r="AF15" s="121"/>
      <c r="AG15" s="75"/>
      <c r="AH15" s="75"/>
      <c r="AI15" s="75"/>
      <c r="AJ15" s="210"/>
      <c r="AK15" s="210"/>
      <c r="AL15" s="210"/>
      <c r="AM15" s="210"/>
      <c r="AN15" s="210"/>
      <c r="AO15" s="210"/>
    </row>
    <row r="16" spans="1:46" ht="15" customHeight="1" x14ac:dyDescent="0.2">
      <c r="A16" s="343" t="s">
        <v>406</v>
      </c>
      <c r="B16" s="353" t="s">
        <v>213</v>
      </c>
      <c r="C16" s="351"/>
      <c r="D16" s="351"/>
      <c r="E16" s="357">
        <f>G16/39.37</f>
        <v>1.5240030480060961E-2</v>
      </c>
      <c r="F16" s="358" t="s">
        <v>6</v>
      </c>
      <c r="G16" s="550">
        <v>0.6</v>
      </c>
      <c r="H16" s="351" t="s">
        <v>7</v>
      </c>
      <c r="I16" s="366" t="s">
        <v>407</v>
      </c>
      <c r="J16" s="351"/>
      <c r="K16" s="370"/>
      <c r="L16" s="370"/>
      <c r="M16" s="255"/>
      <c r="N16" s="255"/>
      <c r="O16" s="255"/>
      <c r="P16" s="258"/>
      <c r="Q16" s="259"/>
      <c r="R16" s="255"/>
      <c r="S16" s="255"/>
      <c r="T16" s="238"/>
      <c r="U16" s="224"/>
      <c r="V16" s="220"/>
      <c r="W16" s="223"/>
      <c r="X16" s="79"/>
      <c r="Y16" s="81"/>
      <c r="Z16" s="81"/>
      <c r="AA16" s="81"/>
      <c r="AB16" s="82"/>
      <c r="AC16" s="82"/>
      <c r="AD16" s="75"/>
      <c r="AE16" s="226"/>
      <c r="AF16" s="80"/>
      <c r="AG16" s="75"/>
      <c r="AH16" s="209"/>
      <c r="AI16" s="210"/>
      <c r="AJ16" s="210"/>
      <c r="AK16" s="210"/>
      <c r="AL16" s="210"/>
      <c r="AM16" s="75"/>
      <c r="AN16" s="75"/>
      <c r="AO16" s="75"/>
    </row>
    <row r="17" spans="1:41" ht="14.25" customHeight="1" x14ac:dyDescent="0.2">
      <c r="A17" s="336" t="s">
        <v>460</v>
      </c>
      <c r="B17" s="353" t="s">
        <v>389</v>
      </c>
      <c r="C17" s="351">
        <f>VLOOKUP('Circ Model'!G17,'HP Data'!E4:F6,2,FALSE)</f>
        <v>0.36</v>
      </c>
      <c r="D17" s="351"/>
      <c r="E17" s="354">
        <f>IF(G17=1.69,1,IF(G17=2.12,2,IF(G17=2.88,3,0)))</f>
        <v>3</v>
      </c>
      <c r="F17" s="358"/>
      <c r="G17" s="553">
        <v>2.88</v>
      </c>
      <c r="H17" s="351" t="s">
        <v>7</v>
      </c>
      <c r="I17" s="376"/>
      <c r="J17" s="376"/>
      <c r="K17" s="376"/>
      <c r="L17" s="376"/>
      <c r="M17" s="376"/>
      <c r="N17" s="260"/>
      <c r="O17" s="261"/>
      <c r="P17" s="262"/>
      <c r="Q17" s="261"/>
      <c r="R17" s="260"/>
      <c r="S17" s="260"/>
      <c r="T17" s="238"/>
      <c r="U17" s="224"/>
      <c r="V17" s="220"/>
      <c r="W17" s="221"/>
      <c r="X17" s="84"/>
      <c r="Y17" s="215"/>
      <c r="Z17" s="215"/>
      <c r="AA17" s="215"/>
      <c r="AB17" s="75"/>
      <c r="AC17" s="75"/>
      <c r="AD17" s="75"/>
      <c r="AE17" s="229"/>
      <c r="AF17" s="230"/>
      <c r="AG17" s="75"/>
      <c r="AH17" s="75"/>
      <c r="AI17" s="75"/>
      <c r="AJ17" s="210"/>
      <c r="AK17" s="210"/>
      <c r="AL17" s="210"/>
      <c r="AM17" s="210"/>
      <c r="AN17" s="210"/>
      <c r="AO17" s="210"/>
    </row>
    <row r="18" spans="1:41" ht="14.25" customHeight="1" x14ac:dyDescent="0.2">
      <c r="A18" s="336" t="s">
        <v>465</v>
      </c>
      <c r="B18" s="353" t="s">
        <v>466</v>
      </c>
      <c r="C18" s="351"/>
      <c r="D18" s="351"/>
      <c r="E18" s="512">
        <f>IF(G18="Standard",1,(IF(G18="low",0.8,1.2)))</f>
        <v>1</v>
      </c>
      <c r="F18" s="358"/>
      <c r="G18" s="553" t="s">
        <v>151</v>
      </c>
      <c r="H18" s="351"/>
      <c r="I18" s="531" t="s">
        <v>379</v>
      </c>
      <c r="J18" s="531"/>
      <c r="K18" s="531"/>
      <c r="L18" s="531"/>
      <c r="M18" s="376"/>
      <c r="N18" s="260"/>
      <c r="O18" s="261"/>
      <c r="P18" s="262"/>
      <c r="Q18" s="261"/>
      <c r="R18" s="260"/>
      <c r="S18" s="260"/>
      <c r="T18" s="238"/>
      <c r="U18" s="224"/>
      <c r="V18" s="220"/>
      <c r="W18" s="221"/>
      <c r="X18" s="84"/>
      <c r="Y18" s="215"/>
      <c r="Z18" s="215"/>
      <c r="AA18" s="215"/>
      <c r="AB18" s="75"/>
      <c r="AC18" s="75"/>
      <c r="AD18" s="75"/>
      <c r="AE18" s="229"/>
      <c r="AF18" s="230"/>
      <c r="AG18" s="75"/>
      <c r="AH18" s="75"/>
      <c r="AI18" s="75"/>
      <c r="AJ18" s="210"/>
      <c r="AK18" s="210"/>
      <c r="AL18" s="210"/>
      <c r="AM18" s="210"/>
      <c r="AN18" s="210"/>
      <c r="AO18" s="210"/>
    </row>
    <row r="19" spans="1:41" ht="14.25" customHeight="1" x14ac:dyDescent="0.2">
      <c r="A19" s="336" t="s">
        <v>461</v>
      </c>
      <c r="B19" s="353" t="s">
        <v>88</v>
      </c>
      <c r="C19" s="449">
        <f>dmo*39.37</f>
        <v>0.90000000000000013</v>
      </c>
      <c r="D19" s="377" t="s">
        <v>7</v>
      </c>
      <c r="E19" s="359">
        <f>VLOOKUP(G19,'Motor Data'!P84:S88,E17+1,FALSE)/39.37</f>
        <v>2.2860045720091444E-2</v>
      </c>
      <c r="F19" s="358" t="s">
        <v>6</v>
      </c>
      <c r="G19" s="553" t="s">
        <v>388</v>
      </c>
      <c r="H19" s="351" t="s">
        <v>7</v>
      </c>
      <c r="I19" s="327">
        <f>K19*42*3.79</f>
        <v>454.8</v>
      </c>
      <c r="J19" s="328" t="s">
        <v>84</v>
      </c>
      <c r="K19" s="473">
        <f>VLOOKUP('Circ Model'!$G$19,'Motor Data'!$P$84:$Y$88,'Circ Model'!$E$17+7,FALSE)</f>
        <v>2.8571428571428572</v>
      </c>
      <c r="L19" s="328" t="s">
        <v>78</v>
      </c>
      <c r="M19" s="376"/>
      <c r="N19" s="260"/>
      <c r="O19" s="261"/>
      <c r="P19" s="262"/>
      <c r="Q19" s="261"/>
      <c r="R19" s="260"/>
      <c r="S19" s="260"/>
      <c r="T19" s="238"/>
      <c r="U19" s="224"/>
      <c r="V19" s="220"/>
      <c r="W19" s="221"/>
      <c r="X19" s="84"/>
      <c r="Y19" s="215"/>
      <c r="Z19" s="215"/>
      <c r="AA19" s="215"/>
      <c r="AB19" s="75"/>
      <c r="AC19" s="75"/>
      <c r="AD19" s="75"/>
      <c r="AE19" s="229"/>
      <c r="AF19" s="230"/>
      <c r="AG19" s="75"/>
      <c r="AH19" s="75"/>
      <c r="AI19" s="75"/>
      <c r="AJ19" s="210"/>
      <c r="AK19" s="210"/>
      <c r="AL19" s="210"/>
      <c r="AM19" s="210"/>
      <c r="AN19" s="210"/>
      <c r="AO19" s="210"/>
    </row>
    <row r="20" spans="1:41" ht="15" customHeight="1" x14ac:dyDescent="0.2">
      <c r="A20" s="385" t="s">
        <v>244</v>
      </c>
      <c r="B20" s="353" t="s">
        <v>130</v>
      </c>
      <c r="C20" s="351"/>
      <c r="D20" s="351"/>
      <c r="E20" s="360">
        <f>G20/39.37</f>
        <v>1.2700025400050802E-2</v>
      </c>
      <c r="F20" s="351" t="s">
        <v>6</v>
      </c>
      <c r="G20" s="551">
        <v>0.5</v>
      </c>
      <c r="H20" s="351" t="s">
        <v>7</v>
      </c>
      <c r="I20" s="368"/>
      <c r="J20" s="351"/>
      <c r="K20" s="351"/>
      <c r="L20" s="351"/>
      <c r="M20" s="351"/>
      <c r="N20" s="255"/>
      <c r="O20" s="259"/>
      <c r="P20" s="258"/>
      <c r="Q20" s="259"/>
      <c r="R20" s="255"/>
      <c r="S20" s="255"/>
      <c r="T20" s="238"/>
      <c r="U20" s="224"/>
      <c r="V20" s="220"/>
      <c r="W20" s="221"/>
      <c r="X20" s="79"/>
      <c r="Y20" s="81"/>
      <c r="Z20" s="81"/>
      <c r="AA20" s="81"/>
      <c r="AB20" s="82"/>
      <c r="AC20" s="82"/>
      <c r="AD20" s="75"/>
      <c r="AE20" s="226"/>
      <c r="AF20" s="228"/>
      <c r="AG20" s="75"/>
      <c r="AH20" s="209"/>
      <c r="AI20" s="210"/>
      <c r="AJ20" s="210"/>
      <c r="AK20" s="210"/>
      <c r="AL20" s="210"/>
      <c r="AM20" s="75"/>
      <c r="AN20" s="75"/>
      <c r="AO20" s="75"/>
    </row>
    <row r="21" spans="1:41" ht="15" customHeight="1" x14ac:dyDescent="0.2">
      <c r="A21" s="385" t="s">
        <v>245</v>
      </c>
      <c r="B21" s="353" t="s">
        <v>129</v>
      </c>
      <c r="C21" s="351"/>
      <c r="D21" s="351"/>
      <c r="E21" s="361">
        <f>G21</f>
        <v>3</v>
      </c>
      <c r="F21" s="351"/>
      <c r="G21" s="552">
        <v>3</v>
      </c>
      <c r="H21" s="351"/>
      <c r="I21" s="368"/>
      <c r="J21" s="351"/>
      <c r="K21" s="351"/>
      <c r="L21" s="351"/>
      <c r="M21" s="351"/>
      <c r="N21" s="255"/>
      <c r="O21" s="259"/>
      <c r="P21" s="258"/>
      <c r="Q21" s="259"/>
      <c r="R21" s="255"/>
      <c r="S21" s="255"/>
      <c r="T21" s="238"/>
      <c r="U21" s="224"/>
      <c r="V21" s="220"/>
      <c r="W21" s="221"/>
      <c r="X21" s="79"/>
      <c r="Y21" s="81"/>
      <c r="Z21" s="81"/>
      <c r="AA21" s="81"/>
      <c r="AB21" s="82"/>
      <c r="AC21" s="82"/>
      <c r="AD21" s="75"/>
      <c r="AE21" s="226"/>
      <c r="AF21" s="227"/>
      <c r="AG21" s="75"/>
      <c r="AH21" s="209"/>
      <c r="AI21" s="210"/>
      <c r="AJ21" s="210"/>
      <c r="AK21" s="210"/>
      <c r="AL21" s="210"/>
      <c r="AM21" s="75"/>
      <c r="AN21" s="75"/>
      <c r="AO21" s="75"/>
    </row>
    <row r="22" spans="1:41" ht="18" customHeight="1" x14ac:dyDescent="0.2">
      <c r="A22" s="241" t="s">
        <v>37</v>
      </c>
      <c r="B22" s="353"/>
      <c r="C22" s="351">
        <f>VLOOKUP(G19,'Motor Data'!P84:Z88,11)</f>
        <v>1</v>
      </c>
      <c r="D22" s="351"/>
      <c r="E22" s="362"/>
      <c r="F22" s="358"/>
      <c r="G22" s="435"/>
      <c r="H22" s="370"/>
      <c r="I22" s="368"/>
      <c r="J22" s="370"/>
      <c r="K22" s="244"/>
      <c r="L22" s="244"/>
      <c r="M22" s="376"/>
      <c r="N22" s="260"/>
      <c r="O22" s="261"/>
      <c r="P22" s="262"/>
      <c r="Q22" s="261"/>
      <c r="R22" s="260"/>
      <c r="S22" s="260"/>
      <c r="T22" s="238"/>
      <c r="U22" s="224"/>
      <c r="V22" s="220"/>
      <c r="W22" s="221"/>
      <c r="X22" s="84"/>
      <c r="Y22" s="215"/>
      <c r="Z22" s="215"/>
      <c r="AA22" s="215"/>
      <c r="AB22" s="78"/>
      <c r="AC22" s="78"/>
      <c r="AD22" s="75"/>
      <c r="AE22" s="226"/>
      <c r="AF22" s="227"/>
      <c r="AG22" s="75"/>
      <c r="AH22" s="78"/>
      <c r="AI22" s="216"/>
      <c r="AJ22" s="210"/>
      <c r="AK22" s="210"/>
      <c r="AL22" s="210"/>
      <c r="AM22" s="210"/>
      <c r="AN22" s="210"/>
      <c r="AO22" s="210"/>
    </row>
    <row r="23" spans="1:41" ht="15" customHeight="1" x14ac:dyDescent="0.2">
      <c r="A23" s="242" t="s">
        <v>395</v>
      </c>
      <c r="B23" s="353" t="s">
        <v>0</v>
      </c>
      <c r="C23" s="351"/>
      <c r="D23" s="351"/>
      <c r="E23" s="360">
        <f>IF(G23=0,0.00001,I23/60000)</f>
        <v>7.4186E-3</v>
      </c>
      <c r="F23" s="351" t="s">
        <v>1</v>
      </c>
      <c r="G23" s="278">
        <v>2.8</v>
      </c>
      <c r="H23" s="351" t="s">
        <v>78</v>
      </c>
      <c r="I23" s="420">
        <f>G23*42*3.785</f>
        <v>445.11599999999999</v>
      </c>
      <c r="J23" s="351" t="s">
        <v>84</v>
      </c>
      <c r="K23" s="420">
        <f>G23*42</f>
        <v>117.6</v>
      </c>
      <c r="L23" s="358" t="s">
        <v>104</v>
      </c>
      <c r="M23" s="376"/>
      <c r="N23" s="260"/>
      <c r="O23" s="261"/>
      <c r="P23" s="262"/>
      <c r="Q23" s="261"/>
      <c r="R23" s="260"/>
      <c r="S23" s="260"/>
      <c r="T23" s="238"/>
      <c r="U23" s="224"/>
      <c r="V23" s="220"/>
      <c r="W23" s="221"/>
      <c r="X23" s="84"/>
      <c r="Y23" s="215"/>
      <c r="Z23" s="215"/>
      <c r="AA23" s="215"/>
      <c r="AB23" s="75"/>
      <c r="AC23" s="75"/>
      <c r="AD23" s="75"/>
      <c r="AE23" s="229"/>
      <c r="AF23" s="228"/>
      <c r="AG23" s="75"/>
      <c r="AH23" s="75"/>
      <c r="AI23" s="75"/>
      <c r="AJ23" s="210"/>
      <c r="AK23" s="210"/>
      <c r="AL23" s="210"/>
      <c r="AM23" s="210"/>
      <c r="AN23" s="210"/>
      <c r="AO23" s="210"/>
    </row>
    <row r="24" spans="1:41" ht="15" customHeight="1" x14ac:dyDescent="0.2">
      <c r="A24" s="242" t="s">
        <v>396</v>
      </c>
      <c r="B24" s="353" t="s">
        <v>311</v>
      </c>
      <c r="C24" s="351"/>
      <c r="D24" s="351"/>
      <c r="E24" s="356"/>
      <c r="F24" s="351"/>
      <c r="G24" s="250">
        <v>0.5</v>
      </c>
      <c r="H24" s="351" t="s">
        <v>312</v>
      </c>
      <c r="I24" s="354"/>
      <c r="J24" s="351"/>
      <c r="K24" s="519" t="str">
        <f>IF(G23&gt;qmax,"OVERSPEED","")</f>
        <v/>
      </c>
      <c r="L24" s="519"/>
      <c r="M24" s="376"/>
      <c r="N24" s="260"/>
      <c r="O24" s="261"/>
      <c r="P24" s="262"/>
      <c r="Q24" s="261"/>
      <c r="R24" s="260"/>
      <c r="S24" s="260"/>
      <c r="T24" s="238"/>
      <c r="U24" s="224"/>
      <c r="V24" s="220"/>
      <c r="W24" s="221"/>
      <c r="X24" s="84"/>
      <c r="Y24" s="215"/>
      <c r="Z24" s="215"/>
      <c r="AA24" s="215"/>
      <c r="AB24" s="75"/>
      <c r="AC24" s="75"/>
      <c r="AD24" s="75"/>
      <c r="AE24" s="229"/>
      <c r="AF24" s="228"/>
      <c r="AG24" s="75"/>
      <c r="AH24" s="75"/>
      <c r="AI24" s="75"/>
      <c r="AJ24" s="210"/>
      <c r="AK24" s="210"/>
      <c r="AL24" s="210"/>
      <c r="AM24" s="210"/>
      <c r="AN24" s="210"/>
      <c r="AO24" s="210"/>
    </row>
    <row r="25" spans="1:41" ht="15" customHeight="1" x14ac:dyDescent="0.2">
      <c r="A25" s="242" t="s">
        <v>397</v>
      </c>
      <c r="B25" s="353" t="s">
        <v>292</v>
      </c>
      <c r="C25" s="395"/>
      <c r="D25" s="351"/>
      <c r="E25" s="356"/>
      <c r="F25" s="351"/>
      <c r="G25" s="250">
        <v>0.02</v>
      </c>
      <c r="H25" s="351" t="s">
        <v>91</v>
      </c>
      <c r="I25" s="397"/>
      <c r="J25" s="351"/>
      <c r="K25" s="358"/>
      <c r="L25" s="358"/>
      <c r="M25" s="376"/>
      <c r="N25" s="260"/>
      <c r="O25" s="261"/>
      <c r="P25" s="262"/>
      <c r="Q25" s="261"/>
      <c r="R25" s="260"/>
      <c r="S25" s="260"/>
      <c r="T25" s="239"/>
      <c r="U25" s="240"/>
      <c r="X25" s="84"/>
      <c r="Y25" s="215"/>
      <c r="Z25" s="215"/>
      <c r="AA25" s="215"/>
      <c r="AB25" s="75"/>
      <c r="AC25" s="75"/>
      <c r="AD25" s="75"/>
      <c r="AE25" s="229"/>
      <c r="AF25" s="228"/>
      <c r="AG25" s="75"/>
      <c r="AH25" s="75"/>
      <c r="AI25" s="75"/>
      <c r="AJ25" s="210"/>
      <c r="AK25" s="210"/>
      <c r="AL25" s="210"/>
      <c r="AM25" s="210"/>
      <c r="AN25" s="210"/>
      <c r="AO25" s="210"/>
    </row>
    <row r="26" spans="1:41" ht="15" customHeight="1" x14ac:dyDescent="0.2">
      <c r="A26" s="343" t="s">
        <v>399</v>
      </c>
      <c r="B26" s="353" t="s">
        <v>73</v>
      </c>
      <c r="C26" s="354">
        <f>E26/6895</f>
        <v>24.645392790713192</v>
      </c>
      <c r="D26" s="450" t="s">
        <v>2</v>
      </c>
      <c r="E26" s="361">
        <f>dPm</f>
        <v>169929.98329196745</v>
      </c>
      <c r="F26" s="377" t="s">
        <v>3</v>
      </c>
      <c r="G26" s="249" t="s">
        <v>280</v>
      </c>
      <c r="H26" s="351"/>
      <c r="I26" s="366"/>
      <c r="J26" s="366"/>
      <c r="K26" s="366"/>
      <c r="L26" s="366"/>
      <c r="M26" s="366"/>
      <c r="N26" s="325"/>
      <c r="O26" s="325"/>
      <c r="P26" s="325"/>
      <c r="Q26" s="325"/>
      <c r="R26" s="325"/>
      <c r="S26" s="325"/>
      <c r="T26" s="238"/>
      <c r="U26" s="224"/>
      <c r="V26" s="220"/>
      <c r="W26" s="221"/>
      <c r="Y26" s="215"/>
      <c r="Z26" s="215"/>
      <c r="AA26" s="215"/>
      <c r="AB26" s="75"/>
      <c r="AC26" s="75"/>
      <c r="AD26" s="75"/>
      <c r="AE26" s="75"/>
      <c r="AF26" s="75"/>
      <c r="AG26" s="232"/>
      <c r="AH26" s="75"/>
      <c r="AI26" s="75"/>
      <c r="AJ26" s="210"/>
      <c r="AK26" s="210"/>
      <c r="AL26" s="210"/>
      <c r="AM26" s="210"/>
      <c r="AN26" s="210"/>
      <c r="AO26" s="210"/>
    </row>
    <row r="27" spans="1:41" ht="18" customHeight="1" x14ac:dyDescent="0.2">
      <c r="A27" s="248" t="s">
        <v>350</v>
      </c>
      <c r="B27" s="353"/>
      <c r="C27" s="366"/>
      <c r="D27" s="351"/>
      <c r="E27" s="355"/>
      <c r="F27" s="351"/>
      <c r="G27" s="435" t="s">
        <v>367</v>
      </c>
      <c r="H27" s="351"/>
      <c r="I27" s="366"/>
      <c r="J27" s="366"/>
      <c r="K27" s="366"/>
      <c r="L27" s="366"/>
      <c r="M27" s="351"/>
      <c r="N27" s="351"/>
      <c r="O27" s="351"/>
      <c r="P27" s="351"/>
      <c r="Q27" s="351"/>
      <c r="R27" s="351"/>
      <c r="S27" s="351"/>
      <c r="T27" s="239"/>
      <c r="U27" s="224"/>
      <c r="V27" s="220"/>
      <c r="W27" s="208"/>
      <c r="Y27" s="75"/>
      <c r="Z27" s="75"/>
      <c r="AA27" s="75"/>
      <c r="AB27" s="76"/>
      <c r="AC27" s="233"/>
      <c r="AD27" s="210"/>
      <c r="AE27" s="210"/>
      <c r="AF27" s="210"/>
      <c r="AG27" s="210"/>
      <c r="AH27" s="233"/>
      <c r="AI27" s="233"/>
      <c r="AJ27" s="75"/>
      <c r="AK27" s="75"/>
      <c r="AL27" s="75"/>
      <c r="AM27" s="75"/>
      <c r="AN27" s="75"/>
      <c r="AO27" s="75"/>
    </row>
    <row r="28" spans="1:41" ht="15" customHeight="1" x14ac:dyDescent="0.2">
      <c r="A28" s="242" t="s">
        <v>400</v>
      </c>
      <c r="B28" s="353" t="s">
        <v>163</v>
      </c>
      <c r="C28" s="351"/>
      <c r="D28" s="351"/>
      <c r="E28" s="378">
        <f>(dPm+dPb+dPv+dPhp)</f>
        <v>8556809.0102613308</v>
      </c>
      <c r="F28" s="351" t="s">
        <v>3</v>
      </c>
      <c r="G28" s="474">
        <f>dPbha/6895</f>
        <v>1241.0165352083147</v>
      </c>
      <c r="H28" s="351" t="s">
        <v>2</v>
      </c>
      <c r="I28" s="421">
        <f>G28/145</f>
        <v>8.5587347255745847</v>
      </c>
      <c r="J28" s="351" t="s">
        <v>41</v>
      </c>
      <c r="K28" s="378"/>
      <c r="L28" s="252"/>
      <c r="M28" s="351"/>
      <c r="N28" s="351"/>
      <c r="O28" s="351"/>
      <c r="P28" s="351"/>
      <c r="Q28" s="351"/>
      <c r="R28" s="351"/>
      <c r="S28" s="351"/>
      <c r="T28" s="239"/>
      <c r="U28" s="224"/>
      <c r="V28" s="220"/>
      <c r="Y28" s="75"/>
      <c r="Z28" s="75"/>
      <c r="AA28" s="75"/>
      <c r="AB28" s="76"/>
      <c r="AC28" s="233"/>
      <c r="AD28" s="210"/>
      <c r="AE28" s="210"/>
      <c r="AF28" s="234"/>
      <c r="AG28" s="234"/>
      <c r="AH28" s="235"/>
      <c r="AI28" s="234"/>
      <c r="AJ28" s="210"/>
      <c r="AK28" s="210"/>
      <c r="AL28" s="210"/>
      <c r="AM28" s="210"/>
      <c r="AN28" s="210"/>
      <c r="AO28" s="210"/>
    </row>
    <row r="29" spans="1:41" ht="15" customHeight="1" x14ac:dyDescent="0.2">
      <c r="A29" s="343" t="s">
        <v>394</v>
      </c>
      <c r="B29" s="353" t="s">
        <v>14</v>
      </c>
      <c r="C29" s="351"/>
      <c r="D29" s="351"/>
      <c r="E29" s="361">
        <f>Pp</f>
        <v>37618665.990597256</v>
      </c>
      <c r="F29" s="370" t="s">
        <v>3</v>
      </c>
      <c r="G29" s="475">
        <f>Circulation!H213/6895</f>
        <v>5455.934153821212</v>
      </c>
      <c r="H29" s="370" t="s">
        <v>2</v>
      </c>
      <c r="I29" s="421">
        <f>Pp/1000000</f>
        <v>37.618665990597258</v>
      </c>
      <c r="J29" s="358" t="s">
        <v>41</v>
      </c>
      <c r="K29" s="351"/>
      <c r="L29" s="367"/>
      <c r="M29" s="376"/>
      <c r="N29" s="260"/>
      <c r="O29" s="263"/>
      <c r="P29" s="264"/>
      <c r="Q29" s="265"/>
      <c r="R29" s="260"/>
      <c r="S29" s="260"/>
      <c r="T29" s="239"/>
      <c r="U29" s="224"/>
      <c r="V29" s="220"/>
      <c r="X29" s="84"/>
      <c r="Y29" s="215"/>
      <c r="Z29" s="215"/>
      <c r="AA29" s="215"/>
      <c r="AB29" s="76"/>
      <c r="AC29" s="233"/>
      <c r="AD29" s="210"/>
      <c r="AE29" s="235"/>
      <c r="AF29" s="234"/>
      <c r="AG29" s="234"/>
      <c r="AH29" s="235"/>
      <c r="AI29" s="234"/>
      <c r="AJ29" s="210"/>
      <c r="AK29" s="210"/>
      <c r="AL29" s="210"/>
      <c r="AM29" s="210"/>
      <c r="AN29" s="210"/>
      <c r="AO29" s="210"/>
    </row>
    <row r="30" spans="1:41" ht="15" customHeight="1" x14ac:dyDescent="0.2">
      <c r="A30" s="343" t="s">
        <v>415</v>
      </c>
      <c r="B30" s="353" t="s">
        <v>3</v>
      </c>
      <c r="C30" s="351"/>
      <c r="D30" s="351"/>
      <c r="E30" s="361">
        <f>Pa</f>
        <v>41734914.593718693</v>
      </c>
      <c r="F30" s="370" t="s">
        <v>3</v>
      </c>
      <c r="G30" s="475">
        <f>Circulation!H109/6895</f>
        <v>6052.9245241071349</v>
      </c>
      <c r="H30" s="370" t="s">
        <v>2</v>
      </c>
      <c r="I30" s="421">
        <f>Pa/1000000</f>
        <v>41.734914593718692</v>
      </c>
      <c r="J30" s="358" t="s">
        <v>41</v>
      </c>
      <c r="K30" s="351"/>
      <c r="L30" s="351"/>
      <c r="M30" s="244"/>
      <c r="N30" s="244"/>
      <c r="O30" s="244"/>
      <c r="P30" s="244"/>
      <c r="Q30" s="366"/>
      <c r="R30" s="366"/>
      <c r="S30" s="366"/>
      <c r="T30" s="239"/>
      <c r="U30" s="224"/>
      <c r="V30" s="220"/>
      <c r="W30" s="208"/>
      <c r="X30" s="75"/>
      <c r="Y30" s="75"/>
      <c r="Z30" s="75"/>
      <c r="AA30" s="75"/>
      <c r="AB30" s="76"/>
      <c r="AC30" s="233"/>
      <c r="AD30" s="233"/>
      <c r="AE30" s="233"/>
      <c r="AF30" s="233"/>
      <c r="AG30" s="233"/>
      <c r="AH30" s="233"/>
      <c r="AI30" s="233"/>
      <c r="AJ30" s="75"/>
      <c r="AK30" s="75"/>
      <c r="AL30" s="75"/>
      <c r="AM30" s="75"/>
      <c r="AN30" s="75"/>
      <c r="AO30" s="75"/>
    </row>
    <row r="31" spans="1:41" ht="15" customHeight="1" x14ac:dyDescent="0.2">
      <c r="A31" s="242" t="s">
        <v>187</v>
      </c>
      <c r="B31" s="353" t="s">
        <v>57</v>
      </c>
      <c r="C31" s="351"/>
      <c r="D31" s="351"/>
      <c r="E31" s="367">
        <f>Tb</f>
        <v>376.70833333333337</v>
      </c>
      <c r="F31" s="351" t="s">
        <v>25</v>
      </c>
      <c r="G31" s="474">
        <f>(Tb-273)*9/5+32</f>
        <v>218.67500000000007</v>
      </c>
      <c r="H31" s="377" t="s">
        <v>346</v>
      </c>
      <c r="I31" s="420">
        <f>Tb-273</f>
        <v>103.70833333333337</v>
      </c>
      <c r="J31" s="377" t="s">
        <v>347</v>
      </c>
      <c r="K31" s="370"/>
      <c r="L31" s="370"/>
      <c r="M31" s="376"/>
      <c r="N31" s="260"/>
      <c r="O31" s="263"/>
      <c r="P31" s="264"/>
      <c r="Q31" s="265"/>
      <c r="R31" s="260"/>
      <c r="S31" s="260"/>
      <c r="T31" s="239"/>
      <c r="U31" s="224"/>
      <c r="V31" s="220"/>
      <c r="W31" s="221"/>
      <c r="X31" s="84"/>
      <c r="Y31" s="215"/>
      <c r="Z31" s="215"/>
      <c r="AA31" s="215"/>
      <c r="AB31" s="75"/>
      <c r="AC31" s="75"/>
      <c r="AD31" s="75"/>
      <c r="AE31" s="75"/>
      <c r="AF31" s="75"/>
      <c r="AG31" s="75"/>
      <c r="AH31" s="75"/>
      <c r="AI31" s="75"/>
      <c r="AJ31" s="210"/>
      <c r="AK31" s="210"/>
      <c r="AL31" s="210"/>
      <c r="AM31" s="210"/>
      <c r="AN31" s="210"/>
      <c r="AO31" s="210"/>
    </row>
    <row r="32" spans="1:41" ht="15" customHeight="1" x14ac:dyDescent="0.2">
      <c r="A32" s="243" t="s">
        <v>271</v>
      </c>
      <c r="B32" s="353" t="s">
        <v>36</v>
      </c>
      <c r="C32" s="351"/>
      <c r="D32" s="351"/>
      <c r="E32" s="371">
        <f>MIN(xrat)</f>
        <v>0.72534372972725702</v>
      </c>
      <c r="F32" s="370"/>
      <c r="G32" s="476">
        <f>MIN(xrat)</f>
        <v>0.72534372972725702</v>
      </c>
      <c r="H32" s="530" t="str">
        <f>IF(G32&lt;0.5,"lose cuttings circulation","OK")</f>
        <v>OK</v>
      </c>
      <c r="I32" s="530"/>
      <c r="J32" s="530"/>
      <c r="K32" s="530"/>
      <c r="L32" s="530"/>
      <c r="M32" s="376"/>
      <c r="N32" s="260"/>
      <c r="O32" s="263"/>
      <c r="P32" s="264"/>
      <c r="Q32" s="265"/>
      <c r="R32" s="260"/>
      <c r="S32" s="260"/>
      <c r="T32" s="238"/>
      <c r="U32" s="224"/>
      <c r="V32" s="220"/>
      <c r="X32" s="84"/>
      <c r="Y32" s="215"/>
      <c r="Z32" s="215"/>
      <c r="AA32" s="215"/>
      <c r="AB32" s="75"/>
      <c r="AC32" s="75"/>
      <c r="AD32" s="75"/>
      <c r="AE32" s="75"/>
      <c r="AF32" s="75"/>
      <c r="AG32" s="75"/>
      <c r="AH32" s="75"/>
      <c r="AI32" s="75"/>
      <c r="AJ32" s="210"/>
      <c r="AK32" s="210"/>
      <c r="AL32" s="210"/>
      <c r="AM32" s="210"/>
      <c r="AN32" s="210"/>
      <c r="AO32" s="210"/>
    </row>
    <row r="33" spans="1:41" ht="15" customHeight="1" x14ac:dyDescent="0.2">
      <c r="A33" s="242" t="s">
        <v>412</v>
      </c>
      <c r="B33" s="350"/>
      <c r="C33" s="351"/>
      <c r="D33" s="377"/>
      <c r="E33" s="368">
        <f>MIN(vah)/(1-fc)</f>
        <v>1.4011277825298261</v>
      </c>
      <c r="F33" s="351" t="s">
        <v>4</v>
      </c>
      <c r="G33" s="474">
        <f>E33*3.28*60</f>
        <v>275.74194760186975</v>
      </c>
      <c r="H33" s="351" t="s">
        <v>79</v>
      </c>
      <c r="I33" s="436">
        <f>E33</f>
        <v>1.4011277825298261</v>
      </c>
      <c r="J33" s="351" t="s">
        <v>4</v>
      </c>
      <c r="K33" s="523" t="s">
        <v>413</v>
      </c>
      <c r="L33" s="523"/>
      <c r="M33" s="376"/>
      <c r="N33" s="260"/>
      <c r="O33" s="263"/>
      <c r="P33" s="264"/>
      <c r="Q33" s="265"/>
      <c r="R33" s="260"/>
      <c r="S33" s="260"/>
      <c r="T33" s="239"/>
      <c r="U33" s="224"/>
      <c r="V33" s="220"/>
      <c r="W33" s="221"/>
      <c r="X33" s="84"/>
      <c r="Y33" s="215"/>
      <c r="Z33" s="215"/>
      <c r="AA33" s="215"/>
      <c r="AB33" s="75"/>
      <c r="AC33" s="75"/>
      <c r="AD33" s="75"/>
      <c r="AE33" s="75"/>
      <c r="AF33" s="75"/>
      <c r="AG33" s="75"/>
      <c r="AH33" s="75"/>
      <c r="AI33" s="75"/>
      <c r="AJ33" s="210"/>
      <c r="AK33" s="210"/>
      <c r="AL33" s="210"/>
      <c r="AM33" s="210"/>
      <c r="AN33" s="210"/>
      <c r="AO33" s="210"/>
    </row>
    <row r="34" spans="1:41" ht="15" customHeight="1" x14ac:dyDescent="0.25">
      <c r="A34" s="242" t="s">
        <v>376</v>
      </c>
      <c r="B34" s="350"/>
      <c r="C34" s="351"/>
      <c r="D34" s="377"/>
      <c r="E34" s="368">
        <f>1.5*E33*Ifactor*Pfactor</f>
        <v>1.0508458368973694</v>
      </c>
      <c r="F34" s="351" t="s">
        <v>41</v>
      </c>
      <c r="G34" s="474">
        <f>145*E34</f>
        <v>152.37264635011857</v>
      </c>
      <c r="H34" s="469" t="s">
        <v>2</v>
      </c>
      <c r="I34" s="470"/>
      <c r="J34" s="469"/>
      <c r="K34" s="471"/>
      <c r="L34" s="471"/>
      <c r="M34" s="376"/>
      <c r="N34" s="260"/>
      <c r="O34" s="263"/>
      <c r="P34" s="264"/>
      <c r="Q34" s="265"/>
      <c r="R34" s="260"/>
      <c r="S34" s="260"/>
      <c r="T34" s="239"/>
      <c r="U34" s="224"/>
      <c r="V34" s="220"/>
      <c r="W34" s="221"/>
      <c r="X34" s="84"/>
      <c r="Y34" s="215"/>
      <c r="Z34" s="215"/>
      <c r="AA34" s="215"/>
      <c r="AB34" s="75"/>
      <c r="AC34" s="75"/>
      <c r="AD34" s="75"/>
      <c r="AE34" s="75"/>
      <c r="AF34" s="75"/>
      <c r="AG34" s="75"/>
      <c r="AH34" s="75"/>
      <c r="AI34" s="75"/>
      <c r="AJ34" s="210"/>
      <c r="AK34" s="210"/>
      <c r="AL34" s="210"/>
      <c r="AM34" s="210"/>
      <c r="AN34" s="210"/>
      <c r="AO34" s="210"/>
    </row>
    <row r="35" spans="1:41" ht="15" customHeight="1" x14ac:dyDescent="0.25">
      <c r="A35" s="343" t="s">
        <v>392</v>
      </c>
      <c r="B35" s="350"/>
      <c r="C35" s="351">
        <f>Pfactor</f>
        <v>0.5</v>
      </c>
      <c r="D35" s="377"/>
      <c r="E35" s="354">
        <f>Pfactor*Ifactor*1000000*Circulation!N113*1.5*PI()*dti^2/4</f>
        <v>5666.3419336124352</v>
      </c>
      <c r="F35" s="377" t="s">
        <v>390</v>
      </c>
      <c r="G35" s="474">
        <f>E35/4.448</f>
        <v>1273.9078088157453</v>
      </c>
      <c r="H35" s="472" t="s">
        <v>391</v>
      </c>
      <c r="I35" s="470"/>
      <c r="J35" s="469"/>
      <c r="K35" s="471"/>
      <c r="L35" s="471"/>
      <c r="M35" s="376"/>
      <c r="N35" s="260"/>
      <c r="O35" s="263"/>
      <c r="P35" s="264"/>
      <c r="Q35" s="265"/>
      <c r="R35" s="260"/>
      <c r="S35" s="260"/>
      <c r="T35" s="239"/>
      <c r="U35" s="224"/>
      <c r="V35" s="220"/>
      <c r="W35" s="221"/>
      <c r="X35" s="84"/>
      <c r="Y35" s="215"/>
      <c r="Z35" s="215"/>
      <c r="AA35" s="215"/>
      <c r="AB35" s="75"/>
      <c r="AC35" s="75"/>
      <c r="AD35" s="75"/>
      <c r="AE35" s="75"/>
      <c r="AF35" s="75"/>
      <c r="AG35" s="75"/>
      <c r="AH35" s="75"/>
      <c r="AI35" s="75"/>
      <c r="AJ35" s="210"/>
      <c r="AK35" s="210"/>
      <c r="AL35" s="210"/>
      <c r="AM35" s="210"/>
      <c r="AN35" s="210"/>
      <c r="AO35" s="210"/>
    </row>
    <row r="36" spans="1:41" ht="15" customHeight="1" x14ac:dyDescent="0.2">
      <c r="A36" s="343" t="s">
        <v>393</v>
      </c>
      <c r="B36" s="353"/>
      <c r="C36" s="368"/>
      <c r="D36" s="351"/>
      <c r="E36" s="369">
        <f>fc</f>
        <v>0.4</v>
      </c>
      <c r="F36" s="370"/>
      <c r="G36" s="474">
        <f>Ifactor*mw/rhowm*39.37^3/231*60*VLOOKUP(G17,HPadv,2)</f>
        <v>19.238917823839049</v>
      </c>
      <c r="H36" s="425" t="s">
        <v>359</v>
      </c>
      <c r="I36" s="418">
        <f>G36/3.281</f>
        <v>5.8637360023892251</v>
      </c>
      <c r="J36" s="384" t="s">
        <v>360</v>
      </c>
      <c r="K36" s="532"/>
      <c r="L36" s="532"/>
      <c r="M36" s="376"/>
      <c r="N36" s="260"/>
      <c r="O36" s="263"/>
      <c r="P36" s="264"/>
      <c r="Q36" s="265"/>
      <c r="R36" s="260"/>
      <c r="S36" s="260"/>
      <c r="T36" s="239"/>
      <c r="U36" s="224"/>
      <c r="V36" s="220"/>
      <c r="W36" s="221"/>
      <c r="X36" s="84"/>
      <c r="Y36" s="215"/>
      <c r="Z36" s="215"/>
      <c r="AA36" s="215"/>
      <c r="AB36" s="75"/>
      <c r="AC36" s="75"/>
      <c r="AD36" s="75"/>
      <c r="AE36" s="75"/>
      <c r="AF36" s="75"/>
      <c r="AG36" s="75"/>
      <c r="AH36" s="75"/>
      <c r="AI36" s="75"/>
      <c r="AJ36" s="210"/>
      <c r="AK36" s="210"/>
      <c r="AL36" s="210"/>
      <c r="AM36" s="210"/>
      <c r="AN36" s="210"/>
      <c r="AO36" s="210"/>
    </row>
    <row r="37" spans="1:41" ht="15" customHeight="1" x14ac:dyDescent="0.2">
      <c r="A37" s="343" t="s">
        <v>448</v>
      </c>
      <c r="B37" s="353"/>
      <c r="C37" s="368"/>
      <c r="D37" s="351"/>
      <c r="E37" s="507"/>
      <c r="F37" s="377"/>
      <c r="G37" s="474">
        <f>Buckling!E19</f>
        <v>16360.15312472286</v>
      </c>
      <c r="H37" s="425" t="s">
        <v>29</v>
      </c>
      <c r="I37" s="506"/>
      <c r="J37" s="384"/>
      <c r="K37" s="493"/>
      <c r="L37" s="493"/>
      <c r="M37" s="376"/>
      <c r="N37" s="260"/>
      <c r="O37" s="263"/>
      <c r="P37" s="264"/>
      <c r="Q37" s="265"/>
      <c r="R37" s="260"/>
      <c r="S37" s="260"/>
      <c r="T37" s="239"/>
      <c r="U37" s="224"/>
      <c r="V37" s="220"/>
      <c r="W37" s="221"/>
      <c r="X37" s="84"/>
      <c r="Y37" s="215"/>
      <c r="Z37" s="215"/>
      <c r="AA37" s="215"/>
      <c r="AB37" s="75"/>
      <c r="AC37" s="75"/>
      <c r="AD37" s="75"/>
      <c r="AE37" s="75"/>
      <c r="AF37" s="75"/>
      <c r="AG37" s="75"/>
      <c r="AH37" s="75"/>
      <c r="AI37" s="75"/>
      <c r="AJ37" s="210"/>
      <c r="AK37" s="210"/>
      <c r="AL37" s="210"/>
      <c r="AM37" s="210"/>
      <c r="AN37" s="210"/>
      <c r="AO37" s="210"/>
    </row>
    <row r="38" spans="1:41" ht="15" customHeight="1" x14ac:dyDescent="0.2">
      <c r="A38" s="343" t="s">
        <v>449</v>
      </c>
      <c r="B38" s="353"/>
      <c r="C38" s="368"/>
      <c r="D38" s="351"/>
      <c r="E38" s="507"/>
      <c r="F38" s="377"/>
      <c r="G38" s="474">
        <f>Buckling!E24</f>
        <v>20845.720205619466</v>
      </c>
      <c r="H38" s="425" t="s">
        <v>29</v>
      </c>
      <c r="I38" s="506"/>
      <c r="J38" s="384"/>
      <c r="K38" s="493"/>
      <c r="L38" s="493"/>
      <c r="M38" s="376"/>
      <c r="N38" s="260"/>
      <c r="O38" s="263"/>
      <c r="P38" s="264"/>
      <c r="Q38" s="265"/>
      <c r="R38" s="260"/>
      <c r="S38" s="260"/>
      <c r="T38" s="239"/>
      <c r="U38" s="224"/>
      <c r="V38" s="220"/>
      <c r="W38" s="221"/>
      <c r="X38" s="84"/>
      <c r="Y38" s="215"/>
      <c r="Z38" s="215"/>
      <c r="AA38" s="215"/>
      <c r="AB38" s="75"/>
      <c r="AC38" s="75"/>
      <c r="AD38" s="75"/>
      <c r="AE38" s="75"/>
      <c r="AF38" s="75"/>
      <c r="AG38" s="75"/>
      <c r="AH38" s="75"/>
      <c r="AI38" s="75"/>
      <c r="AJ38" s="210"/>
      <c r="AK38" s="210"/>
      <c r="AL38" s="210"/>
      <c r="AM38" s="210"/>
      <c r="AN38" s="210"/>
      <c r="AO38" s="210"/>
    </row>
    <row r="39" spans="1:41" s="120" customFormat="1" ht="24" customHeight="1" x14ac:dyDescent="0.2">
      <c r="A39" s="487"/>
      <c r="B39" s="378"/>
      <c r="C39" s="378"/>
      <c r="D39" s="378"/>
      <c r="E39" s="378"/>
      <c r="F39" s="378"/>
      <c r="G39" s="378" t="s">
        <v>414</v>
      </c>
      <c r="H39" s="487"/>
      <c r="I39" s="350"/>
      <c r="J39" s="350"/>
      <c r="K39" s="251"/>
      <c r="L39" s="251"/>
      <c r="M39" s="372"/>
      <c r="N39" s="372"/>
      <c r="O39" s="372"/>
      <c r="P39" s="372"/>
      <c r="Q39" s="372"/>
      <c r="R39" s="351"/>
      <c r="S39" s="351"/>
      <c r="T39" s="222"/>
      <c r="U39" s="224"/>
      <c r="V39" s="220"/>
      <c r="Y39" s="75"/>
      <c r="Z39" s="75"/>
      <c r="AA39" s="75"/>
      <c r="AB39" s="75"/>
      <c r="AC39" s="75"/>
      <c r="AD39" s="75"/>
      <c r="AE39" s="75"/>
      <c r="AF39" s="75"/>
      <c r="AG39" s="75"/>
      <c r="AH39" s="75"/>
      <c r="AI39" s="75"/>
      <c r="AJ39" s="75"/>
      <c r="AK39" s="75"/>
      <c r="AL39" s="75"/>
      <c r="AM39" s="75"/>
      <c r="AN39" s="75"/>
      <c r="AO39" s="75"/>
    </row>
    <row r="40" spans="1:41" ht="17.45" hidden="1" customHeight="1" x14ac:dyDescent="0.2">
      <c r="A40" s="528" t="s">
        <v>356</v>
      </c>
      <c r="B40" s="528"/>
      <c r="C40" s="528"/>
      <c r="D40" s="528"/>
      <c r="E40" s="528"/>
      <c r="F40" s="373" t="s">
        <v>135</v>
      </c>
      <c r="G40" s="351"/>
      <c r="H40" s="351"/>
      <c r="I40" s="351"/>
      <c r="J40" s="351"/>
      <c r="K40" s="351"/>
      <c r="L40" s="351"/>
      <c r="M40" s="351"/>
      <c r="N40" s="351"/>
      <c r="O40" s="351"/>
      <c r="P40" s="351"/>
      <c r="Q40" s="351"/>
      <c r="R40" s="351"/>
      <c r="S40" s="351"/>
      <c r="T40" s="238"/>
      <c r="U40" s="224"/>
      <c r="V40" s="220"/>
      <c r="Y40" s="75"/>
      <c r="Z40" s="75"/>
      <c r="AA40" s="75"/>
      <c r="AB40" s="75"/>
      <c r="AC40" s="75"/>
      <c r="AD40" s="75"/>
      <c r="AE40" s="75"/>
      <c r="AF40" s="75"/>
      <c r="AG40" s="75"/>
      <c r="AH40" s="75"/>
      <c r="AI40" s="75"/>
      <c r="AJ40" s="75"/>
      <c r="AK40" s="75"/>
      <c r="AL40" s="75"/>
      <c r="AM40" s="75"/>
      <c r="AN40" s="75"/>
      <c r="AO40" s="75"/>
    </row>
    <row r="41" spans="1:41" ht="17.45" hidden="1" customHeight="1" x14ac:dyDescent="0.2">
      <c r="A41" s="528"/>
      <c r="B41" s="528"/>
      <c r="C41" s="528"/>
      <c r="D41" s="528"/>
      <c r="E41" s="528"/>
      <c r="F41" s="351">
        <v>1</v>
      </c>
      <c r="G41" s="374" t="s">
        <v>266</v>
      </c>
      <c r="H41" s="351"/>
      <c r="I41" s="351"/>
      <c r="J41" s="351"/>
      <c r="K41" s="351"/>
      <c r="L41" s="351"/>
      <c r="M41" s="351"/>
      <c r="N41" s="351"/>
      <c r="O41" s="351"/>
      <c r="P41" s="351"/>
      <c r="Q41" s="367"/>
      <c r="R41" s="351"/>
      <c r="S41" s="351"/>
      <c r="Y41" s="75"/>
      <c r="Z41" s="75"/>
      <c r="AA41" s="75"/>
      <c r="AB41" s="75"/>
      <c r="AC41" s="75"/>
      <c r="AD41" s="75"/>
      <c r="AE41" s="75"/>
      <c r="AF41" s="75"/>
      <c r="AG41" s="75"/>
      <c r="AH41" s="75"/>
      <c r="AI41" s="75"/>
      <c r="AJ41" s="75"/>
      <c r="AK41" s="75"/>
      <c r="AL41" s="75"/>
      <c r="AM41" s="75"/>
      <c r="AN41" s="75"/>
      <c r="AO41" s="75"/>
    </row>
    <row r="42" spans="1:41" ht="17.45" hidden="1" customHeight="1" x14ac:dyDescent="0.2">
      <c r="A42" s="528"/>
      <c r="B42" s="528"/>
      <c r="C42" s="528"/>
      <c r="D42" s="528"/>
      <c r="E42" s="528"/>
      <c r="F42" s="351">
        <v>2</v>
      </c>
      <c r="G42" s="374" t="s">
        <v>136</v>
      </c>
      <c r="H42" s="351"/>
      <c r="I42" s="351"/>
      <c r="J42" s="351"/>
      <c r="K42" s="351"/>
      <c r="L42" s="351"/>
      <c r="M42" s="351"/>
      <c r="N42" s="351"/>
      <c r="O42" s="351"/>
      <c r="P42" s="351"/>
      <c r="Q42" s="351"/>
      <c r="R42" s="351"/>
      <c r="S42" s="351"/>
      <c r="T42" s="238"/>
      <c r="U42" s="224"/>
      <c r="V42" s="220"/>
      <c r="W42" s="221"/>
      <c r="Y42" s="75"/>
      <c r="Z42" s="75"/>
      <c r="AA42" s="75"/>
      <c r="AB42" s="75"/>
      <c r="AC42" s="75"/>
      <c r="AD42" s="75"/>
      <c r="AE42" s="75"/>
      <c r="AF42" s="75"/>
      <c r="AG42" s="75"/>
      <c r="AH42" s="75"/>
      <c r="AI42" s="75"/>
      <c r="AJ42" s="75"/>
      <c r="AK42" s="75"/>
      <c r="AL42" s="75"/>
      <c r="AM42" s="75"/>
      <c r="AN42" s="75"/>
      <c r="AO42" s="75"/>
    </row>
    <row r="43" spans="1:41" ht="17.45" hidden="1" customHeight="1" x14ac:dyDescent="0.2">
      <c r="A43" s="516" t="s">
        <v>295</v>
      </c>
      <c r="B43" s="517"/>
      <c r="C43" s="517"/>
      <c r="D43" s="517"/>
      <c r="E43" s="518"/>
      <c r="F43" s="351">
        <v>3</v>
      </c>
      <c r="G43" s="374" t="s">
        <v>138</v>
      </c>
      <c r="H43" s="351"/>
      <c r="I43" s="351"/>
      <c r="J43" s="351"/>
      <c r="K43" s="351"/>
      <c r="L43" s="351"/>
      <c r="M43" s="351"/>
      <c r="N43" s="351"/>
      <c r="O43" s="351"/>
      <c r="P43" s="351"/>
      <c r="Q43" s="351"/>
      <c r="R43" s="351"/>
      <c r="S43" s="351"/>
      <c r="T43" s="238"/>
      <c r="U43" s="224"/>
      <c r="V43" s="220"/>
      <c r="Y43" s="75"/>
      <c r="Z43" s="75"/>
      <c r="AA43" s="75"/>
      <c r="AB43" s="75"/>
      <c r="AC43" s="75"/>
      <c r="AD43" s="75"/>
      <c r="AE43" s="75"/>
      <c r="AF43" s="75"/>
      <c r="AG43" s="75"/>
      <c r="AH43" s="75"/>
      <c r="AI43" s="75"/>
      <c r="AJ43" s="75"/>
      <c r="AK43" s="75"/>
      <c r="AL43" s="75"/>
      <c r="AM43" s="75"/>
      <c r="AN43" s="75"/>
      <c r="AO43" s="75"/>
    </row>
    <row r="44" spans="1:41" ht="17.45" hidden="1" customHeight="1" x14ac:dyDescent="0.2">
      <c r="A44" s="528" t="s">
        <v>294</v>
      </c>
      <c r="B44" s="528"/>
      <c r="C44" s="528"/>
      <c r="D44" s="528"/>
      <c r="E44" s="528"/>
      <c r="F44" s="351">
        <v>4</v>
      </c>
      <c r="G44" s="384" t="s">
        <v>309</v>
      </c>
      <c r="H44" s="351"/>
      <c r="I44" s="351"/>
      <c r="J44" s="351"/>
      <c r="K44" s="351"/>
      <c r="L44" s="351"/>
      <c r="M44" s="351"/>
      <c r="N44" s="351"/>
      <c r="O44" s="351"/>
      <c r="P44" s="351"/>
      <c r="Q44" s="351"/>
      <c r="R44" s="351"/>
      <c r="S44" s="351"/>
      <c r="T44" s="238"/>
      <c r="U44" s="224"/>
      <c r="V44" s="220"/>
      <c r="Y44" s="75"/>
      <c r="Z44" s="75"/>
      <c r="AA44" s="75"/>
      <c r="AB44" s="75"/>
      <c r="AC44" s="75"/>
      <c r="AD44" s="75"/>
      <c r="AE44" s="75"/>
      <c r="AF44" s="75"/>
      <c r="AG44" s="75"/>
      <c r="AH44" s="75"/>
      <c r="AI44" s="75"/>
      <c r="AJ44" s="75"/>
      <c r="AK44" s="75"/>
      <c r="AL44" s="75"/>
      <c r="AM44" s="75"/>
      <c r="AN44" s="75"/>
      <c r="AO44" s="75"/>
    </row>
    <row r="45" spans="1:41" ht="17.45" hidden="1" customHeight="1" x14ac:dyDescent="0.2">
      <c r="A45" s="528"/>
      <c r="B45" s="528"/>
      <c r="C45" s="528"/>
      <c r="D45" s="528"/>
      <c r="E45" s="528"/>
      <c r="F45" s="351">
        <v>5</v>
      </c>
      <c r="G45" s="374" t="s">
        <v>236</v>
      </c>
      <c r="H45" s="351"/>
      <c r="I45" s="351"/>
      <c r="J45" s="351"/>
      <c r="K45" s="351"/>
      <c r="L45" s="351"/>
      <c r="M45" s="351"/>
      <c r="N45" s="351"/>
      <c r="O45" s="351"/>
      <c r="P45" s="351"/>
      <c r="Q45" s="351"/>
      <c r="R45" s="351"/>
      <c r="S45" s="351"/>
      <c r="T45" s="238"/>
      <c r="U45" s="220"/>
      <c r="V45" s="220"/>
      <c r="W45" s="221"/>
      <c r="Y45" s="75"/>
      <c r="Z45" s="75"/>
      <c r="AA45" s="75"/>
      <c r="AB45" s="75"/>
      <c r="AC45" s="75"/>
      <c r="AD45" s="75"/>
      <c r="AE45" s="75"/>
      <c r="AF45" s="75"/>
      <c r="AG45" s="75"/>
      <c r="AH45" s="75"/>
      <c r="AI45" s="75"/>
      <c r="AJ45" s="75"/>
      <c r="AK45" s="75"/>
      <c r="AL45" s="75"/>
      <c r="AM45" s="75"/>
      <c r="AN45" s="75"/>
      <c r="AO45" s="75"/>
    </row>
    <row r="46" spans="1:41" ht="17.45" hidden="1" customHeight="1" x14ac:dyDescent="0.2">
      <c r="A46" s="528"/>
      <c r="B46" s="528"/>
      <c r="C46" s="528"/>
      <c r="D46" s="528"/>
      <c r="E46" s="528"/>
      <c r="F46" s="351">
        <v>6</v>
      </c>
      <c r="G46" s="377" t="s">
        <v>374</v>
      </c>
      <c r="H46" s="351"/>
      <c r="I46" s="351"/>
      <c r="J46" s="351"/>
      <c r="K46" s="351"/>
      <c r="L46" s="351"/>
      <c r="M46" s="351"/>
      <c r="N46" s="351"/>
      <c r="O46" s="351"/>
      <c r="P46" s="351"/>
      <c r="Q46" s="351"/>
      <c r="R46" s="351"/>
      <c r="S46" s="351"/>
      <c r="T46" s="238"/>
      <c r="U46" s="220"/>
      <c r="V46" s="220"/>
      <c r="W46" s="221"/>
      <c r="Y46" s="75"/>
      <c r="Z46" s="75"/>
      <c r="AA46" s="75"/>
      <c r="AB46" s="75"/>
      <c r="AC46" s="75"/>
      <c r="AD46" s="75"/>
      <c r="AE46" s="75"/>
      <c r="AF46" s="75"/>
      <c r="AG46" s="75"/>
      <c r="AH46" s="75"/>
      <c r="AI46" s="75"/>
      <c r="AJ46" s="75"/>
      <c r="AK46" s="75"/>
      <c r="AL46" s="75"/>
      <c r="AM46" s="75"/>
      <c r="AN46" s="75"/>
      <c r="AO46" s="75"/>
    </row>
    <row r="47" spans="1:41" ht="17.45" hidden="1" customHeight="1" x14ac:dyDescent="0.2">
      <c r="A47" s="528"/>
      <c r="B47" s="528"/>
      <c r="C47" s="528"/>
      <c r="D47" s="528"/>
      <c r="E47" s="528"/>
      <c r="F47" s="351">
        <v>7</v>
      </c>
      <c r="G47" s="377" t="s">
        <v>375</v>
      </c>
      <c r="H47" s="351"/>
      <c r="I47" s="351"/>
      <c r="J47" s="351"/>
      <c r="K47" s="351"/>
      <c r="L47" s="351"/>
      <c r="M47" s="351"/>
      <c r="N47" s="351"/>
      <c r="O47" s="351"/>
      <c r="P47" s="351"/>
      <c r="Q47" s="351"/>
      <c r="R47" s="351"/>
      <c r="S47" s="351"/>
      <c r="T47" s="238"/>
      <c r="U47" s="220"/>
      <c r="V47" s="220"/>
      <c r="W47" s="221"/>
      <c r="Y47" s="75"/>
      <c r="Z47" s="75"/>
      <c r="AA47" s="75"/>
      <c r="AB47" s="75"/>
      <c r="AC47" s="75"/>
      <c r="AD47" s="75"/>
      <c r="AE47" s="75"/>
      <c r="AF47" s="75"/>
      <c r="AG47" s="75"/>
      <c r="AH47" s="75"/>
      <c r="AI47" s="75"/>
      <c r="AJ47" s="75"/>
      <c r="AK47" s="75"/>
      <c r="AL47" s="75"/>
      <c r="AM47" s="75"/>
      <c r="AN47" s="75"/>
      <c r="AO47" s="75"/>
    </row>
    <row r="48" spans="1:41" ht="17.45" hidden="1" customHeight="1" x14ac:dyDescent="0.2">
      <c r="A48" s="366"/>
      <c r="B48" s="375"/>
      <c r="C48" s="375"/>
      <c r="D48" s="375"/>
      <c r="E48" s="366"/>
      <c r="F48" s="351"/>
      <c r="G48" s="351"/>
      <c r="H48" s="351"/>
      <c r="I48" s="351"/>
      <c r="J48" s="351"/>
      <c r="K48" s="351"/>
      <c r="L48" s="351"/>
      <c r="M48" s="351"/>
      <c r="N48" s="351"/>
      <c r="O48" s="351"/>
      <c r="P48" s="351"/>
      <c r="Q48" s="351"/>
      <c r="R48" s="351"/>
      <c r="S48" s="351"/>
      <c r="T48" s="238"/>
      <c r="U48" s="220"/>
      <c r="V48" s="220"/>
      <c r="W48" s="221"/>
      <c r="Y48" s="75"/>
      <c r="Z48" s="75"/>
      <c r="AA48" s="75"/>
      <c r="AB48" s="75"/>
      <c r="AC48" s="75"/>
      <c r="AD48" s="75"/>
      <c r="AE48" s="75"/>
      <c r="AF48" s="75"/>
      <c r="AG48" s="75"/>
      <c r="AH48" s="75"/>
      <c r="AI48" s="75"/>
      <c r="AJ48" s="75"/>
      <c r="AK48" s="75"/>
      <c r="AL48" s="75"/>
      <c r="AM48" s="75"/>
      <c r="AN48" s="75"/>
      <c r="AO48" s="75"/>
    </row>
    <row r="49" spans="1:23" ht="17.45" hidden="1" customHeight="1" x14ac:dyDescent="0.2">
      <c r="A49" s="351"/>
      <c r="B49" s="376"/>
      <c r="C49" s="351"/>
      <c r="D49" s="351"/>
      <c r="E49" s="351"/>
      <c r="F49" s="377"/>
      <c r="G49" s="351"/>
      <c r="H49" s="351"/>
      <c r="I49" s="351"/>
      <c r="J49" s="370"/>
      <c r="K49" s="370"/>
      <c r="L49" s="370"/>
      <c r="M49" s="351"/>
      <c r="N49" s="351"/>
      <c r="O49" s="351"/>
      <c r="P49" s="351"/>
      <c r="Q49" s="351"/>
      <c r="R49" s="351"/>
      <c r="S49" s="351"/>
      <c r="T49" s="238"/>
      <c r="U49" s="220"/>
      <c r="V49" s="220"/>
      <c r="W49" s="221"/>
    </row>
    <row r="50" spans="1:23" ht="17.45" hidden="1" customHeight="1" x14ac:dyDescent="0.2">
      <c r="A50" s="351" t="s">
        <v>454</v>
      </c>
      <c r="B50" s="351"/>
      <c r="C50" s="378"/>
      <c r="D50" s="351"/>
      <c r="E50" s="367"/>
      <c r="F50" s="367"/>
      <c r="G50" s="351"/>
      <c r="H50" s="351"/>
      <c r="I50" s="351"/>
      <c r="J50" s="370"/>
      <c r="K50" s="370"/>
      <c r="L50" s="370"/>
      <c r="M50" s="351"/>
      <c r="N50" s="351"/>
      <c r="O50" s="351"/>
      <c r="P50" s="351"/>
      <c r="Q50" s="351"/>
      <c r="R50" s="351"/>
      <c r="S50" s="351"/>
      <c r="T50" s="238"/>
      <c r="U50" s="220"/>
      <c r="V50" s="220"/>
      <c r="W50" s="221"/>
    </row>
    <row r="51" spans="1:23" ht="17.45" hidden="1" customHeight="1" x14ac:dyDescent="0.2">
      <c r="A51" s="351" t="s">
        <v>455</v>
      </c>
      <c r="B51" s="351" t="s">
        <v>456</v>
      </c>
      <c r="C51" s="351"/>
      <c r="D51" s="351"/>
      <c r="E51" s="367"/>
      <c r="F51" s="351"/>
      <c r="G51" s="508">
        <v>40920</v>
      </c>
      <c r="H51" s="351"/>
      <c r="I51" s="351"/>
      <c r="J51" s="370"/>
      <c r="K51" s="370"/>
      <c r="L51" s="370"/>
      <c r="M51" s="351"/>
      <c r="N51" s="351"/>
      <c r="O51" s="351"/>
      <c r="P51" s="351"/>
      <c r="Q51" s="351"/>
      <c r="R51" s="351"/>
      <c r="S51" s="351"/>
    </row>
    <row r="52" spans="1:23" ht="17.45" hidden="1" customHeight="1" x14ac:dyDescent="0.2">
      <c r="A52" s="351"/>
      <c r="B52" s="367"/>
      <c r="C52" s="351"/>
      <c r="D52" s="351"/>
      <c r="E52" s="367"/>
      <c r="F52" s="351"/>
      <c r="G52" s="351"/>
      <c r="H52" s="351"/>
      <c r="I52" s="351"/>
      <c r="J52" s="370"/>
      <c r="K52" s="370"/>
      <c r="L52" s="370"/>
      <c r="M52" s="351"/>
      <c r="N52" s="351"/>
      <c r="O52" s="351"/>
      <c r="P52" s="351"/>
      <c r="Q52" s="351"/>
      <c r="R52" s="351"/>
      <c r="S52" s="351"/>
    </row>
    <row r="53" spans="1:23" ht="17.45" hidden="1" customHeight="1" x14ac:dyDescent="0.2">
      <c r="A53" s="351"/>
      <c r="B53" s="367"/>
      <c r="C53" s="351"/>
      <c r="D53" s="351"/>
      <c r="E53" s="367"/>
      <c r="F53" s="351"/>
      <c r="G53" s="351"/>
      <c r="H53" s="351"/>
      <c r="I53" s="351"/>
      <c r="J53" s="351"/>
      <c r="K53" s="351"/>
      <c r="L53" s="351"/>
      <c r="M53" s="351"/>
      <c r="N53" s="351"/>
      <c r="O53" s="351"/>
      <c r="P53" s="351"/>
      <c r="Q53" s="351"/>
      <c r="R53" s="351"/>
      <c r="S53" s="351"/>
    </row>
    <row r="54" spans="1:23" ht="17.45" hidden="1" customHeight="1" x14ac:dyDescent="0.2">
      <c r="A54" s="351"/>
      <c r="B54" s="367"/>
      <c r="C54" s="351"/>
      <c r="D54" s="351"/>
      <c r="E54" s="367"/>
      <c r="F54" s="351"/>
      <c r="G54" s="351"/>
      <c r="H54" s="351"/>
      <c r="I54" s="351"/>
      <c r="J54" s="351"/>
      <c r="K54" s="351"/>
      <c r="L54" s="351"/>
      <c r="M54" s="351"/>
      <c r="N54" s="351"/>
      <c r="O54" s="351"/>
      <c r="P54" s="351"/>
      <c r="Q54" s="351"/>
      <c r="R54" s="351"/>
      <c r="S54" s="351"/>
    </row>
    <row r="55" spans="1:23" ht="17.45" hidden="1" customHeight="1" x14ac:dyDescent="0.2">
      <c r="A55" s="351"/>
      <c r="B55" s="367"/>
      <c r="C55" s="351"/>
      <c r="D55" s="351"/>
      <c r="E55" s="367"/>
      <c r="F55" s="351"/>
      <c r="G55" s="351"/>
      <c r="H55" s="351"/>
      <c r="I55" s="351"/>
      <c r="J55" s="351"/>
      <c r="K55" s="351"/>
      <c r="L55" s="351"/>
      <c r="M55" s="351"/>
      <c r="N55" s="351"/>
      <c r="O55" s="351"/>
      <c r="P55" s="351"/>
      <c r="Q55" s="351"/>
      <c r="R55" s="351"/>
      <c r="S55" s="351"/>
    </row>
    <row r="56" spans="1:23" ht="17.45" hidden="1" customHeight="1" x14ac:dyDescent="0.2">
      <c r="A56" s="351"/>
      <c r="B56" s="367"/>
      <c r="C56" s="351"/>
      <c r="D56" s="351"/>
      <c r="E56" s="367"/>
      <c r="F56" s="351"/>
      <c r="G56" s="351"/>
      <c r="H56" s="351"/>
      <c r="I56" s="351"/>
      <c r="J56" s="351"/>
      <c r="K56" s="351"/>
      <c r="L56" s="351"/>
      <c r="M56" s="351"/>
      <c r="N56" s="351"/>
      <c r="O56" s="351"/>
      <c r="P56" s="351"/>
      <c r="Q56" s="351"/>
      <c r="R56" s="351"/>
      <c r="S56" s="351"/>
    </row>
    <row r="57" spans="1:23" ht="17.45" hidden="1" customHeight="1" x14ac:dyDescent="0.2">
      <c r="A57" s="351"/>
      <c r="B57" s="367"/>
      <c r="C57" s="351"/>
      <c r="D57" s="351"/>
      <c r="E57" s="367"/>
      <c r="F57" s="351"/>
      <c r="G57" s="351"/>
      <c r="H57" s="351"/>
      <c r="I57" s="351"/>
      <c r="J57" s="351"/>
      <c r="K57" s="351"/>
      <c r="L57" s="351"/>
      <c r="M57" s="351"/>
      <c r="N57" s="351"/>
      <c r="O57" s="351"/>
      <c r="P57" s="351"/>
      <c r="Q57" s="351"/>
      <c r="R57" s="351"/>
      <c r="S57" s="351"/>
    </row>
    <row r="58" spans="1:23" ht="17.45" hidden="1" customHeight="1" x14ac:dyDescent="0.2">
      <c r="A58" s="351"/>
      <c r="B58" s="367"/>
      <c r="C58" s="351"/>
      <c r="D58" s="351"/>
      <c r="E58" s="367"/>
      <c r="F58" s="351"/>
      <c r="G58" s="351"/>
      <c r="H58" s="351"/>
      <c r="I58" s="351"/>
      <c r="J58" s="351"/>
      <c r="K58" s="351"/>
      <c r="L58" s="351"/>
      <c r="M58" s="351"/>
      <c r="N58" s="351"/>
      <c r="O58" s="351"/>
      <c r="P58" s="351"/>
      <c r="Q58" s="351"/>
      <c r="R58" s="351"/>
      <c r="S58" s="351"/>
    </row>
    <row r="59" spans="1:23" ht="17.45" hidden="1" customHeight="1" x14ac:dyDescent="0.2">
      <c r="A59" s="351"/>
      <c r="B59" s="367"/>
      <c r="C59" s="351"/>
      <c r="D59" s="351"/>
      <c r="E59" s="367"/>
      <c r="F59" s="351"/>
      <c r="G59" s="351"/>
      <c r="H59" s="351"/>
      <c r="I59" s="351"/>
      <c r="J59" s="351"/>
      <c r="K59" s="351"/>
      <c r="L59" s="351"/>
      <c r="M59" s="351"/>
      <c r="N59" s="351"/>
      <c r="O59" s="351"/>
      <c r="P59" s="351"/>
      <c r="Q59" s="351"/>
      <c r="R59" s="351"/>
      <c r="S59" s="351"/>
    </row>
    <row r="60" spans="1:23" ht="17.45" hidden="1" customHeight="1" x14ac:dyDescent="0.2">
      <c r="A60" s="351"/>
      <c r="B60" s="367"/>
      <c r="C60" s="351"/>
      <c r="D60" s="351"/>
      <c r="E60" s="367"/>
      <c r="F60" s="351"/>
      <c r="G60" s="351"/>
      <c r="H60" s="351"/>
      <c r="I60" s="351"/>
      <c r="J60" s="351"/>
      <c r="K60" s="351"/>
      <c r="L60" s="351"/>
      <c r="M60" s="351"/>
      <c r="N60" s="351"/>
      <c r="O60" s="351"/>
      <c r="P60" s="351"/>
      <c r="Q60" s="351"/>
      <c r="R60" s="351"/>
      <c r="S60" s="351"/>
    </row>
    <row r="61" spans="1:23" ht="17.45" hidden="1" customHeight="1" x14ac:dyDescent="0.2">
      <c r="A61" s="351"/>
      <c r="B61" s="367"/>
      <c r="C61" s="351"/>
      <c r="D61" s="351"/>
      <c r="E61" s="367"/>
      <c r="F61" s="351"/>
      <c r="G61" s="351"/>
      <c r="H61" s="351"/>
      <c r="I61" s="351"/>
      <c r="J61" s="351"/>
      <c r="K61" s="351"/>
      <c r="L61" s="351"/>
      <c r="M61" s="351"/>
      <c r="N61" s="351"/>
      <c r="O61" s="351"/>
      <c r="P61" s="351"/>
      <c r="Q61" s="351"/>
      <c r="R61" s="351"/>
      <c r="S61" s="351"/>
    </row>
    <row r="62" spans="1:23" ht="17.45" hidden="1" customHeight="1" x14ac:dyDescent="0.2">
      <c r="A62" s="351"/>
      <c r="B62" s="367"/>
      <c r="C62" s="351"/>
      <c r="D62" s="351"/>
      <c r="E62" s="367"/>
      <c r="F62" s="351"/>
      <c r="G62" s="351"/>
      <c r="H62" s="351"/>
      <c r="I62" s="351"/>
      <c r="J62" s="351"/>
      <c r="K62" s="351"/>
      <c r="L62" s="351"/>
      <c r="M62" s="351"/>
      <c r="N62" s="351"/>
      <c r="O62" s="351"/>
      <c r="P62" s="351"/>
      <c r="Q62" s="351"/>
      <c r="R62" s="351"/>
      <c r="S62" s="351"/>
    </row>
    <row r="63" spans="1:23" ht="17.45" hidden="1" customHeight="1" x14ac:dyDescent="0.2">
      <c r="A63" s="351"/>
      <c r="B63" s="367"/>
      <c r="C63" s="351"/>
      <c r="D63" s="351"/>
      <c r="E63" s="367"/>
      <c r="F63" s="351"/>
      <c r="G63" s="351"/>
      <c r="H63" s="351"/>
      <c r="I63" s="351"/>
      <c r="J63" s="351"/>
      <c r="K63" s="351"/>
      <c r="L63" s="351"/>
      <c r="M63" s="351"/>
      <c r="N63" s="351"/>
      <c r="O63" s="351"/>
      <c r="P63" s="351"/>
      <c r="Q63" s="351"/>
      <c r="R63" s="351"/>
      <c r="S63" s="351"/>
    </row>
    <row r="64" spans="1:23" ht="17.45" hidden="1" customHeight="1" x14ac:dyDescent="0.2">
      <c r="A64" s="351"/>
      <c r="B64" s="367"/>
      <c r="C64" s="351"/>
      <c r="D64" s="351"/>
      <c r="E64" s="367"/>
      <c r="F64" s="351"/>
      <c r="G64" s="351"/>
      <c r="H64" s="351"/>
      <c r="I64" s="351"/>
      <c r="J64" s="351"/>
      <c r="K64" s="351"/>
      <c r="L64" s="351"/>
      <c r="M64" s="351"/>
      <c r="N64" s="351"/>
      <c r="O64" s="351"/>
      <c r="P64" s="351"/>
      <c r="Q64" s="351"/>
      <c r="R64" s="351"/>
      <c r="S64" s="351"/>
    </row>
    <row r="65" spans="1:19" ht="17.45" hidden="1" customHeight="1" x14ac:dyDescent="0.2">
      <c r="A65" s="351"/>
      <c r="B65" s="367"/>
      <c r="C65" s="351"/>
      <c r="D65" s="351"/>
      <c r="E65" s="367"/>
      <c r="F65" s="351"/>
      <c r="G65" s="351"/>
      <c r="H65" s="351"/>
      <c r="I65" s="351"/>
      <c r="J65" s="351"/>
      <c r="K65" s="351"/>
      <c r="L65" s="351"/>
      <c r="M65" s="351"/>
      <c r="N65" s="351"/>
      <c r="O65" s="351"/>
      <c r="P65" s="351"/>
      <c r="Q65" s="351"/>
      <c r="R65" s="351"/>
      <c r="S65" s="351"/>
    </row>
    <row r="66" spans="1:19" ht="17.45" hidden="1" customHeight="1" x14ac:dyDescent="0.2">
      <c r="A66" s="351"/>
      <c r="B66" s="367"/>
      <c r="C66" s="351"/>
      <c r="D66" s="351"/>
      <c r="E66" s="367"/>
      <c r="F66" s="351"/>
      <c r="G66" s="351"/>
      <c r="H66" s="351"/>
      <c r="I66" s="351"/>
      <c r="J66" s="351"/>
      <c r="K66" s="351"/>
      <c r="L66" s="351"/>
      <c r="M66" s="351"/>
      <c r="N66" s="351"/>
      <c r="O66" s="351"/>
      <c r="P66" s="351"/>
      <c r="Q66" s="351"/>
      <c r="R66" s="351"/>
      <c r="S66" s="351"/>
    </row>
    <row r="67" spans="1:19" ht="17.45" hidden="1" customHeight="1" x14ac:dyDescent="0.2">
      <c r="A67" s="351"/>
      <c r="B67" s="367"/>
      <c r="C67" s="351"/>
      <c r="D67" s="351"/>
      <c r="E67" s="367"/>
      <c r="F67" s="351"/>
      <c r="G67" s="351"/>
      <c r="H67" s="351"/>
      <c r="I67" s="351"/>
      <c r="J67" s="351"/>
      <c r="K67" s="351"/>
      <c r="L67" s="351"/>
      <c r="M67" s="351"/>
      <c r="N67" s="351"/>
      <c r="O67" s="351"/>
      <c r="P67" s="351"/>
      <c r="Q67" s="351"/>
      <c r="R67" s="351"/>
      <c r="S67" s="351"/>
    </row>
    <row r="68" spans="1:19" ht="17.45" hidden="1" customHeight="1" x14ac:dyDescent="0.2">
      <c r="A68" s="351"/>
      <c r="B68" s="367"/>
      <c r="C68" s="351"/>
      <c r="D68" s="351"/>
      <c r="E68" s="367"/>
      <c r="F68" s="351"/>
      <c r="G68" s="351"/>
      <c r="H68" s="351"/>
      <c r="I68" s="351"/>
      <c r="J68" s="351"/>
      <c r="K68" s="351"/>
      <c r="L68" s="351"/>
      <c r="M68" s="351"/>
      <c r="N68" s="351"/>
      <c r="O68" s="351"/>
      <c r="P68" s="351"/>
      <c r="Q68" s="351"/>
      <c r="R68" s="351"/>
      <c r="S68" s="351"/>
    </row>
    <row r="69" spans="1:19" ht="17.45" hidden="1" customHeight="1" x14ac:dyDescent="0.2">
      <c r="A69" s="351"/>
      <c r="B69" s="367"/>
      <c r="C69" s="351"/>
      <c r="D69" s="351"/>
      <c r="E69" s="367"/>
      <c r="F69" s="351"/>
      <c r="G69" s="351"/>
      <c r="H69" s="351"/>
      <c r="I69" s="351"/>
      <c r="J69" s="351"/>
      <c r="K69" s="351"/>
      <c r="L69" s="351"/>
      <c r="M69" s="351"/>
      <c r="N69" s="351"/>
      <c r="O69" s="351"/>
      <c r="P69" s="351"/>
      <c r="Q69" s="351"/>
      <c r="R69" s="351"/>
      <c r="S69" s="351"/>
    </row>
    <row r="70" spans="1:19" ht="17.45" hidden="1" customHeight="1" x14ac:dyDescent="0.2">
      <c r="A70" s="351"/>
      <c r="B70" s="367"/>
      <c r="C70" s="351"/>
      <c r="D70" s="351"/>
      <c r="E70" s="367"/>
      <c r="F70" s="351"/>
      <c r="G70" s="351"/>
      <c r="H70" s="351"/>
      <c r="I70" s="351"/>
      <c r="J70" s="351"/>
      <c r="K70" s="351"/>
      <c r="L70" s="351"/>
      <c r="M70" s="351"/>
      <c r="N70" s="351"/>
      <c r="O70" s="351"/>
      <c r="P70" s="351"/>
      <c r="Q70" s="351"/>
      <c r="R70" s="351"/>
      <c r="S70" s="351"/>
    </row>
    <row r="71" spans="1:19" ht="17.45" hidden="1" customHeight="1" x14ac:dyDescent="0.2">
      <c r="A71" s="351"/>
      <c r="B71" s="367"/>
      <c r="C71" s="351"/>
      <c r="D71" s="351"/>
      <c r="E71" s="367"/>
      <c r="F71" s="351"/>
      <c r="G71" s="351"/>
      <c r="H71" s="351"/>
      <c r="I71" s="351"/>
      <c r="J71" s="351"/>
      <c r="K71" s="351"/>
      <c r="L71" s="351"/>
      <c r="M71" s="351"/>
      <c r="N71" s="351"/>
      <c r="O71" s="351"/>
      <c r="P71" s="351"/>
      <c r="Q71" s="351"/>
      <c r="R71" s="351"/>
      <c r="S71" s="351"/>
    </row>
    <row r="72" spans="1:19" ht="17.45" hidden="1" customHeight="1" x14ac:dyDescent="0.2">
      <c r="A72" s="351"/>
      <c r="B72" s="367"/>
      <c r="C72" s="351"/>
      <c r="D72" s="351"/>
      <c r="E72" s="367"/>
      <c r="F72" s="351"/>
      <c r="G72" s="351"/>
      <c r="H72" s="351"/>
      <c r="I72" s="351"/>
      <c r="J72" s="351"/>
      <c r="K72" s="351"/>
      <c r="L72" s="351"/>
      <c r="M72" s="351"/>
      <c r="N72" s="351"/>
      <c r="O72" s="351"/>
      <c r="P72" s="351"/>
      <c r="Q72" s="351"/>
      <c r="R72" s="351"/>
      <c r="S72" s="351"/>
    </row>
    <row r="73" spans="1:19" ht="17.45" hidden="1" customHeight="1" x14ac:dyDescent="0.2">
      <c r="A73" s="351"/>
      <c r="B73" s="367"/>
      <c r="C73" s="351"/>
      <c r="D73" s="351"/>
      <c r="E73" s="367"/>
      <c r="F73" s="351"/>
      <c r="G73" s="351"/>
      <c r="H73" s="351"/>
      <c r="I73" s="351"/>
      <c r="J73" s="351"/>
      <c r="K73" s="351"/>
      <c r="L73" s="351"/>
      <c r="M73" s="351"/>
      <c r="N73" s="351"/>
      <c r="O73" s="351"/>
      <c r="P73" s="351"/>
      <c r="Q73" s="351"/>
      <c r="R73" s="351"/>
      <c r="S73" s="351"/>
    </row>
    <row r="74" spans="1:19" ht="17.45" hidden="1" customHeight="1" x14ac:dyDescent="0.2">
      <c r="A74" s="351"/>
      <c r="B74" s="367"/>
      <c r="C74" s="351"/>
      <c r="D74" s="351"/>
      <c r="E74" s="367"/>
      <c r="F74" s="351"/>
      <c r="G74" s="351"/>
      <c r="H74" s="351"/>
      <c r="I74" s="351"/>
      <c r="J74" s="351"/>
      <c r="K74" s="351"/>
      <c r="L74" s="351"/>
      <c r="M74" s="351"/>
      <c r="N74" s="351"/>
      <c r="O74" s="351"/>
      <c r="P74" s="351"/>
      <c r="Q74" s="351"/>
      <c r="R74" s="351"/>
      <c r="S74" s="351"/>
    </row>
    <row r="75" spans="1:19" ht="17.45" hidden="1" customHeight="1" x14ac:dyDescent="0.2">
      <c r="A75" s="351"/>
      <c r="B75" s="367"/>
      <c r="C75" s="351"/>
      <c r="D75" s="351"/>
      <c r="E75" s="367"/>
      <c r="F75" s="351"/>
      <c r="G75" s="351"/>
      <c r="H75" s="351"/>
      <c r="I75" s="351"/>
      <c r="J75" s="351"/>
      <c r="K75" s="351"/>
      <c r="L75" s="351"/>
      <c r="M75" s="351"/>
      <c r="N75" s="351"/>
      <c r="O75" s="351"/>
      <c r="P75" s="351"/>
      <c r="Q75" s="351"/>
      <c r="R75" s="351"/>
      <c r="S75" s="351"/>
    </row>
    <row r="76" spans="1:19" ht="17.45" hidden="1" customHeight="1" x14ac:dyDescent="0.2">
      <c r="A76" s="351"/>
      <c r="B76" s="367"/>
      <c r="C76" s="351"/>
      <c r="D76" s="351"/>
      <c r="E76" s="367"/>
      <c r="F76" s="351"/>
      <c r="G76" s="351"/>
      <c r="H76" s="351"/>
      <c r="I76" s="351"/>
      <c r="J76" s="351"/>
      <c r="K76" s="351"/>
      <c r="L76" s="351"/>
      <c r="M76" s="351"/>
      <c r="N76" s="351"/>
      <c r="O76" s="351"/>
      <c r="P76" s="351"/>
      <c r="Q76" s="351"/>
      <c r="R76" s="351"/>
      <c r="S76" s="351"/>
    </row>
    <row r="77" spans="1:19" hidden="1" x14ac:dyDescent="0.2">
      <c r="A77" s="351"/>
      <c r="B77" s="367"/>
      <c r="C77" s="351"/>
      <c r="D77" s="351"/>
      <c r="E77" s="367"/>
      <c r="F77" s="351"/>
      <c r="G77" s="351"/>
      <c r="H77" s="351"/>
      <c r="I77" s="351"/>
      <c r="J77" s="351"/>
      <c r="K77" s="351"/>
      <c r="L77" s="351"/>
      <c r="M77" s="351"/>
      <c r="N77" s="351"/>
      <c r="O77" s="351"/>
      <c r="P77" s="351"/>
      <c r="Q77" s="351"/>
      <c r="R77" s="351"/>
      <c r="S77" s="351"/>
    </row>
    <row r="78" spans="1:19" hidden="1" x14ac:dyDescent="0.2">
      <c r="A78" s="351"/>
      <c r="B78" s="367"/>
      <c r="C78" s="351"/>
      <c r="D78" s="351"/>
      <c r="E78" s="367"/>
      <c r="F78" s="351"/>
      <c r="G78" s="351"/>
      <c r="H78" s="351"/>
      <c r="I78" s="351"/>
      <c r="J78" s="351"/>
      <c r="K78" s="351"/>
      <c r="L78" s="351"/>
      <c r="M78" s="351"/>
      <c r="N78" s="351"/>
      <c r="O78" s="351"/>
      <c r="P78" s="351"/>
      <c r="Q78" s="351"/>
      <c r="R78" s="351"/>
      <c r="S78" s="351"/>
    </row>
    <row r="79" spans="1:19" hidden="1" x14ac:dyDescent="0.2">
      <c r="A79" s="351"/>
      <c r="B79" s="367"/>
      <c r="C79" s="351"/>
      <c r="D79" s="351"/>
      <c r="E79" s="367"/>
      <c r="F79" s="351"/>
      <c r="G79" s="351"/>
      <c r="H79" s="351"/>
      <c r="I79" s="351"/>
      <c r="J79" s="351"/>
      <c r="K79" s="351"/>
      <c r="L79" s="351"/>
      <c r="M79" s="351"/>
      <c r="N79" s="351"/>
      <c r="O79" s="351"/>
      <c r="P79" s="351"/>
      <c r="Q79" s="351"/>
      <c r="R79" s="351"/>
      <c r="S79" s="351"/>
    </row>
    <row r="80" spans="1:19" hidden="1" x14ac:dyDescent="0.2">
      <c r="A80" s="351"/>
      <c r="B80" s="367"/>
      <c r="C80" s="351"/>
      <c r="D80" s="351"/>
      <c r="E80" s="367"/>
      <c r="F80" s="351"/>
      <c r="G80" s="351"/>
      <c r="H80" s="351"/>
      <c r="I80" s="351"/>
      <c r="J80" s="351"/>
      <c r="K80" s="351"/>
      <c r="L80" s="351"/>
      <c r="M80" s="351"/>
      <c r="N80" s="351"/>
      <c r="O80" s="351"/>
      <c r="P80" s="351"/>
      <c r="Q80" s="351"/>
      <c r="R80" s="351"/>
      <c r="S80" s="351"/>
    </row>
    <row r="81" spans="1:19" hidden="1" x14ac:dyDescent="0.2">
      <c r="A81" s="351"/>
      <c r="B81" s="367"/>
      <c r="C81" s="351"/>
      <c r="D81" s="351"/>
      <c r="E81" s="367"/>
      <c r="F81" s="351"/>
      <c r="G81" s="351"/>
      <c r="H81" s="351"/>
      <c r="I81" s="351"/>
      <c r="J81" s="351"/>
      <c r="K81" s="351"/>
      <c r="L81" s="351"/>
      <c r="M81" s="351"/>
      <c r="N81" s="351"/>
      <c r="O81" s="351"/>
      <c r="P81" s="351"/>
      <c r="Q81" s="351"/>
      <c r="R81" s="351"/>
      <c r="S81" s="351"/>
    </row>
    <row r="82" spans="1:19" hidden="1" x14ac:dyDescent="0.2">
      <c r="A82" s="351"/>
      <c r="B82" s="367"/>
      <c r="C82" s="351"/>
      <c r="D82" s="351"/>
      <c r="E82" s="367"/>
      <c r="F82" s="351"/>
      <c r="G82" s="351"/>
      <c r="H82" s="351"/>
      <c r="I82" s="351"/>
      <c r="J82" s="351"/>
      <c r="K82" s="351"/>
      <c r="L82" s="351"/>
      <c r="M82" s="351"/>
      <c r="N82" s="351"/>
      <c r="O82" s="351"/>
      <c r="P82" s="351"/>
      <c r="Q82" s="351"/>
      <c r="R82" s="351"/>
      <c r="S82" s="351"/>
    </row>
    <row r="83" spans="1:19" hidden="1" x14ac:dyDescent="0.2">
      <c r="A83" s="351"/>
      <c r="B83" s="367"/>
      <c r="C83" s="351"/>
      <c r="D83" s="351"/>
      <c r="E83" s="367"/>
      <c r="F83" s="351"/>
      <c r="G83" s="351"/>
      <c r="H83" s="351"/>
      <c r="I83" s="351"/>
      <c r="J83" s="351"/>
      <c r="K83" s="351"/>
      <c r="L83" s="351"/>
      <c r="M83" s="351"/>
      <c r="N83" s="351"/>
      <c r="O83" s="351"/>
      <c r="P83" s="351"/>
      <c r="Q83" s="351"/>
      <c r="R83" s="351"/>
      <c r="S83" s="351"/>
    </row>
    <row r="84" spans="1:19" hidden="1" x14ac:dyDescent="0.2">
      <c r="A84" s="351"/>
      <c r="B84" s="367"/>
      <c r="C84" s="351"/>
      <c r="D84" s="351"/>
      <c r="E84" s="367"/>
      <c r="F84" s="351"/>
      <c r="G84" s="351"/>
      <c r="H84" s="351"/>
      <c r="I84" s="351"/>
      <c r="J84" s="351"/>
      <c r="K84" s="351"/>
      <c r="L84" s="351"/>
      <c r="M84" s="351"/>
      <c r="N84" s="351"/>
      <c r="O84" s="351"/>
      <c r="P84" s="351"/>
      <c r="Q84" s="351"/>
      <c r="R84" s="351"/>
      <c r="S84" s="351"/>
    </row>
    <row r="85" spans="1:19" hidden="1" x14ac:dyDescent="0.2">
      <c r="A85" s="351"/>
      <c r="B85" s="367"/>
      <c r="C85" s="351"/>
      <c r="D85" s="351"/>
      <c r="E85" s="367"/>
      <c r="F85" s="351"/>
      <c r="G85" s="351"/>
      <c r="H85" s="351"/>
      <c r="I85" s="351"/>
      <c r="J85" s="351"/>
      <c r="K85" s="351"/>
      <c r="L85" s="351"/>
      <c r="M85" s="351"/>
      <c r="N85" s="351"/>
      <c r="O85" s="351"/>
      <c r="P85" s="351"/>
      <c r="Q85" s="351"/>
      <c r="R85" s="351"/>
      <c r="S85" s="351"/>
    </row>
    <row r="86" spans="1:19" hidden="1" x14ac:dyDescent="0.2">
      <c r="A86" s="351"/>
      <c r="B86" s="367"/>
      <c r="C86" s="351"/>
      <c r="D86" s="351"/>
      <c r="E86" s="367"/>
      <c r="F86" s="351"/>
      <c r="G86" s="351"/>
      <c r="H86" s="351"/>
      <c r="I86" s="351"/>
      <c r="J86" s="351"/>
      <c r="K86" s="351"/>
      <c r="L86" s="351"/>
      <c r="M86" s="351"/>
      <c r="N86" s="351"/>
      <c r="O86" s="351"/>
      <c r="P86" s="351"/>
      <c r="Q86" s="351"/>
      <c r="R86" s="351"/>
      <c r="S86" s="351"/>
    </row>
    <row r="87" spans="1:19" hidden="1" x14ac:dyDescent="0.2">
      <c r="A87" s="351"/>
      <c r="B87" s="367"/>
      <c r="C87" s="351"/>
      <c r="D87" s="351"/>
      <c r="E87" s="367"/>
      <c r="F87" s="351"/>
      <c r="G87" s="351"/>
      <c r="H87" s="351"/>
      <c r="I87" s="351"/>
      <c r="J87" s="351"/>
      <c r="K87" s="351"/>
      <c r="L87" s="351"/>
      <c r="M87" s="351"/>
      <c r="N87" s="351"/>
      <c r="O87" s="351"/>
      <c r="P87" s="351"/>
      <c r="Q87" s="351"/>
      <c r="R87" s="351"/>
      <c r="S87" s="351"/>
    </row>
    <row r="88" spans="1:19" hidden="1" x14ac:dyDescent="0.2">
      <c r="A88" s="351"/>
      <c r="B88" s="367"/>
      <c r="C88" s="351"/>
      <c r="D88" s="351"/>
      <c r="E88" s="367"/>
      <c r="F88" s="351"/>
      <c r="G88" s="351"/>
      <c r="H88" s="351"/>
      <c r="I88" s="351"/>
      <c r="J88" s="351"/>
      <c r="K88" s="351"/>
      <c r="L88" s="351"/>
      <c r="M88" s="351"/>
      <c r="N88" s="351"/>
      <c r="O88" s="351"/>
      <c r="P88" s="351"/>
      <c r="Q88" s="351"/>
      <c r="R88" s="351"/>
      <c r="S88" s="351"/>
    </row>
    <row r="89" spans="1:19" hidden="1" x14ac:dyDescent="0.2">
      <c r="A89" s="351"/>
      <c r="B89" s="367"/>
      <c r="C89" s="351"/>
      <c r="D89" s="351"/>
      <c r="E89" s="367"/>
      <c r="F89" s="351"/>
      <c r="G89" s="351"/>
      <c r="H89" s="351"/>
      <c r="I89" s="351"/>
      <c r="J89" s="351"/>
      <c r="K89" s="351"/>
      <c r="L89" s="351"/>
      <c r="M89" s="351"/>
      <c r="N89" s="351"/>
      <c r="O89" s="351"/>
      <c r="P89" s="351"/>
      <c r="Q89" s="351"/>
      <c r="R89" s="351"/>
      <c r="S89" s="351"/>
    </row>
    <row r="90" spans="1:19" hidden="1" x14ac:dyDescent="0.2">
      <c r="A90" s="351"/>
      <c r="B90" s="367"/>
      <c r="C90" s="351"/>
      <c r="D90" s="351"/>
      <c r="E90" s="367"/>
      <c r="F90" s="351"/>
      <c r="G90" s="351"/>
      <c r="H90" s="351"/>
      <c r="I90" s="351"/>
      <c r="J90" s="351"/>
      <c r="K90" s="351"/>
      <c r="L90" s="351"/>
      <c r="M90" s="351"/>
      <c r="N90" s="351"/>
      <c r="O90" s="351"/>
      <c r="P90" s="351"/>
      <c r="Q90" s="351"/>
      <c r="R90" s="351"/>
      <c r="S90" s="351"/>
    </row>
    <row r="91" spans="1:19" hidden="1" x14ac:dyDescent="0.2">
      <c r="A91" s="351"/>
      <c r="B91" s="367"/>
      <c r="C91" s="351"/>
      <c r="D91" s="351"/>
      <c r="E91" s="367"/>
      <c r="F91" s="351"/>
      <c r="G91" s="351"/>
      <c r="H91" s="351"/>
      <c r="I91" s="351"/>
      <c r="J91" s="351"/>
      <c r="K91" s="351"/>
      <c r="L91" s="351"/>
      <c r="M91" s="351"/>
      <c r="N91" s="351"/>
      <c r="O91" s="351"/>
      <c r="P91" s="351"/>
      <c r="Q91" s="351"/>
      <c r="R91" s="351"/>
      <c r="S91" s="351"/>
    </row>
    <row r="92" spans="1:19" hidden="1" x14ac:dyDescent="0.2">
      <c r="A92" s="351"/>
      <c r="B92" s="367"/>
      <c r="C92" s="351"/>
      <c r="D92" s="351"/>
      <c r="E92" s="367"/>
      <c r="F92" s="351"/>
      <c r="G92" s="351"/>
      <c r="H92" s="351"/>
      <c r="I92" s="351"/>
      <c r="J92" s="351"/>
      <c r="K92" s="351"/>
      <c r="L92" s="351"/>
      <c r="M92" s="351"/>
      <c r="N92" s="351"/>
      <c r="O92" s="351"/>
      <c r="P92" s="351"/>
      <c r="Q92" s="351"/>
      <c r="R92" s="351"/>
      <c r="S92" s="351"/>
    </row>
    <row r="93" spans="1:19" hidden="1" x14ac:dyDescent="0.2">
      <c r="A93" s="351"/>
      <c r="B93" s="367"/>
      <c r="C93" s="351"/>
      <c r="D93" s="351"/>
      <c r="E93" s="367"/>
      <c r="F93" s="351"/>
      <c r="G93" s="351"/>
      <c r="H93" s="351"/>
      <c r="I93" s="351"/>
      <c r="J93" s="351"/>
      <c r="K93" s="351"/>
      <c r="L93" s="351"/>
      <c r="M93" s="351"/>
      <c r="N93" s="351"/>
      <c r="O93" s="351"/>
      <c r="P93" s="351"/>
      <c r="Q93" s="351"/>
      <c r="R93" s="351"/>
      <c r="S93" s="351"/>
    </row>
    <row r="94" spans="1:19" hidden="1" x14ac:dyDescent="0.2">
      <c r="A94" s="351"/>
      <c r="B94" s="367"/>
      <c r="C94" s="351"/>
      <c r="D94" s="351"/>
      <c r="E94" s="367"/>
      <c r="F94" s="351"/>
      <c r="G94" s="351"/>
      <c r="H94" s="351"/>
      <c r="I94" s="351"/>
      <c r="J94" s="351"/>
      <c r="K94" s="351"/>
      <c r="L94" s="351"/>
      <c r="M94" s="351"/>
      <c r="N94" s="351"/>
      <c r="O94" s="351"/>
      <c r="P94" s="351"/>
      <c r="Q94" s="351"/>
      <c r="R94" s="351"/>
      <c r="S94" s="351"/>
    </row>
    <row r="95" spans="1:19" hidden="1" x14ac:dyDescent="0.2">
      <c r="A95" s="351"/>
      <c r="B95" s="367"/>
      <c r="C95" s="351"/>
      <c r="D95" s="351"/>
      <c r="E95" s="367"/>
      <c r="F95" s="351"/>
      <c r="G95" s="351"/>
      <c r="H95" s="351"/>
      <c r="I95" s="351"/>
      <c r="J95" s="351"/>
      <c r="K95" s="351"/>
      <c r="L95" s="351"/>
      <c r="M95" s="351"/>
      <c r="N95" s="351"/>
      <c r="O95" s="351"/>
      <c r="P95" s="351"/>
      <c r="Q95" s="351"/>
      <c r="R95" s="351"/>
      <c r="S95" s="351"/>
    </row>
    <row r="96" spans="1:19" hidden="1" x14ac:dyDescent="0.2">
      <c r="A96" s="351"/>
      <c r="B96" s="367"/>
      <c r="C96" s="351"/>
      <c r="D96" s="351"/>
      <c r="E96" s="367"/>
      <c r="F96" s="351"/>
      <c r="G96" s="351"/>
      <c r="H96" s="351"/>
      <c r="I96" s="351"/>
      <c r="J96" s="351"/>
      <c r="K96" s="351"/>
      <c r="L96" s="351"/>
      <c r="M96" s="351"/>
      <c r="N96" s="351"/>
      <c r="O96" s="351"/>
      <c r="P96" s="351"/>
      <c r="Q96" s="351"/>
      <c r="R96" s="351"/>
      <c r="S96" s="351"/>
    </row>
    <row r="97" spans="1:19" hidden="1" x14ac:dyDescent="0.2">
      <c r="A97" s="351"/>
      <c r="B97" s="367"/>
      <c r="C97" s="351"/>
      <c r="D97" s="351"/>
      <c r="E97" s="367"/>
      <c r="F97" s="351"/>
      <c r="G97" s="351"/>
      <c r="H97" s="351"/>
      <c r="I97" s="351"/>
      <c r="J97" s="351"/>
      <c r="K97" s="351"/>
      <c r="L97" s="351"/>
      <c r="M97" s="351"/>
      <c r="N97" s="351"/>
      <c r="O97" s="351"/>
      <c r="P97" s="351"/>
      <c r="Q97" s="351"/>
      <c r="R97" s="351"/>
      <c r="S97" s="351"/>
    </row>
    <row r="98" spans="1:19" hidden="1" x14ac:dyDescent="0.2">
      <c r="A98" s="351"/>
      <c r="B98" s="367"/>
      <c r="C98" s="351"/>
      <c r="D98" s="351"/>
      <c r="E98" s="367"/>
      <c r="F98" s="351"/>
      <c r="G98" s="351"/>
      <c r="H98" s="351"/>
      <c r="I98" s="351"/>
      <c r="J98" s="351"/>
      <c r="K98" s="351"/>
      <c r="L98" s="351"/>
      <c r="M98" s="351"/>
      <c r="N98" s="351"/>
      <c r="O98" s="351"/>
      <c r="P98" s="351"/>
      <c r="Q98" s="351"/>
      <c r="R98" s="351"/>
      <c r="S98" s="351"/>
    </row>
    <row r="99" spans="1:19" hidden="1" x14ac:dyDescent="0.2">
      <c r="A99" s="351"/>
      <c r="B99" s="367"/>
      <c r="C99" s="351"/>
      <c r="D99" s="351"/>
      <c r="E99" s="367"/>
      <c r="F99" s="351"/>
      <c r="G99" s="351"/>
      <c r="H99" s="351"/>
      <c r="I99" s="351"/>
      <c r="J99" s="351"/>
      <c r="K99" s="351"/>
      <c r="L99" s="351"/>
      <c r="M99" s="351"/>
      <c r="N99" s="351"/>
      <c r="O99" s="351"/>
      <c r="P99" s="351"/>
      <c r="Q99" s="351"/>
      <c r="R99" s="351"/>
      <c r="S99" s="351"/>
    </row>
    <row r="100" spans="1:19" hidden="1" x14ac:dyDescent="0.2">
      <c r="A100" s="351"/>
      <c r="B100" s="367"/>
      <c r="C100" s="351"/>
      <c r="D100" s="351"/>
      <c r="E100" s="367"/>
      <c r="F100" s="351"/>
      <c r="G100" s="351"/>
      <c r="H100" s="351"/>
      <c r="I100" s="351"/>
      <c r="J100" s="351"/>
      <c r="K100" s="351"/>
      <c r="L100" s="351"/>
      <c r="M100" s="351"/>
      <c r="N100" s="351"/>
      <c r="O100" s="351"/>
      <c r="P100" s="351"/>
      <c r="Q100" s="351"/>
      <c r="R100" s="351"/>
      <c r="S100" s="351"/>
    </row>
    <row r="101" spans="1:19" hidden="1" x14ac:dyDescent="0.2">
      <c r="A101" s="351"/>
      <c r="B101" s="367"/>
      <c r="C101" s="351"/>
      <c r="D101" s="351"/>
      <c r="E101" s="367"/>
      <c r="F101" s="351"/>
      <c r="G101" s="351"/>
      <c r="H101" s="351"/>
      <c r="I101" s="351"/>
      <c r="J101" s="351"/>
      <c r="K101" s="351"/>
      <c r="L101" s="351"/>
      <c r="M101" s="351"/>
      <c r="N101" s="351"/>
      <c r="O101" s="351"/>
      <c r="P101" s="351"/>
      <c r="Q101" s="351"/>
      <c r="R101" s="351"/>
      <c r="S101" s="351"/>
    </row>
    <row r="102" spans="1:19" hidden="1" x14ac:dyDescent="0.2">
      <c r="A102" s="351"/>
      <c r="B102" s="367"/>
      <c r="C102" s="351"/>
      <c r="D102" s="351"/>
      <c r="E102" s="367"/>
      <c r="F102" s="351"/>
      <c r="G102" s="351"/>
      <c r="H102" s="351"/>
      <c r="I102" s="351"/>
      <c r="J102" s="351"/>
      <c r="K102" s="351"/>
      <c r="L102" s="351"/>
      <c r="M102" s="351"/>
      <c r="N102" s="351"/>
      <c r="O102" s="351"/>
      <c r="P102" s="351"/>
      <c r="Q102" s="351"/>
      <c r="R102" s="351"/>
      <c r="S102" s="351"/>
    </row>
    <row r="103" spans="1:19" hidden="1" x14ac:dyDescent="0.2">
      <c r="A103" s="351"/>
      <c r="B103" s="367"/>
      <c r="C103" s="351"/>
      <c r="D103" s="351"/>
      <c r="E103" s="367"/>
      <c r="F103" s="351"/>
      <c r="G103" s="351"/>
      <c r="H103" s="351"/>
      <c r="I103" s="351"/>
      <c r="J103" s="351"/>
      <c r="K103" s="351"/>
      <c r="L103" s="351"/>
      <c r="M103" s="351"/>
      <c r="N103" s="351"/>
      <c r="O103" s="351"/>
      <c r="P103" s="351"/>
      <c r="Q103" s="351"/>
      <c r="R103" s="351"/>
      <c r="S103" s="351"/>
    </row>
    <row r="104" spans="1:19" hidden="1" x14ac:dyDescent="0.2">
      <c r="A104" s="351"/>
      <c r="B104" s="367"/>
      <c r="C104" s="351"/>
      <c r="D104" s="351"/>
      <c r="E104" s="367"/>
      <c r="F104" s="351"/>
      <c r="G104" s="351"/>
      <c r="H104" s="351"/>
      <c r="I104" s="351"/>
      <c r="J104" s="351"/>
      <c r="K104" s="351"/>
      <c r="L104" s="351"/>
      <c r="M104" s="351"/>
      <c r="N104" s="351"/>
      <c r="O104" s="351"/>
      <c r="P104" s="351"/>
      <c r="Q104" s="351"/>
      <c r="R104" s="351"/>
      <c r="S104" s="351"/>
    </row>
    <row r="105" spans="1:19" hidden="1" x14ac:dyDescent="0.2">
      <c r="A105" s="351"/>
      <c r="B105" s="367"/>
      <c r="C105" s="351"/>
      <c r="D105" s="351"/>
      <c r="E105" s="367"/>
      <c r="F105" s="351"/>
      <c r="G105" s="351"/>
      <c r="H105" s="351"/>
      <c r="I105" s="351"/>
      <c r="J105" s="351"/>
      <c r="K105" s="351"/>
      <c r="L105" s="351"/>
      <c r="M105" s="351"/>
      <c r="N105" s="351"/>
      <c r="O105" s="351"/>
      <c r="P105" s="351"/>
      <c r="Q105" s="351"/>
      <c r="R105" s="351"/>
      <c r="S105" s="351"/>
    </row>
    <row r="106" spans="1:19" hidden="1" x14ac:dyDescent="0.2">
      <c r="A106" s="351"/>
      <c r="B106" s="367"/>
      <c r="C106" s="351"/>
      <c r="D106" s="351"/>
      <c r="E106" s="367"/>
      <c r="F106" s="351"/>
      <c r="G106" s="351"/>
      <c r="H106" s="351"/>
      <c r="I106" s="351"/>
      <c r="J106" s="351"/>
      <c r="K106" s="351"/>
      <c r="L106" s="351"/>
      <c r="M106" s="351"/>
      <c r="N106" s="351"/>
      <c r="O106" s="351"/>
      <c r="P106" s="351"/>
      <c r="Q106" s="351"/>
      <c r="R106" s="351"/>
      <c r="S106" s="351"/>
    </row>
    <row r="107" spans="1:19" hidden="1" x14ac:dyDescent="0.2">
      <c r="A107" s="351"/>
      <c r="B107" s="367"/>
      <c r="C107" s="351"/>
      <c r="D107" s="351"/>
      <c r="E107" s="367"/>
      <c r="F107" s="351"/>
      <c r="G107" s="351"/>
      <c r="H107" s="351"/>
      <c r="I107" s="351"/>
      <c r="J107" s="351"/>
      <c r="K107" s="351"/>
      <c r="L107" s="351"/>
      <c r="M107" s="351"/>
      <c r="N107" s="351"/>
      <c r="O107" s="351"/>
      <c r="P107" s="351"/>
      <c r="Q107" s="351"/>
      <c r="R107" s="351"/>
      <c r="S107" s="351"/>
    </row>
    <row r="108" spans="1:19" hidden="1" x14ac:dyDescent="0.2">
      <c r="A108" s="351"/>
      <c r="B108" s="367"/>
      <c r="C108" s="351"/>
      <c r="D108" s="351"/>
      <c r="E108" s="367"/>
      <c r="F108" s="351"/>
      <c r="G108" s="351"/>
      <c r="H108" s="351"/>
      <c r="I108" s="351"/>
      <c r="J108" s="351"/>
      <c r="K108" s="351"/>
      <c r="L108" s="351"/>
      <c r="M108" s="351"/>
      <c r="N108" s="351"/>
      <c r="O108" s="351"/>
      <c r="P108" s="351"/>
      <c r="Q108" s="351"/>
      <c r="R108" s="351"/>
      <c r="S108" s="351"/>
    </row>
    <row r="109" spans="1:19" hidden="1" x14ac:dyDescent="0.2">
      <c r="A109" s="351"/>
      <c r="B109" s="367"/>
      <c r="C109" s="351"/>
      <c r="D109" s="351"/>
      <c r="E109" s="367"/>
      <c r="F109" s="351"/>
      <c r="G109" s="351"/>
      <c r="H109" s="351"/>
      <c r="I109" s="351"/>
      <c r="J109" s="351"/>
      <c r="K109" s="351"/>
      <c r="L109" s="351"/>
      <c r="M109" s="351"/>
      <c r="N109" s="351"/>
      <c r="O109" s="351"/>
      <c r="P109" s="351"/>
      <c r="Q109" s="351"/>
      <c r="R109" s="351"/>
      <c r="S109" s="351"/>
    </row>
    <row r="110" spans="1:19" hidden="1" x14ac:dyDescent="0.2">
      <c r="A110" s="351"/>
      <c r="B110" s="367"/>
      <c r="C110" s="351"/>
      <c r="D110" s="351"/>
      <c r="E110" s="367"/>
      <c r="F110" s="351"/>
      <c r="G110" s="351"/>
      <c r="H110" s="351"/>
      <c r="I110" s="351"/>
      <c r="J110" s="351"/>
      <c r="K110" s="351"/>
      <c r="L110" s="351"/>
      <c r="M110" s="351"/>
      <c r="N110" s="351"/>
      <c r="O110" s="351"/>
      <c r="P110" s="351"/>
      <c r="Q110" s="351"/>
      <c r="R110" s="351"/>
      <c r="S110" s="351"/>
    </row>
    <row r="111" spans="1:19" hidden="1" x14ac:dyDescent="0.2">
      <c r="A111" s="351"/>
      <c r="B111" s="367"/>
      <c r="C111" s="351"/>
      <c r="D111" s="351"/>
      <c r="E111" s="367"/>
      <c r="F111" s="351"/>
      <c r="G111" s="351"/>
      <c r="H111" s="351"/>
      <c r="I111" s="351"/>
      <c r="J111" s="351"/>
      <c r="K111" s="351"/>
      <c r="L111" s="351"/>
      <c r="M111" s="351"/>
      <c r="N111" s="351"/>
      <c r="O111" s="351"/>
      <c r="P111" s="351"/>
      <c r="Q111" s="351"/>
      <c r="R111" s="351"/>
      <c r="S111" s="351"/>
    </row>
    <row r="112" spans="1:19" hidden="1" x14ac:dyDescent="0.2">
      <c r="A112" s="351"/>
      <c r="B112" s="367"/>
      <c r="C112" s="351"/>
      <c r="D112" s="351"/>
      <c r="E112" s="367"/>
      <c r="F112" s="351"/>
      <c r="G112" s="351"/>
      <c r="H112" s="351"/>
      <c r="I112" s="351"/>
      <c r="J112" s="351"/>
      <c r="K112" s="351"/>
      <c r="L112" s="351"/>
      <c r="M112" s="351"/>
      <c r="N112" s="351"/>
      <c r="O112" s="351"/>
      <c r="P112" s="351"/>
      <c r="Q112" s="351"/>
      <c r="R112" s="351"/>
      <c r="S112" s="351"/>
    </row>
    <row r="113" spans="1:19" hidden="1" x14ac:dyDescent="0.2">
      <c r="A113" s="351"/>
      <c r="B113" s="367"/>
      <c r="C113" s="351"/>
      <c r="D113" s="351"/>
      <c r="E113" s="367"/>
      <c r="F113" s="351"/>
      <c r="G113" s="351"/>
      <c r="H113" s="351"/>
      <c r="I113" s="351"/>
      <c r="J113" s="351"/>
      <c r="K113" s="351"/>
      <c r="L113" s="351"/>
      <c r="M113" s="351"/>
      <c r="N113" s="351"/>
      <c r="O113" s="351"/>
      <c r="P113" s="351"/>
      <c r="Q113" s="351"/>
      <c r="R113" s="351"/>
      <c r="S113" s="351"/>
    </row>
    <row r="114" spans="1:19" hidden="1" x14ac:dyDescent="0.2">
      <c r="A114" s="351"/>
      <c r="B114" s="367"/>
      <c r="C114" s="351"/>
      <c r="D114" s="351"/>
      <c r="E114" s="367"/>
      <c r="F114" s="351"/>
      <c r="G114" s="351"/>
      <c r="H114" s="351"/>
      <c r="I114" s="351"/>
      <c r="J114" s="351"/>
      <c r="K114" s="351"/>
      <c r="L114" s="351"/>
      <c r="M114" s="351"/>
      <c r="N114" s="351"/>
      <c r="O114" s="351"/>
      <c r="P114" s="351"/>
      <c r="Q114" s="351"/>
      <c r="R114" s="351"/>
      <c r="S114" s="351"/>
    </row>
    <row r="115" spans="1:19" hidden="1" x14ac:dyDescent="0.2">
      <c r="A115" s="351"/>
      <c r="B115" s="367"/>
      <c r="C115" s="351"/>
      <c r="D115" s="351"/>
      <c r="E115" s="367"/>
      <c r="F115" s="351"/>
      <c r="G115" s="351"/>
      <c r="H115" s="351"/>
      <c r="I115" s="351"/>
      <c r="J115" s="351"/>
      <c r="K115" s="351"/>
      <c r="L115" s="351"/>
      <c r="M115" s="351"/>
      <c r="N115" s="351"/>
      <c r="O115" s="351"/>
      <c r="P115" s="351"/>
      <c r="Q115" s="351"/>
      <c r="R115" s="351"/>
      <c r="S115" s="351"/>
    </row>
    <row r="116" spans="1:19" hidden="1" x14ac:dyDescent="0.2">
      <c r="A116" s="351"/>
      <c r="B116" s="367"/>
      <c r="C116" s="351"/>
      <c r="D116" s="351"/>
      <c r="E116" s="367"/>
      <c r="F116" s="351"/>
      <c r="G116" s="351"/>
      <c r="H116" s="351"/>
      <c r="I116" s="351"/>
      <c r="J116" s="351"/>
      <c r="K116" s="351"/>
      <c r="L116" s="351"/>
      <c r="M116" s="351"/>
      <c r="N116" s="351"/>
      <c r="O116" s="351"/>
      <c r="P116" s="351"/>
      <c r="Q116" s="351"/>
      <c r="R116" s="351"/>
      <c r="S116" s="351"/>
    </row>
    <row r="117" spans="1:19" hidden="1" x14ac:dyDescent="0.2">
      <c r="A117" s="351"/>
      <c r="B117" s="367"/>
      <c r="C117" s="351"/>
      <c r="D117" s="351"/>
      <c r="E117" s="367"/>
      <c r="F117" s="351"/>
      <c r="G117" s="351"/>
      <c r="H117" s="351"/>
      <c r="I117" s="351"/>
      <c r="J117" s="351"/>
      <c r="K117" s="351"/>
      <c r="L117" s="351"/>
      <c r="M117" s="351"/>
      <c r="N117" s="351"/>
      <c r="O117" s="351"/>
      <c r="P117" s="351"/>
      <c r="Q117" s="351"/>
      <c r="R117" s="351"/>
      <c r="S117" s="351"/>
    </row>
    <row r="118" spans="1:19" hidden="1" x14ac:dyDescent="0.2">
      <c r="A118" s="351"/>
      <c r="B118" s="367"/>
      <c r="C118" s="351"/>
      <c r="D118" s="351"/>
      <c r="E118" s="367"/>
      <c r="F118" s="351"/>
      <c r="G118" s="351"/>
      <c r="H118" s="351"/>
      <c r="I118" s="351"/>
      <c r="J118" s="351"/>
      <c r="K118" s="351"/>
      <c r="L118" s="351"/>
      <c r="M118" s="351"/>
      <c r="N118" s="351"/>
      <c r="O118" s="351"/>
      <c r="P118" s="351"/>
      <c r="Q118" s="351"/>
      <c r="R118" s="351"/>
      <c r="S118" s="351"/>
    </row>
    <row r="119" spans="1:19" hidden="1" x14ac:dyDescent="0.2">
      <c r="A119" s="351"/>
      <c r="B119" s="367"/>
      <c r="C119" s="351"/>
      <c r="D119" s="351"/>
      <c r="E119" s="367"/>
      <c r="F119" s="351"/>
      <c r="G119" s="351"/>
      <c r="H119" s="351"/>
      <c r="I119" s="351"/>
      <c r="J119" s="351"/>
      <c r="K119" s="351"/>
      <c r="L119" s="351"/>
      <c r="M119" s="351"/>
      <c r="N119" s="351"/>
      <c r="O119" s="351"/>
      <c r="P119" s="351"/>
      <c r="Q119" s="351"/>
      <c r="R119" s="351"/>
      <c r="S119" s="351"/>
    </row>
    <row r="120" spans="1:19" hidden="1" x14ac:dyDescent="0.2">
      <c r="A120" s="351"/>
      <c r="B120" s="367"/>
      <c r="C120" s="351"/>
      <c r="D120" s="351"/>
      <c r="E120" s="367"/>
      <c r="F120" s="351"/>
      <c r="G120" s="351"/>
      <c r="H120" s="351"/>
      <c r="I120" s="351"/>
      <c r="J120" s="351"/>
      <c r="K120" s="351"/>
      <c r="L120" s="351"/>
      <c r="M120" s="351"/>
      <c r="N120" s="351"/>
      <c r="O120" s="351"/>
      <c r="P120" s="351"/>
      <c r="Q120" s="351"/>
      <c r="R120" s="351"/>
      <c r="S120" s="351"/>
    </row>
    <row r="121" spans="1:19" hidden="1" x14ac:dyDescent="0.2">
      <c r="A121" s="351"/>
      <c r="B121" s="367"/>
      <c r="C121" s="351"/>
      <c r="D121" s="351"/>
      <c r="E121" s="367"/>
      <c r="F121" s="351"/>
      <c r="G121" s="351"/>
      <c r="H121" s="351"/>
      <c r="I121" s="351"/>
      <c r="J121" s="351"/>
      <c r="K121" s="351"/>
      <c r="L121" s="351"/>
      <c r="M121" s="351"/>
      <c r="N121" s="351"/>
      <c r="O121" s="351"/>
      <c r="P121" s="351"/>
      <c r="Q121" s="351"/>
      <c r="R121" s="351"/>
      <c r="S121" s="351"/>
    </row>
    <row r="122" spans="1:19" hidden="1" x14ac:dyDescent="0.2">
      <c r="A122" s="351"/>
      <c r="B122" s="367"/>
      <c r="C122" s="351"/>
      <c r="D122" s="351"/>
      <c r="E122" s="367"/>
      <c r="F122" s="351"/>
      <c r="G122" s="351"/>
      <c r="H122" s="351"/>
      <c r="I122" s="351"/>
      <c r="J122" s="351"/>
      <c r="K122" s="351"/>
      <c r="L122" s="351"/>
      <c r="M122" s="351"/>
      <c r="N122" s="351"/>
      <c r="O122" s="351"/>
      <c r="P122" s="351"/>
      <c r="Q122" s="351"/>
      <c r="R122" s="351"/>
      <c r="S122" s="351"/>
    </row>
    <row r="123" spans="1:19" hidden="1" x14ac:dyDescent="0.2">
      <c r="A123" s="351"/>
      <c r="B123" s="367"/>
      <c r="C123" s="351"/>
      <c r="D123" s="351"/>
      <c r="E123" s="367"/>
      <c r="F123" s="351"/>
      <c r="G123" s="351"/>
      <c r="H123" s="351"/>
      <c r="I123" s="351"/>
      <c r="J123" s="351"/>
      <c r="K123" s="351"/>
      <c r="L123" s="351"/>
      <c r="M123" s="351"/>
      <c r="N123" s="351"/>
      <c r="O123" s="351"/>
      <c r="P123" s="351"/>
      <c r="Q123" s="351"/>
      <c r="R123" s="351"/>
      <c r="S123" s="351"/>
    </row>
    <row r="124" spans="1:19" hidden="1" x14ac:dyDescent="0.2">
      <c r="A124" s="351"/>
      <c r="B124" s="367"/>
      <c r="C124" s="351"/>
      <c r="D124" s="351"/>
      <c r="E124" s="367"/>
      <c r="F124" s="351"/>
      <c r="G124" s="351"/>
      <c r="H124" s="351"/>
      <c r="I124" s="351"/>
      <c r="J124" s="351"/>
      <c r="K124" s="351"/>
      <c r="L124" s="351"/>
      <c r="M124" s="351"/>
      <c r="N124" s="351"/>
      <c r="O124" s="351"/>
      <c r="P124" s="351"/>
      <c r="Q124" s="351"/>
      <c r="R124" s="351"/>
      <c r="S124" s="351"/>
    </row>
    <row r="125" spans="1:19" hidden="1" x14ac:dyDescent="0.2">
      <c r="A125" s="351"/>
      <c r="B125" s="367"/>
      <c r="C125" s="351"/>
      <c r="D125" s="351"/>
      <c r="E125" s="367"/>
      <c r="F125" s="351"/>
      <c r="G125" s="351"/>
      <c r="H125" s="351"/>
      <c r="I125" s="351"/>
      <c r="J125" s="351"/>
      <c r="K125" s="351"/>
      <c r="L125" s="351"/>
      <c r="M125" s="351"/>
      <c r="N125" s="351"/>
      <c r="O125" s="351"/>
      <c r="P125" s="351"/>
      <c r="Q125" s="351"/>
      <c r="R125" s="351"/>
      <c r="S125" s="351"/>
    </row>
    <row r="126" spans="1:19" hidden="1" x14ac:dyDescent="0.2">
      <c r="A126" s="351"/>
      <c r="B126" s="367"/>
      <c r="C126" s="351"/>
      <c r="D126" s="351"/>
      <c r="E126" s="367"/>
      <c r="F126" s="351"/>
      <c r="G126" s="351"/>
      <c r="H126" s="351"/>
      <c r="I126" s="351"/>
      <c r="J126" s="351"/>
      <c r="K126" s="351"/>
      <c r="L126" s="351"/>
      <c r="M126" s="351"/>
      <c r="N126" s="351"/>
      <c r="O126" s="351"/>
      <c r="P126" s="351"/>
      <c r="Q126" s="351"/>
      <c r="R126" s="351"/>
      <c r="S126" s="351"/>
    </row>
    <row r="127" spans="1:19" hidden="1" x14ac:dyDescent="0.2">
      <c r="A127" s="351"/>
      <c r="B127" s="367"/>
      <c r="C127" s="351"/>
      <c r="D127" s="351"/>
      <c r="E127" s="367"/>
      <c r="F127" s="351"/>
      <c r="G127" s="351"/>
      <c r="H127" s="351"/>
      <c r="I127" s="351"/>
      <c r="J127" s="351"/>
      <c r="K127" s="351"/>
      <c r="L127" s="351"/>
      <c r="M127" s="351"/>
      <c r="N127" s="351"/>
      <c r="O127" s="351"/>
      <c r="P127" s="351"/>
      <c r="Q127" s="351"/>
      <c r="R127" s="351"/>
      <c r="S127" s="351"/>
    </row>
    <row r="128" spans="1:19" hidden="1" x14ac:dyDescent="0.2">
      <c r="A128" s="351"/>
      <c r="B128" s="367"/>
      <c r="C128" s="351"/>
      <c r="D128" s="351"/>
      <c r="E128" s="367"/>
      <c r="F128" s="351"/>
      <c r="G128" s="351"/>
      <c r="H128" s="351"/>
      <c r="I128" s="351"/>
      <c r="J128" s="351"/>
      <c r="K128" s="351"/>
      <c r="L128" s="351"/>
      <c r="M128" s="351"/>
      <c r="N128" s="351"/>
      <c r="O128" s="351"/>
      <c r="P128" s="351"/>
      <c r="Q128" s="351"/>
      <c r="R128" s="351"/>
      <c r="S128" s="351"/>
    </row>
    <row r="129" spans="1:19" hidden="1" x14ac:dyDescent="0.2">
      <c r="A129" s="351"/>
      <c r="B129" s="367"/>
      <c r="C129" s="351"/>
      <c r="D129" s="351"/>
      <c r="E129" s="367"/>
      <c r="F129" s="351"/>
      <c r="G129" s="351"/>
      <c r="H129" s="351"/>
      <c r="I129" s="351"/>
      <c r="J129" s="351"/>
      <c r="K129" s="351"/>
      <c r="L129" s="351"/>
      <c r="M129" s="351"/>
      <c r="N129" s="351"/>
      <c r="O129" s="351"/>
      <c r="P129" s="351"/>
      <c r="Q129" s="351"/>
      <c r="R129" s="351"/>
      <c r="S129" s="351"/>
    </row>
    <row r="130" spans="1:19" hidden="1" x14ac:dyDescent="0.2">
      <c r="A130" s="351"/>
      <c r="B130" s="367"/>
      <c r="C130" s="351"/>
      <c r="D130" s="351"/>
      <c r="E130" s="367"/>
      <c r="F130" s="351"/>
      <c r="G130" s="351"/>
      <c r="H130" s="351"/>
      <c r="I130" s="351"/>
      <c r="J130" s="351"/>
      <c r="K130" s="351"/>
      <c r="L130" s="351"/>
      <c r="M130" s="351"/>
      <c r="N130" s="351"/>
      <c r="O130" s="351"/>
      <c r="P130" s="351"/>
      <c r="Q130" s="351"/>
      <c r="R130" s="351"/>
      <c r="S130" s="351"/>
    </row>
    <row r="131" spans="1:19" hidden="1" x14ac:dyDescent="0.2">
      <c r="A131" s="351"/>
      <c r="B131" s="367"/>
      <c r="C131" s="351"/>
      <c r="D131" s="351"/>
      <c r="E131" s="367"/>
      <c r="F131" s="351"/>
      <c r="G131" s="351"/>
      <c r="H131" s="351"/>
      <c r="I131" s="351"/>
      <c r="J131" s="351"/>
      <c r="K131" s="351"/>
      <c r="L131" s="351"/>
      <c r="M131" s="351"/>
      <c r="N131" s="351"/>
      <c r="O131" s="351"/>
      <c r="P131" s="351"/>
      <c r="Q131" s="351"/>
      <c r="R131" s="351"/>
      <c r="S131" s="351"/>
    </row>
    <row r="132" spans="1:19" hidden="1" x14ac:dyDescent="0.2">
      <c r="A132" s="351"/>
      <c r="B132" s="367"/>
      <c r="C132" s="351"/>
      <c r="D132" s="351"/>
      <c r="E132" s="367"/>
      <c r="F132" s="351"/>
      <c r="G132" s="351"/>
      <c r="H132" s="351"/>
      <c r="I132" s="351"/>
      <c r="J132" s="351"/>
      <c r="K132" s="351"/>
      <c r="L132" s="351"/>
      <c r="M132" s="351"/>
      <c r="N132" s="351"/>
      <c r="O132" s="351"/>
      <c r="P132" s="351"/>
      <c r="Q132" s="351"/>
      <c r="R132" s="351"/>
      <c r="S132" s="351"/>
    </row>
    <row r="133" spans="1:19" hidden="1" x14ac:dyDescent="0.2">
      <c r="A133" s="351"/>
      <c r="B133" s="367"/>
      <c r="C133" s="351"/>
      <c r="D133" s="351"/>
      <c r="E133" s="367"/>
      <c r="F133" s="351"/>
      <c r="G133" s="351"/>
      <c r="H133" s="351"/>
      <c r="I133" s="351"/>
      <c r="J133" s="351"/>
      <c r="K133" s="351"/>
      <c r="L133" s="351"/>
      <c r="M133" s="351"/>
      <c r="N133" s="351"/>
      <c r="O133" s="351"/>
      <c r="P133" s="351"/>
      <c r="Q133" s="351"/>
      <c r="R133" s="351"/>
      <c r="S133" s="351"/>
    </row>
    <row r="134" spans="1:19" hidden="1" x14ac:dyDescent="0.2">
      <c r="A134" s="351"/>
      <c r="B134" s="367"/>
      <c r="C134" s="351"/>
      <c r="D134" s="351"/>
      <c r="E134" s="367"/>
      <c r="F134" s="351"/>
      <c r="G134" s="351"/>
      <c r="H134" s="351"/>
      <c r="I134" s="351"/>
      <c r="J134" s="351"/>
      <c r="K134" s="351"/>
      <c r="L134" s="351"/>
      <c r="M134" s="351"/>
      <c r="N134" s="351"/>
      <c r="O134" s="351"/>
      <c r="P134" s="351"/>
      <c r="Q134" s="351"/>
      <c r="R134" s="351"/>
      <c r="S134" s="351"/>
    </row>
    <row r="135" spans="1:19" hidden="1" x14ac:dyDescent="0.2">
      <c r="A135" s="351"/>
      <c r="B135" s="367"/>
      <c r="C135" s="351"/>
      <c r="D135" s="351"/>
      <c r="E135" s="367"/>
      <c r="F135" s="351"/>
      <c r="G135" s="351"/>
      <c r="H135" s="351"/>
      <c r="I135" s="351"/>
      <c r="J135" s="351"/>
      <c r="K135" s="351"/>
      <c r="L135" s="351"/>
      <c r="M135" s="351"/>
      <c r="N135" s="351"/>
      <c r="O135" s="351"/>
      <c r="P135" s="351"/>
      <c r="Q135" s="351"/>
      <c r="R135" s="351"/>
      <c r="S135" s="351"/>
    </row>
    <row r="136" spans="1:19" hidden="1" x14ac:dyDescent="0.2">
      <c r="A136" s="351"/>
      <c r="B136" s="367"/>
      <c r="C136" s="351"/>
      <c r="D136" s="351"/>
      <c r="E136" s="367"/>
      <c r="F136" s="351"/>
      <c r="G136" s="351"/>
      <c r="H136" s="351"/>
      <c r="I136" s="351"/>
      <c r="J136" s="351"/>
      <c r="K136" s="351"/>
      <c r="L136" s="351"/>
      <c r="M136" s="351"/>
      <c r="N136" s="351"/>
      <c r="O136" s="351"/>
      <c r="P136" s="351"/>
      <c r="Q136" s="351"/>
      <c r="R136" s="351"/>
      <c r="S136" s="351"/>
    </row>
    <row r="137" spans="1:19" hidden="1" x14ac:dyDescent="0.2">
      <c r="A137" s="351"/>
      <c r="B137" s="367"/>
      <c r="C137" s="351"/>
      <c r="D137" s="351"/>
      <c r="E137" s="367"/>
      <c r="F137" s="351"/>
      <c r="G137" s="351"/>
      <c r="H137" s="351"/>
      <c r="I137" s="351"/>
      <c r="J137" s="351"/>
      <c r="K137" s="351"/>
      <c r="L137" s="351"/>
      <c r="M137" s="351"/>
      <c r="N137" s="351"/>
      <c r="O137" s="351"/>
      <c r="P137" s="351"/>
      <c r="Q137" s="351"/>
      <c r="R137" s="351"/>
      <c r="S137" s="351"/>
    </row>
    <row r="138" spans="1:19" hidden="1" x14ac:dyDescent="0.2">
      <c r="A138" s="351"/>
      <c r="B138" s="367"/>
      <c r="C138" s="351"/>
      <c r="D138" s="351"/>
      <c r="E138" s="367"/>
      <c r="F138" s="351"/>
      <c r="G138" s="351"/>
      <c r="H138" s="351"/>
      <c r="I138" s="351"/>
      <c r="J138" s="351"/>
      <c r="K138" s="351"/>
      <c r="L138" s="351"/>
      <c r="M138" s="351"/>
      <c r="N138" s="351"/>
      <c r="O138" s="351"/>
      <c r="P138" s="351"/>
      <c r="Q138" s="351"/>
      <c r="R138" s="351"/>
      <c r="S138" s="351"/>
    </row>
    <row r="139" spans="1:19" hidden="1" x14ac:dyDescent="0.2">
      <c r="A139" s="351"/>
      <c r="B139" s="367"/>
      <c r="C139" s="351"/>
      <c r="D139" s="351"/>
      <c r="E139" s="367"/>
      <c r="F139" s="351"/>
      <c r="G139" s="351"/>
      <c r="H139" s="351"/>
      <c r="I139" s="351"/>
      <c r="J139" s="351"/>
      <c r="K139" s="351"/>
      <c r="L139" s="351"/>
      <c r="M139" s="351"/>
      <c r="N139" s="351"/>
      <c r="O139" s="351"/>
      <c r="P139" s="351"/>
      <c r="Q139" s="351"/>
      <c r="R139" s="351"/>
      <c r="S139" s="351"/>
    </row>
    <row r="140" spans="1:19" hidden="1" x14ac:dyDescent="0.2">
      <c r="A140" s="351"/>
      <c r="B140" s="367"/>
      <c r="C140" s="351"/>
      <c r="D140" s="351"/>
      <c r="E140" s="367"/>
      <c r="F140" s="351"/>
      <c r="G140" s="351"/>
      <c r="H140" s="351"/>
      <c r="I140" s="351"/>
      <c r="J140" s="351"/>
      <c r="K140" s="351"/>
      <c r="L140" s="351"/>
      <c r="M140" s="351"/>
      <c r="N140" s="351"/>
      <c r="O140" s="351"/>
      <c r="P140" s="351"/>
      <c r="Q140" s="351"/>
      <c r="R140" s="351"/>
      <c r="S140" s="351"/>
    </row>
    <row r="141" spans="1:19" hidden="1" x14ac:dyDescent="0.2">
      <c r="A141" s="351"/>
      <c r="B141" s="367"/>
      <c r="C141" s="351"/>
      <c r="D141" s="351"/>
      <c r="E141" s="367"/>
      <c r="F141" s="351"/>
      <c r="G141" s="351"/>
      <c r="H141" s="351"/>
      <c r="I141" s="351"/>
      <c r="J141" s="351"/>
      <c r="K141" s="351"/>
      <c r="L141" s="351"/>
      <c r="M141" s="351"/>
      <c r="N141" s="351"/>
      <c r="O141" s="351"/>
      <c r="P141" s="351"/>
      <c r="Q141" s="351"/>
      <c r="R141" s="351"/>
      <c r="S141" s="351"/>
    </row>
    <row r="142" spans="1:19" hidden="1" x14ac:dyDescent="0.2">
      <c r="A142" s="351"/>
      <c r="B142" s="367"/>
      <c r="C142" s="351"/>
      <c r="D142" s="351"/>
      <c r="E142" s="367"/>
      <c r="F142" s="351"/>
      <c r="G142" s="351"/>
      <c r="H142" s="351"/>
      <c r="I142" s="351"/>
      <c r="J142" s="351"/>
      <c r="K142" s="351"/>
      <c r="L142" s="351"/>
      <c r="M142" s="351"/>
      <c r="N142" s="351"/>
      <c r="O142" s="351"/>
      <c r="P142" s="351"/>
      <c r="Q142" s="351"/>
      <c r="R142" s="351"/>
      <c r="S142" s="351"/>
    </row>
    <row r="143" spans="1:19" hidden="1" x14ac:dyDescent="0.2">
      <c r="A143" s="351"/>
      <c r="B143" s="367"/>
      <c r="C143" s="351"/>
      <c r="D143" s="351"/>
      <c r="E143" s="367"/>
      <c r="F143" s="351"/>
      <c r="G143" s="351"/>
      <c r="H143" s="351"/>
      <c r="I143" s="351"/>
      <c r="J143" s="351"/>
      <c r="K143" s="351"/>
      <c r="L143" s="351"/>
      <c r="M143" s="351"/>
      <c r="N143" s="351"/>
      <c r="O143" s="351"/>
      <c r="P143" s="351"/>
      <c r="Q143" s="351"/>
      <c r="R143" s="351"/>
      <c r="S143" s="351"/>
    </row>
    <row r="144" spans="1:19" hidden="1" x14ac:dyDescent="0.2">
      <c r="A144" s="351"/>
      <c r="B144" s="367"/>
      <c r="C144" s="351"/>
      <c r="D144" s="351"/>
      <c r="E144" s="367"/>
      <c r="F144" s="351"/>
      <c r="G144" s="351"/>
      <c r="H144" s="351"/>
      <c r="I144" s="351"/>
      <c r="J144" s="351"/>
      <c r="K144" s="351"/>
      <c r="L144" s="351"/>
      <c r="M144" s="351"/>
      <c r="N144" s="351"/>
      <c r="O144" s="351"/>
      <c r="P144" s="351"/>
      <c r="Q144" s="351"/>
      <c r="R144" s="351"/>
      <c r="S144" s="351"/>
    </row>
    <row r="145" spans="1:19" hidden="1" x14ac:dyDescent="0.2">
      <c r="A145" s="351"/>
      <c r="B145" s="367"/>
      <c r="C145" s="351"/>
      <c r="D145" s="351"/>
      <c r="E145" s="367"/>
      <c r="F145" s="351"/>
      <c r="G145" s="351"/>
      <c r="H145" s="351"/>
      <c r="I145" s="351"/>
      <c r="J145" s="351"/>
      <c r="K145" s="351"/>
      <c r="L145" s="351"/>
      <c r="M145" s="351"/>
      <c r="N145" s="351"/>
      <c r="O145" s="351"/>
      <c r="P145" s="351"/>
      <c r="Q145" s="351"/>
      <c r="R145" s="351"/>
      <c r="S145" s="351"/>
    </row>
    <row r="146" spans="1:19" hidden="1" x14ac:dyDescent="0.2">
      <c r="A146" s="351"/>
      <c r="B146" s="367"/>
      <c r="C146" s="351"/>
      <c r="D146" s="351"/>
      <c r="E146" s="367"/>
      <c r="F146" s="351"/>
      <c r="G146" s="351"/>
      <c r="H146" s="351"/>
      <c r="I146" s="351"/>
      <c r="J146" s="351"/>
      <c r="K146" s="351"/>
      <c r="L146" s="351"/>
      <c r="M146" s="351"/>
      <c r="N146" s="351"/>
      <c r="O146" s="351"/>
      <c r="P146" s="351"/>
      <c r="Q146" s="351"/>
      <c r="R146" s="351"/>
      <c r="S146" s="351"/>
    </row>
    <row r="147" spans="1:19" hidden="1" x14ac:dyDescent="0.2">
      <c r="A147" s="351"/>
      <c r="B147" s="367"/>
      <c r="C147" s="351"/>
      <c r="D147" s="351"/>
      <c r="E147" s="367"/>
      <c r="F147" s="351"/>
      <c r="G147" s="351"/>
      <c r="H147" s="351"/>
      <c r="I147" s="351"/>
      <c r="J147" s="351"/>
      <c r="K147" s="351"/>
      <c r="L147" s="351"/>
      <c r="M147" s="351"/>
      <c r="N147" s="351"/>
      <c r="O147" s="351"/>
      <c r="P147" s="351"/>
      <c r="Q147" s="351"/>
      <c r="R147" s="351"/>
      <c r="S147" s="351"/>
    </row>
    <row r="148" spans="1:19" hidden="1" x14ac:dyDescent="0.2">
      <c r="A148" s="351"/>
      <c r="B148" s="367"/>
      <c r="C148" s="351"/>
      <c r="D148" s="351"/>
      <c r="E148" s="367"/>
      <c r="F148" s="351"/>
      <c r="G148" s="351"/>
      <c r="H148" s="351"/>
      <c r="I148" s="351"/>
      <c r="J148" s="351"/>
      <c r="K148" s="351"/>
      <c r="L148" s="351"/>
      <c r="M148" s="351"/>
      <c r="N148" s="351"/>
      <c r="O148" s="351"/>
      <c r="P148" s="351"/>
      <c r="Q148" s="351"/>
      <c r="R148" s="351"/>
      <c r="S148" s="351"/>
    </row>
    <row r="149" spans="1:19" hidden="1" x14ac:dyDescent="0.2">
      <c r="A149" s="351"/>
      <c r="B149" s="367"/>
      <c r="C149" s="351"/>
      <c r="D149" s="351"/>
      <c r="E149" s="367"/>
      <c r="F149" s="351"/>
      <c r="G149" s="351"/>
      <c r="H149" s="351"/>
      <c r="I149" s="351"/>
      <c r="J149" s="351"/>
      <c r="K149" s="351"/>
      <c r="L149" s="351"/>
      <c r="M149" s="351"/>
      <c r="N149" s="351"/>
      <c r="O149" s="351"/>
      <c r="P149" s="351"/>
      <c r="Q149" s="351"/>
      <c r="R149" s="351"/>
      <c r="S149" s="351"/>
    </row>
    <row r="150" spans="1:19" hidden="1" x14ac:dyDescent="0.2">
      <c r="A150" s="351"/>
      <c r="B150" s="367"/>
      <c r="C150" s="351"/>
      <c r="D150" s="351"/>
      <c r="E150" s="367"/>
      <c r="F150" s="351"/>
      <c r="G150" s="351"/>
      <c r="H150" s="351"/>
      <c r="I150" s="351"/>
      <c r="J150" s="351"/>
      <c r="K150" s="351"/>
      <c r="L150" s="351"/>
      <c r="M150" s="351"/>
      <c r="N150" s="351"/>
      <c r="O150" s="351"/>
      <c r="P150" s="351"/>
      <c r="Q150" s="351"/>
      <c r="R150" s="351"/>
      <c r="S150" s="351"/>
    </row>
    <row r="151" spans="1:19" hidden="1" x14ac:dyDescent="0.2">
      <c r="A151" s="351"/>
      <c r="B151" s="367"/>
      <c r="C151" s="351"/>
      <c r="D151" s="351"/>
      <c r="E151" s="367"/>
      <c r="F151" s="351"/>
      <c r="G151" s="351"/>
      <c r="H151" s="351"/>
      <c r="I151" s="351"/>
      <c r="J151" s="351"/>
      <c r="K151" s="351"/>
      <c r="L151" s="351"/>
      <c r="M151" s="351"/>
      <c r="N151" s="351"/>
      <c r="O151" s="351"/>
      <c r="P151" s="351"/>
      <c r="Q151" s="351"/>
      <c r="R151" s="351"/>
      <c r="S151" s="351"/>
    </row>
    <row r="152" spans="1:19" hidden="1" x14ac:dyDescent="0.2">
      <c r="A152" s="351"/>
      <c r="B152" s="367"/>
      <c r="C152" s="351"/>
      <c r="D152" s="351"/>
      <c r="E152" s="367"/>
      <c r="F152" s="351"/>
      <c r="G152" s="351"/>
      <c r="H152" s="351"/>
      <c r="I152" s="351"/>
      <c r="J152" s="351"/>
      <c r="K152" s="351"/>
      <c r="L152" s="351"/>
      <c r="M152" s="351"/>
      <c r="N152" s="351"/>
      <c r="O152" s="351"/>
      <c r="P152" s="351"/>
      <c r="Q152" s="351"/>
      <c r="R152" s="351"/>
      <c r="S152" s="351"/>
    </row>
    <row r="153" spans="1:19" hidden="1" x14ac:dyDescent="0.2">
      <c r="A153" s="351"/>
      <c r="B153" s="367"/>
      <c r="C153" s="351"/>
      <c r="D153" s="351"/>
      <c r="E153" s="367"/>
      <c r="F153" s="351"/>
      <c r="G153" s="351"/>
      <c r="H153" s="351"/>
      <c r="I153" s="351"/>
      <c r="J153" s="351"/>
      <c r="K153" s="351"/>
      <c r="L153" s="351"/>
      <c r="M153" s="351"/>
      <c r="N153" s="351"/>
      <c r="O153" s="351"/>
      <c r="P153" s="351"/>
      <c r="Q153" s="351"/>
      <c r="R153" s="351"/>
      <c r="S153" s="351"/>
    </row>
    <row r="154" spans="1:19" hidden="1" x14ac:dyDescent="0.2">
      <c r="A154" s="351"/>
      <c r="B154" s="367"/>
      <c r="C154" s="351"/>
      <c r="D154" s="351"/>
      <c r="E154" s="367"/>
      <c r="F154" s="351"/>
      <c r="G154" s="351"/>
      <c r="H154" s="351"/>
      <c r="I154" s="351"/>
      <c r="J154" s="351"/>
      <c r="K154" s="351"/>
      <c r="L154" s="351"/>
      <c r="M154" s="351"/>
      <c r="N154" s="351"/>
      <c r="O154" s="351"/>
      <c r="P154" s="351"/>
      <c r="Q154" s="351"/>
      <c r="R154" s="351"/>
      <c r="S154" s="351"/>
    </row>
    <row r="155" spans="1:19" hidden="1" x14ac:dyDescent="0.2">
      <c r="A155" s="351"/>
      <c r="B155" s="367"/>
      <c r="C155" s="351"/>
      <c r="D155" s="351"/>
      <c r="E155" s="367"/>
      <c r="F155" s="351"/>
      <c r="G155" s="351"/>
      <c r="H155" s="351"/>
      <c r="I155" s="351"/>
      <c r="J155" s="351"/>
      <c r="K155" s="351"/>
      <c r="L155" s="351"/>
      <c r="M155" s="351"/>
      <c r="N155" s="351"/>
      <c r="O155" s="351"/>
      <c r="P155" s="351"/>
      <c r="Q155" s="351"/>
      <c r="R155" s="351"/>
      <c r="S155" s="351"/>
    </row>
    <row r="156" spans="1:19" hidden="1" x14ac:dyDescent="0.2">
      <c r="A156" s="351"/>
      <c r="B156" s="367"/>
      <c r="C156" s="351"/>
      <c r="D156" s="351"/>
      <c r="E156" s="367"/>
      <c r="F156" s="351"/>
      <c r="G156" s="351"/>
      <c r="H156" s="351"/>
      <c r="I156" s="351"/>
      <c r="J156" s="351"/>
      <c r="K156" s="351"/>
      <c r="L156" s="351"/>
      <c r="M156" s="351"/>
      <c r="N156" s="351"/>
      <c r="O156" s="351"/>
      <c r="P156" s="351"/>
      <c r="Q156" s="351"/>
      <c r="R156" s="351"/>
      <c r="S156" s="351"/>
    </row>
    <row r="157" spans="1:19" hidden="1" x14ac:dyDescent="0.2">
      <c r="A157" s="351"/>
      <c r="B157" s="367"/>
      <c r="C157" s="351"/>
      <c r="D157" s="351"/>
      <c r="E157" s="367"/>
      <c r="F157" s="351"/>
      <c r="G157" s="351"/>
      <c r="H157" s="351"/>
      <c r="I157" s="351"/>
      <c r="J157" s="351"/>
      <c r="K157" s="351"/>
      <c r="L157" s="351"/>
      <c r="M157" s="351"/>
      <c r="N157" s="351"/>
      <c r="O157" s="351"/>
      <c r="P157" s="351"/>
      <c r="Q157" s="351"/>
      <c r="R157" s="351"/>
      <c r="S157" s="351"/>
    </row>
    <row r="158" spans="1:19" hidden="1" x14ac:dyDescent="0.2">
      <c r="A158" s="351"/>
      <c r="B158" s="367"/>
      <c r="C158" s="351"/>
      <c r="D158" s="351"/>
      <c r="E158" s="367"/>
      <c r="F158" s="351"/>
      <c r="G158" s="351"/>
      <c r="H158" s="351"/>
      <c r="I158" s="351"/>
      <c r="J158" s="351"/>
      <c r="K158" s="351"/>
      <c r="L158" s="351"/>
      <c r="M158" s="351"/>
      <c r="N158" s="351"/>
      <c r="O158" s="351"/>
      <c r="P158" s="351"/>
      <c r="Q158" s="351"/>
      <c r="R158" s="351"/>
      <c r="S158" s="351"/>
    </row>
    <row r="159" spans="1:19" hidden="1" x14ac:dyDescent="0.2">
      <c r="A159" s="351"/>
      <c r="B159" s="367"/>
      <c r="C159" s="351"/>
      <c r="D159" s="351"/>
      <c r="E159" s="367"/>
      <c r="F159" s="351"/>
      <c r="G159" s="351"/>
      <c r="H159" s="351"/>
      <c r="I159" s="351"/>
      <c r="J159" s="351"/>
      <c r="K159" s="351"/>
      <c r="L159" s="351"/>
      <c r="M159" s="351"/>
      <c r="N159" s="351"/>
      <c r="O159" s="351"/>
      <c r="P159" s="351"/>
      <c r="Q159" s="351"/>
      <c r="R159" s="351"/>
      <c r="S159" s="351"/>
    </row>
    <row r="160" spans="1:19" hidden="1" x14ac:dyDescent="0.2">
      <c r="A160" s="351"/>
      <c r="B160" s="367"/>
      <c r="C160" s="351"/>
      <c r="D160" s="351"/>
      <c r="E160" s="367"/>
      <c r="F160" s="351"/>
      <c r="G160" s="351"/>
      <c r="H160" s="351"/>
      <c r="I160" s="351"/>
      <c r="J160" s="351"/>
      <c r="K160" s="351"/>
      <c r="L160" s="351"/>
      <c r="M160" s="351"/>
      <c r="N160" s="351"/>
      <c r="O160" s="351"/>
      <c r="P160" s="351"/>
      <c r="Q160" s="351"/>
      <c r="R160" s="351"/>
      <c r="S160" s="351"/>
    </row>
    <row r="161" spans="1:19" hidden="1" x14ac:dyDescent="0.2">
      <c r="A161" s="351"/>
      <c r="B161" s="367"/>
      <c r="C161" s="351"/>
      <c r="D161" s="351"/>
      <c r="E161" s="367"/>
      <c r="F161" s="351"/>
      <c r="G161" s="351"/>
      <c r="H161" s="351"/>
      <c r="I161" s="351"/>
      <c r="J161" s="351"/>
      <c r="K161" s="351"/>
      <c r="L161" s="351"/>
      <c r="M161" s="351"/>
      <c r="N161" s="351"/>
      <c r="O161" s="351"/>
      <c r="P161" s="351"/>
      <c r="Q161" s="351"/>
      <c r="R161" s="351"/>
      <c r="S161" s="351"/>
    </row>
    <row r="162" spans="1:19" hidden="1" x14ac:dyDescent="0.2">
      <c r="A162" s="351"/>
      <c r="B162" s="367"/>
      <c r="C162" s="351"/>
      <c r="D162" s="351"/>
      <c r="E162" s="367"/>
      <c r="F162" s="351"/>
      <c r="G162" s="351"/>
      <c r="H162" s="351"/>
      <c r="I162" s="351"/>
      <c r="J162" s="351"/>
      <c r="K162" s="351"/>
      <c r="L162" s="351"/>
      <c r="M162" s="351"/>
      <c r="N162" s="351"/>
      <c r="O162" s="351"/>
      <c r="P162" s="351"/>
      <c r="Q162" s="351"/>
      <c r="R162" s="351"/>
      <c r="S162" s="351"/>
    </row>
    <row r="163" spans="1:19" hidden="1" x14ac:dyDescent="0.2">
      <c r="A163" s="351"/>
      <c r="B163" s="367"/>
      <c r="C163" s="351"/>
      <c r="D163" s="351"/>
      <c r="E163" s="367"/>
      <c r="F163" s="351"/>
      <c r="G163" s="351"/>
      <c r="H163" s="351"/>
      <c r="I163" s="351"/>
      <c r="J163" s="351"/>
      <c r="K163" s="351"/>
      <c r="L163" s="351"/>
      <c r="M163" s="351"/>
      <c r="N163" s="351"/>
      <c r="O163" s="351"/>
      <c r="P163" s="351"/>
      <c r="Q163" s="351"/>
      <c r="R163" s="351"/>
      <c r="S163" s="351"/>
    </row>
    <row r="164" spans="1:19" hidden="1" x14ac:dyDescent="0.2">
      <c r="A164" s="351"/>
      <c r="B164" s="367"/>
      <c r="C164" s="351"/>
      <c r="D164" s="351"/>
      <c r="E164" s="367"/>
      <c r="F164" s="351"/>
      <c r="G164" s="351"/>
      <c r="H164" s="351"/>
      <c r="I164" s="351"/>
      <c r="J164" s="351"/>
      <c r="K164" s="351"/>
      <c r="L164" s="351"/>
      <c r="M164" s="351"/>
      <c r="N164" s="351"/>
      <c r="O164" s="351"/>
      <c r="P164" s="351"/>
      <c r="Q164" s="351"/>
      <c r="R164" s="351"/>
      <c r="S164" s="351"/>
    </row>
    <row r="165" spans="1:19" hidden="1" x14ac:dyDescent="0.2">
      <c r="A165" s="351"/>
      <c r="B165" s="367"/>
      <c r="C165" s="351"/>
      <c r="D165" s="351"/>
      <c r="E165" s="367"/>
      <c r="F165" s="351"/>
      <c r="G165" s="351"/>
      <c r="H165" s="351"/>
      <c r="I165" s="351"/>
      <c r="J165" s="351"/>
      <c r="K165" s="351"/>
      <c r="L165" s="351"/>
      <c r="M165" s="351"/>
      <c r="N165" s="351"/>
      <c r="O165" s="351"/>
      <c r="P165" s="351"/>
      <c r="Q165" s="351"/>
      <c r="R165" s="351"/>
      <c r="S165" s="351"/>
    </row>
    <row r="166" spans="1:19" hidden="1" x14ac:dyDescent="0.2">
      <c r="A166" s="351"/>
      <c r="B166" s="367"/>
      <c r="C166" s="351"/>
      <c r="D166" s="351"/>
      <c r="E166" s="367"/>
      <c r="F166" s="351"/>
      <c r="G166" s="351"/>
      <c r="H166" s="351"/>
      <c r="I166" s="351"/>
      <c r="J166" s="351"/>
      <c r="K166" s="351"/>
      <c r="L166" s="351"/>
      <c r="M166" s="351"/>
      <c r="N166" s="351"/>
      <c r="O166" s="351"/>
      <c r="P166" s="351"/>
      <c r="Q166" s="351"/>
      <c r="R166" s="351"/>
      <c r="S166" s="351"/>
    </row>
    <row r="167" spans="1:19" hidden="1" x14ac:dyDescent="0.2">
      <c r="A167" s="351"/>
      <c r="B167" s="367"/>
      <c r="C167" s="351"/>
      <c r="D167" s="351"/>
      <c r="E167" s="367"/>
      <c r="F167" s="351"/>
      <c r="G167" s="351"/>
      <c r="H167" s="351"/>
      <c r="I167" s="351"/>
      <c r="J167" s="351"/>
      <c r="K167" s="351"/>
      <c r="L167" s="351"/>
      <c r="M167" s="351"/>
      <c r="N167" s="351"/>
      <c r="O167" s="351"/>
      <c r="P167" s="351"/>
      <c r="Q167" s="351"/>
      <c r="R167" s="351"/>
      <c r="S167" s="351"/>
    </row>
    <row r="168" spans="1:19" hidden="1" x14ac:dyDescent="0.2">
      <c r="A168" s="351"/>
      <c r="B168" s="367"/>
      <c r="C168" s="351"/>
      <c r="D168" s="351"/>
      <c r="E168" s="367"/>
      <c r="F168" s="351"/>
      <c r="G168" s="351"/>
      <c r="H168" s="351"/>
      <c r="I168" s="351"/>
      <c r="J168" s="351"/>
      <c r="K168" s="351"/>
      <c r="L168" s="351"/>
      <c r="M168" s="351"/>
      <c r="N168" s="351"/>
      <c r="O168" s="351"/>
      <c r="P168" s="351"/>
      <c r="Q168" s="351"/>
      <c r="R168" s="351"/>
      <c r="S168" s="351"/>
    </row>
    <row r="169" spans="1:19" hidden="1" x14ac:dyDescent="0.2">
      <c r="A169" s="351"/>
      <c r="B169" s="367"/>
      <c r="C169" s="351"/>
      <c r="D169" s="351"/>
      <c r="E169" s="367"/>
      <c r="F169" s="351"/>
      <c r="G169" s="351"/>
      <c r="H169" s="351"/>
      <c r="I169" s="351"/>
      <c r="J169" s="351"/>
      <c r="K169" s="351"/>
      <c r="L169" s="351"/>
      <c r="M169" s="351"/>
      <c r="N169" s="351"/>
      <c r="O169" s="351"/>
      <c r="P169" s="351"/>
      <c r="Q169" s="351"/>
      <c r="R169" s="351"/>
      <c r="S169" s="351"/>
    </row>
    <row r="170" spans="1:19" hidden="1" x14ac:dyDescent="0.2">
      <c r="A170" s="351"/>
      <c r="B170" s="367"/>
      <c r="C170" s="351"/>
      <c r="D170" s="351"/>
      <c r="E170" s="367"/>
      <c r="F170" s="351"/>
      <c r="G170" s="351"/>
      <c r="H170" s="351"/>
      <c r="I170" s="351"/>
      <c r="J170" s="351"/>
      <c r="K170" s="351"/>
      <c r="L170" s="351"/>
      <c r="M170" s="351"/>
      <c r="N170" s="351"/>
      <c r="O170" s="351"/>
      <c r="P170" s="351"/>
      <c r="Q170" s="351"/>
      <c r="R170" s="351"/>
      <c r="S170" s="351"/>
    </row>
    <row r="171" spans="1:19" hidden="1" x14ac:dyDescent="0.2">
      <c r="A171" s="351"/>
      <c r="B171" s="367"/>
      <c r="C171" s="351"/>
      <c r="D171" s="351"/>
      <c r="E171" s="367"/>
      <c r="F171" s="351"/>
      <c r="G171" s="351"/>
      <c r="H171" s="351"/>
      <c r="I171" s="351"/>
      <c r="J171" s="351"/>
      <c r="K171" s="351"/>
      <c r="L171" s="351"/>
      <c r="M171" s="351"/>
      <c r="N171" s="351"/>
      <c r="O171" s="351"/>
      <c r="P171" s="351"/>
      <c r="Q171" s="351"/>
      <c r="R171" s="351"/>
      <c r="S171" s="351"/>
    </row>
    <row r="172" spans="1:19" hidden="1" x14ac:dyDescent="0.2">
      <c r="A172" s="351"/>
      <c r="B172" s="367"/>
      <c r="C172" s="351"/>
      <c r="D172" s="351"/>
      <c r="E172" s="367"/>
      <c r="F172" s="351"/>
      <c r="G172" s="351"/>
      <c r="H172" s="351"/>
      <c r="I172" s="351"/>
      <c r="J172" s="351"/>
      <c r="K172" s="351"/>
      <c r="L172" s="351"/>
      <c r="M172" s="351"/>
      <c r="N172" s="351"/>
      <c r="O172" s="351"/>
      <c r="P172" s="351"/>
      <c r="Q172" s="351"/>
      <c r="R172" s="351"/>
      <c r="S172" s="351"/>
    </row>
    <row r="173" spans="1:19" hidden="1" x14ac:dyDescent="0.2">
      <c r="A173" s="351"/>
      <c r="B173" s="367"/>
      <c r="C173" s="351"/>
      <c r="D173" s="351"/>
      <c r="E173" s="367"/>
      <c r="F173" s="351"/>
      <c r="G173" s="351"/>
      <c r="H173" s="351"/>
      <c r="I173" s="351"/>
      <c r="J173" s="351"/>
      <c r="K173" s="351"/>
      <c r="L173" s="351"/>
      <c r="M173" s="351"/>
      <c r="N173" s="351"/>
      <c r="O173" s="351"/>
      <c r="P173" s="351"/>
      <c r="Q173" s="351"/>
      <c r="R173" s="351"/>
      <c r="S173" s="351"/>
    </row>
    <row r="174" spans="1:19" hidden="1" x14ac:dyDescent="0.2">
      <c r="A174" s="351"/>
      <c r="B174" s="367"/>
      <c r="C174" s="351"/>
      <c r="D174" s="351"/>
      <c r="E174" s="367"/>
      <c r="F174" s="351"/>
      <c r="G174" s="351"/>
      <c r="H174" s="351"/>
      <c r="I174" s="351"/>
      <c r="J174" s="351"/>
      <c r="K174" s="351"/>
      <c r="L174" s="351"/>
      <c r="M174" s="351"/>
      <c r="N174" s="351"/>
      <c r="O174" s="351"/>
      <c r="P174" s="351"/>
      <c r="Q174" s="351"/>
      <c r="R174" s="351"/>
      <c r="S174" s="351"/>
    </row>
    <row r="175" spans="1:19" hidden="1" x14ac:dyDescent="0.2">
      <c r="A175" s="351"/>
      <c r="B175" s="367"/>
      <c r="C175" s="351"/>
      <c r="D175" s="351"/>
      <c r="E175" s="367"/>
      <c r="F175" s="351"/>
      <c r="G175" s="351"/>
      <c r="H175" s="351"/>
      <c r="I175" s="351"/>
      <c r="J175" s="351"/>
      <c r="K175" s="351"/>
      <c r="L175" s="351"/>
      <c r="M175" s="351"/>
      <c r="N175" s="351"/>
      <c r="O175" s="351"/>
      <c r="P175" s="351"/>
      <c r="Q175" s="351"/>
      <c r="R175" s="351"/>
      <c r="S175" s="351"/>
    </row>
    <row r="176" spans="1:19" hidden="1" x14ac:dyDescent="0.2">
      <c r="A176" s="351"/>
      <c r="B176" s="367"/>
      <c r="C176" s="351"/>
      <c r="D176" s="351"/>
      <c r="E176" s="367"/>
      <c r="F176" s="351"/>
      <c r="G176" s="351"/>
      <c r="H176" s="351"/>
      <c r="I176" s="351"/>
      <c r="J176" s="351"/>
      <c r="K176" s="351"/>
      <c r="L176" s="351"/>
      <c r="M176" s="351"/>
      <c r="N176" s="351"/>
      <c r="O176" s="351"/>
      <c r="P176" s="351"/>
      <c r="Q176" s="351"/>
      <c r="R176" s="351"/>
      <c r="S176" s="351"/>
    </row>
    <row r="177" spans="1:19" hidden="1" x14ac:dyDescent="0.2">
      <c r="A177" s="351"/>
      <c r="B177" s="367"/>
      <c r="C177" s="351"/>
      <c r="D177" s="351"/>
      <c r="E177" s="367"/>
      <c r="F177" s="351"/>
      <c r="G177" s="351"/>
      <c r="H177" s="351"/>
      <c r="I177" s="351"/>
      <c r="J177" s="351"/>
      <c r="K177" s="351"/>
      <c r="L177" s="351"/>
      <c r="M177" s="351"/>
      <c r="N177" s="351"/>
      <c r="O177" s="351"/>
      <c r="P177" s="351"/>
      <c r="Q177" s="351"/>
      <c r="R177" s="351"/>
      <c r="S177" s="351"/>
    </row>
    <row r="178" spans="1:19" hidden="1" x14ac:dyDescent="0.2">
      <c r="A178" s="351"/>
      <c r="B178" s="367"/>
      <c r="C178" s="351"/>
      <c r="D178" s="351"/>
      <c r="E178" s="367"/>
      <c r="F178" s="351"/>
      <c r="G178" s="351"/>
      <c r="H178" s="351"/>
      <c r="I178" s="351"/>
      <c r="J178" s="351"/>
      <c r="K178" s="351"/>
      <c r="L178" s="351"/>
      <c r="M178" s="351"/>
      <c r="N178" s="351"/>
      <c r="O178" s="351"/>
      <c r="P178" s="351"/>
      <c r="Q178" s="351"/>
      <c r="R178" s="351"/>
      <c r="S178" s="351"/>
    </row>
    <row r="179" spans="1:19" hidden="1" x14ac:dyDescent="0.2">
      <c r="A179" s="351"/>
      <c r="B179" s="367"/>
      <c r="C179" s="351"/>
      <c r="D179" s="351"/>
      <c r="E179" s="367"/>
      <c r="F179" s="351"/>
      <c r="G179" s="351"/>
      <c r="H179" s="351"/>
      <c r="I179" s="351"/>
      <c r="J179" s="351"/>
      <c r="K179" s="351"/>
      <c r="L179" s="351"/>
      <c r="M179" s="351"/>
      <c r="N179" s="351"/>
      <c r="O179" s="351"/>
      <c r="P179" s="351"/>
      <c r="Q179" s="351"/>
      <c r="R179" s="351"/>
      <c r="S179" s="351"/>
    </row>
    <row r="180" spans="1:19" hidden="1" x14ac:dyDescent="0.2">
      <c r="A180" s="351"/>
      <c r="B180" s="367"/>
      <c r="C180" s="351"/>
      <c r="D180" s="351"/>
      <c r="E180" s="367"/>
      <c r="F180" s="351"/>
      <c r="G180" s="351"/>
      <c r="H180" s="351"/>
      <c r="I180" s="351"/>
      <c r="J180" s="351"/>
      <c r="K180" s="351"/>
      <c r="L180" s="351"/>
      <c r="M180" s="351"/>
      <c r="N180" s="351"/>
      <c r="O180" s="351"/>
      <c r="P180" s="351"/>
      <c r="Q180" s="351"/>
      <c r="R180" s="351"/>
      <c r="S180" s="351"/>
    </row>
    <row r="181" spans="1:19" hidden="1" x14ac:dyDescent="0.2">
      <c r="A181" s="351"/>
      <c r="B181" s="367"/>
      <c r="C181" s="351"/>
      <c r="D181" s="351"/>
      <c r="E181" s="367"/>
      <c r="F181" s="351"/>
      <c r="G181" s="351"/>
      <c r="H181" s="351"/>
      <c r="I181" s="351"/>
      <c r="J181" s="351"/>
      <c r="K181" s="351"/>
      <c r="L181" s="351"/>
      <c r="M181" s="351"/>
      <c r="N181" s="351"/>
      <c r="O181" s="351"/>
      <c r="P181" s="351"/>
      <c r="Q181" s="351"/>
      <c r="R181" s="351"/>
      <c r="S181" s="351"/>
    </row>
    <row r="182" spans="1:19" hidden="1" x14ac:dyDescent="0.2">
      <c r="A182" s="351"/>
      <c r="B182" s="367"/>
      <c r="C182" s="351"/>
      <c r="D182" s="351"/>
      <c r="E182" s="367"/>
      <c r="F182" s="351"/>
      <c r="G182" s="351"/>
      <c r="H182" s="351"/>
      <c r="I182" s="351"/>
      <c r="J182" s="351"/>
      <c r="K182" s="351"/>
      <c r="L182" s="351"/>
      <c r="M182" s="351"/>
      <c r="N182" s="351"/>
      <c r="O182" s="351"/>
      <c r="P182" s="351"/>
      <c r="Q182" s="351"/>
      <c r="R182" s="351"/>
      <c r="S182" s="351"/>
    </row>
    <row r="183" spans="1:19" hidden="1" x14ac:dyDescent="0.2">
      <c r="A183" s="351"/>
      <c r="B183" s="367"/>
      <c r="C183" s="351"/>
      <c r="D183" s="351"/>
      <c r="E183" s="367"/>
      <c r="F183" s="351"/>
      <c r="G183" s="351"/>
      <c r="H183" s="351"/>
      <c r="I183" s="351"/>
      <c r="J183" s="351"/>
      <c r="K183" s="351"/>
      <c r="L183" s="351"/>
      <c r="M183" s="351"/>
      <c r="N183" s="351"/>
      <c r="O183" s="351"/>
      <c r="P183" s="351"/>
      <c r="Q183" s="351"/>
      <c r="R183" s="351"/>
      <c r="S183" s="351"/>
    </row>
    <row r="184" spans="1:19" hidden="1" x14ac:dyDescent="0.2">
      <c r="A184" s="351"/>
      <c r="B184" s="367"/>
      <c r="C184" s="351"/>
      <c r="D184" s="351"/>
      <c r="E184" s="367"/>
      <c r="F184" s="351"/>
      <c r="G184" s="351"/>
      <c r="H184" s="351"/>
      <c r="I184" s="351"/>
      <c r="J184" s="351"/>
      <c r="K184" s="351"/>
      <c r="L184" s="351"/>
      <c r="M184" s="351"/>
      <c r="N184" s="351"/>
      <c r="O184" s="351"/>
      <c r="P184" s="351"/>
      <c r="Q184" s="351"/>
      <c r="R184" s="351"/>
      <c r="S184" s="351"/>
    </row>
    <row r="185" spans="1:19" hidden="1" x14ac:dyDescent="0.2">
      <c r="A185" s="351"/>
      <c r="B185" s="367"/>
      <c r="C185" s="351"/>
      <c r="D185" s="351"/>
      <c r="E185" s="367"/>
      <c r="F185" s="351"/>
      <c r="G185" s="351"/>
      <c r="H185" s="351"/>
      <c r="I185" s="351"/>
      <c r="J185" s="351"/>
      <c r="K185" s="351"/>
      <c r="L185" s="351"/>
      <c r="M185" s="351"/>
      <c r="N185" s="351"/>
      <c r="O185" s="351"/>
      <c r="P185" s="351"/>
      <c r="Q185" s="351"/>
      <c r="R185" s="351"/>
      <c r="S185" s="351"/>
    </row>
    <row r="186" spans="1:19" hidden="1" x14ac:dyDescent="0.2">
      <c r="A186" s="351"/>
      <c r="B186" s="367"/>
      <c r="C186" s="351"/>
      <c r="D186" s="351"/>
      <c r="E186" s="367"/>
      <c r="F186" s="351"/>
      <c r="G186" s="351"/>
      <c r="H186" s="351"/>
      <c r="I186" s="351"/>
      <c r="J186" s="351"/>
      <c r="K186" s="351"/>
      <c r="L186" s="351"/>
      <c r="M186" s="351"/>
      <c r="N186" s="351"/>
      <c r="O186" s="351"/>
      <c r="P186" s="351"/>
      <c r="Q186" s="351"/>
      <c r="R186" s="351"/>
      <c r="S186" s="351"/>
    </row>
    <row r="187" spans="1:19" hidden="1" x14ac:dyDescent="0.2">
      <c r="A187" s="351"/>
      <c r="B187" s="367"/>
      <c r="C187" s="351"/>
      <c r="D187" s="351"/>
      <c r="E187" s="367"/>
      <c r="F187" s="351"/>
      <c r="G187" s="351"/>
      <c r="H187" s="351"/>
      <c r="I187" s="351"/>
      <c r="J187" s="351"/>
      <c r="K187" s="351"/>
      <c r="L187" s="351"/>
      <c r="M187" s="351"/>
      <c r="N187" s="351"/>
      <c r="O187" s="351"/>
      <c r="P187" s="351"/>
      <c r="Q187" s="351"/>
      <c r="R187" s="351"/>
      <c r="S187" s="351"/>
    </row>
    <row r="188" spans="1:19" hidden="1" x14ac:dyDescent="0.2">
      <c r="A188" s="351"/>
      <c r="B188" s="367"/>
      <c r="C188" s="351"/>
      <c r="D188" s="351"/>
      <c r="E188" s="367"/>
      <c r="F188" s="351"/>
      <c r="G188" s="351"/>
      <c r="H188" s="351"/>
      <c r="I188" s="351"/>
      <c r="J188" s="351"/>
      <c r="K188" s="351"/>
      <c r="L188" s="351"/>
      <c r="M188" s="351"/>
      <c r="N188" s="351"/>
      <c r="O188" s="351"/>
      <c r="P188" s="351"/>
      <c r="Q188" s="351"/>
      <c r="R188" s="351"/>
      <c r="S188" s="351"/>
    </row>
    <row r="189" spans="1:19" hidden="1" x14ac:dyDescent="0.2">
      <c r="A189" s="351"/>
      <c r="B189" s="367"/>
      <c r="C189" s="351"/>
      <c r="D189" s="351"/>
      <c r="E189" s="367"/>
      <c r="F189" s="351"/>
      <c r="G189" s="351"/>
      <c r="H189" s="351"/>
      <c r="I189" s="351"/>
      <c r="J189" s="351"/>
      <c r="K189" s="351"/>
      <c r="L189" s="351"/>
      <c r="M189" s="351"/>
      <c r="N189" s="351"/>
      <c r="O189" s="351"/>
      <c r="P189" s="351"/>
      <c r="Q189" s="351"/>
      <c r="R189" s="351"/>
      <c r="S189" s="351"/>
    </row>
    <row r="190" spans="1:19" hidden="1" x14ac:dyDescent="0.2">
      <c r="A190" s="351"/>
      <c r="B190" s="367"/>
      <c r="C190" s="351"/>
      <c r="D190" s="351"/>
      <c r="E190" s="367"/>
      <c r="F190" s="351"/>
      <c r="G190" s="351"/>
      <c r="H190" s="351"/>
      <c r="I190" s="351"/>
      <c r="J190" s="351"/>
      <c r="K190" s="351"/>
      <c r="L190" s="351"/>
      <c r="M190" s="351"/>
      <c r="N190" s="351"/>
      <c r="O190" s="351"/>
      <c r="P190" s="351"/>
      <c r="Q190" s="351"/>
      <c r="R190" s="351"/>
      <c r="S190" s="351"/>
    </row>
    <row r="191" spans="1:19" hidden="1" x14ac:dyDescent="0.2">
      <c r="A191" s="351"/>
      <c r="B191" s="367"/>
      <c r="C191" s="351"/>
      <c r="D191" s="351"/>
      <c r="E191" s="367"/>
      <c r="F191" s="351"/>
      <c r="G191" s="351"/>
      <c r="H191" s="351"/>
      <c r="I191" s="351"/>
      <c r="J191" s="351"/>
      <c r="K191" s="351"/>
      <c r="L191" s="351"/>
      <c r="M191" s="351"/>
      <c r="N191" s="351"/>
      <c r="O191" s="351"/>
      <c r="P191" s="351"/>
      <c r="Q191" s="351"/>
      <c r="R191" s="351"/>
      <c r="S191" s="351"/>
    </row>
    <row r="192" spans="1:19" hidden="1" x14ac:dyDescent="0.2">
      <c r="A192" s="351"/>
      <c r="B192" s="367"/>
      <c r="C192" s="351"/>
      <c r="D192" s="351"/>
      <c r="E192" s="367"/>
      <c r="F192" s="351"/>
      <c r="G192" s="351"/>
      <c r="H192" s="351"/>
      <c r="I192" s="351"/>
      <c r="J192" s="351"/>
      <c r="K192" s="351"/>
      <c r="L192" s="351"/>
      <c r="M192" s="351"/>
      <c r="N192" s="351"/>
      <c r="O192" s="351"/>
      <c r="P192" s="351"/>
      <c r="Q192" s="351"/>
      <c r="R192" s="351"/>
      <c r="S192" s="351"/>
    </row>
    <row r="193" spans="1:19" hidden="1" x14ac:dyDescent="0.2">
      <c r="A193" s="351"/>
      <c r="B193" s="367"/>
      <c r="C193" s="351"/>
      <c r="D193" s="351"/>
      <c r="E193" s="367"/>
      <c r="F193" s="351"/>
      <c r="G193" s="351"/>
      <c r="H193" s="351"/>
      <c r="I193" s="351"/>
      <c r="J193" s="351"/>
      <c r="K193" s="351"/>
      <c r="L193" s="351"/>
      <c r="M193" s="351"/>
      <c r="N193" s="351"/>
      <c r="O193" s="351"/>
      <c r="P193" s="351"/>
      <c r="Q193" s="351"/>
      <c r="R193" s="351"/>
      <c r="S193" s="351"/>
    </row>
    <row r="194" spans="1:19" hidden="1" x14ac:dyDescent="0.2">
      <c r="A194" s="351"/>
      <c r="B194" s="367"/>
      <c r="C194" s="351"/>
      <c r="D194" s="351"/>
      <c r="E194" s="367"/>
      <c r="F194" s="351"/>
      <c r="G194" s="351"/>
      <c r="H194" s="351"/>
      <c r="I194" s="351"/>
      <c r="J194" s="351"/>
      <c r="K194" s="351"/>
      <c r="L194" s="351"/>
      <c r="M194" s="351"/>
      <c r="N194" s="351"/>
      <c r="O194" s="351"/>
      <c r="P194" s="351"/>
      <c r="Q194" s="351"/>
      <c r="R194" s="351"/>
      <c r="S194" s="351"/>
    </row>
    <row r="195" spans="1:19" hidden="1" x14ac:dyDescent="0.2">
      <c r="A195" s="351"/>
      <c r="B195" s="367"/>
      <c r="C195" s="351"/>
      <c r="D195" s="351"/>
      <c r="E195" s="367"/>
      <c r="F195" s="351"/>
      <c r="G195" s="351"/>
      <c r="H195" s="351"/>
      <c r="I195" s="351"/>
      <c r="J195" s="351"/>
      <c r="K195" s="351"/>
      <c r="L195" s="351"/>
      <c r="M195" s="351"/>
      <c r="N195" s="351"/>
      <c r="O195" s="351"/>
      <c r="P195" s="351"/>
      <c r="Q195" s="351"/>
      <c r="R195" s="351"/>
      <c r="S195" s="351"/>
    </row>
    <row r="196" spans="1:19" hidden="1" x14ac:dyDescent="0.2">
      <c r="A196" s="351"/>
      <c r="B196" s="367"/>
      <c r="C196" s="351"/>
      <c r="D196" s="351"/>
      <c r="E196" s="367"/>
      <c r="F196" s="351"/>
      <c r="G196" s="351"/>
      <c r="H196" s="351"/>
      <c r="I196" s="351"/>
      <c r="J196" s="351"/>
      <c r="K196" s="351"/>
      <c r="L196" s="351"/>
      <c r="M196" s="351"/>
      <c r="N196" s="351"/>
      <c r="O196" s="351"/>
      <c r="P196" s="351"/>
      <c r="Q196" s="351"/>
      <c r="R196" s="351"/>
      <c r="S196" s="351"/>
    </row>
    <row r="197" spans="1:19" hidden="1" x14ac:dyDescent="0.2">
      <c r="A197" s="351"/>
      <c r="B197" s="367"/>
      <c r="C197" s="351"/>
      <c r="D197" s="351"/>
      <c r="E197" s="367"/>
      <c r="F197" s="351"/>
      <c r="G197" s="351"/>
      <c r="H197" s="351"/>
      <c r="I197" s="351"/>
      <c r="J197" s="351"/>
      <c r="K197" s="351"/>
      <c r="L197" s="351"/>
      <c r="M197" s="351"/>
      <c r="N197" s="351"/>
      <c r="O197" s="351"/>
      <c r="P197" s="351"/>
      <c r="Q197" s="351"/>
      <c r="R197" s="351"/>
      <c r="S197" s="351"/>
    </row>
    <row r="198" spans="1:19" hidden="1" x14ac:dyDescent="0.2">
      <c r="A198" s="351"/>
      <c r="B198" s="367"/>
      <c r="C198" s="351"/>
      <c r="D198" s="351"/>
      <c r="E198" s="367"/>
      <c r="F198" s="351"/>
      <c r="G198" s="351"/>
      <c r="H198" s="351"/>
      <c r="I198" s="351"/>
      <c r="J198" s="351"/>
      <c r="K198" s="351"/>
      <c r="L198" s="351"/>
      <c r="M198" s="351"/>
      <c r="N198" s="351"/>
      <c r="O198" s="351"/>
      <c r="P198" s="351"/>
      <c r="Q198" s="351"/>
      <c r="R198" s="351"/>
      <c r="S198" s="351"/>
    </row>
    <row r="199" spans="1:19" hidden="1" x14ac:dyDescent="0.2">
      <c r="A199" s="351"/>
      <c r="B199" s="367"/>
      <c r="C199" s="351"/>
      <c r="D199" s="351"/>
      <c r="E199" s="367"/>
      <c r="F199" s="351"/>
      <c r="G199" s="351"/>
      <c r="H199" s="351"/>
      <c r="I199" s="351"/>
      <c r="J199" s="351"/>
      <c r="K199" s="351"/>
      <c r="L199" s="351"/>
      <c r="M199" s="351"/>
      <c r="N199" s="351"/>
      <c r="O199" s="351"/>
      <c r="P199" s="351"/>
      <c r="Q199" s="351"/>
      <c r="R199" s="351"/>
      <c r="S199" s="351"/>
    </row>
    <row r="200" spans="1:19" hidden="1" x14ac:dyDescent="0.2">
      <c r="A200" s="351"/>
      <c r="B200" s="367"/>
      <c r="C200" s="351"/>
      <c r="D200" s="351"/>
      <c r="E200" s="367"/>
      <c r="F200" s="351"/>
      <c r="G200" s="351"/>
      <c r="H200" s="351"/>
      <c r="I200" s="351"/>
      <c r="J200" s="351"/>
      <c r="K200" s="351"/>
      <c r="L200" s="351"/>
      <c r="M200" s="351"/>
      <c r="N200" s="351"/>
      <c r="O200" s="351"/>
      <c r="P200" s="351"/>
      <c r="Q200" s="351"/>
      <c r="R200" s="351"/>
      <c r="S200" s="351"/>
    </row>
    <row r="201" spans="1:19" hidden="1" x14ac:dyDescent="0.2">
      <c r="A201" s="351"/>
      <c r="B201" s="367"/>
      <c r="C201" s="351"/>
      <c r="D201" s="351"/>
      <c r="E201" s="367"/>
      <c r="F201" s="351"/>
      <c r="G201" s="351"/>
      <c r="H201" s="351"/>
      <c r="I201" s="351"/>
      <c r="J201" s="351"/>
      <c r="K201" s="351"/>
      <c r="L201" s="351"/>
      <c r="M201" s="351"/>
      <c r="N201" s="351"/>
      <c r="O201" s="351"/>
      <c r="P201" s="351"/>
      <c r="Q201" s="351"/>
      <c r="R201" s="351"/>
      <c r="S201" s="351"/>
    </row>
    <row r="202" spans="1:19" hidden="1" x14ac:dyDescent="0.2">
      <c r="A202" s="351"/>
      <c r="B202" s="367"/>
      <c r="C202" s="351"/>
      <c r="D202" s="351"/>
      <c r="E202" s="367"/>
      <c r="F202" s="351"/>
      <c r="G202" s="351"/>
      <c r="H202" s="351"/>
      <c r="I202" s="351"/>
      <c r="J202" s="351"/>
      <c r="K202" s="351"/>
      <c r="L202" s="351"/>
      <c r="M202" s="351"/>
      <c r="N202" s="351"/>
      <c r="O202" s="351"/>
      <c r="P202" s="351"/>
      <c r="Q202" s="351"/>
      <c r="R202" s="351"/>
      <c r="S202" s="351"/>
    </row>
    <row r="203" spans="1:19" hidden="1" x14ac:dyDescent="0.2">
      <c r="A203" s="351"/>
      <c r="B203" s="367"/>
      <c r="C203" s="351"/>
      <c r="D203" s="351"/>
      <c r="E203" s="367"/>
      <c r="F203" s="351"/>
      <c r="G203" s="351"/>
      <c r="H203" s="351"/>
      <c r="I203" s="351"/>
      <c r="J203" s="351"/>
      <c r="K203" s="351"/>
      <c r="L203" s="351"/>
      <c r="M203" s="351"/>
      <c r="N203" s="351"/>
      <c r="O203" s="351"/>
      <c r="P203" s="351"/>
      <c r="Q203" s="351"/>
      <c r="R203" s="351"/>
      <c r="S203" s="351"/>
    </row>
    <row r="204" spans="1:19" hidden="1" x14ac:dyDescent="0.2">
      <c r="A204" s="351"/>
      <c r="B204" s="367"/>
      <c r="C204" s="351"/>
      <c r="D204" s="351"/>
      <c r="E204" s="367"/>
      <c r="F204" s="351"/>
      <c r="G204" s="351"/>
      <c r="H204" s="351"/>
      <c r="I204" s="351"/>
      <c r="J204" s="351"/>
      <c r="K204" s="351"/>
      <c r="L204" s="351"/>
      <c r="M204" s="351"/>
      <c r="N204" s="351"/>
      <c r="O204" s="351"/>
      <c r="P204" s="351"/>
      <c r="Q204" s="351"/>
      <c r="R204" s="351"/>
      <c r="S204" s="351"/>
    </row>
    <row r="205" spans="1:19" hidden="1" x14ac:dyDescent="0.2">
      <c r="A205" s="351"/>
      <c r="B205" s="367"/>
      <c r="C205" s="351"/>
      <c r="D205" s="351"/>
      <c r="E205" s="367"/>
      <c r="F205" s="351"/>
      <c r="G205" s="351"/>
      <c r="H205" s="351"/>
      <c r="I205" s="351"/>
      <c r="J205" s="351"/>
      <c r="K205" s="351"/>
      <c r="L205" s="351"/>
      <c r="M205" s="351"/>
      <c r="N205" s="351"/>
      <c r="O205" s="351"/>
      <c r="P205" s="351"/>
      <c r="Q205" s="351"/>
      <c r="R205" s="351"/>
      <c r="S205" s="351"/>
    </row>
    <row r="206" spans="1:19" hidden="1" x14ac:dyDescent="0.2">
      <c r="A206" s="351"/>
      <c r="B206" s="367"/>
      <c r="C206" s="351"/>
      <c r="D206" s="351"/>
      <c r="E206" s="367"/>
      <c r="F206" s="351"/>
      <c r="G206" s="351"/>
      <c r="H206" s="351"/>
      <c r="I206" s="351"/>
      <c r="J206" s="351"/>
      <c r="K206" s="351"/>
      <c r="L206" s="351"/>
      <c r="M206" s="351"/>
      <c r="N206" s="351"/>
      <c r="O206" s="351"/>
      <c r="P206" s="351"/>
      <c r="Q206" s="351"/>
      <c r="R206" s="351"/>
      <c r="S206" s="351"/>
    </row>
    <row r="207" spans="1:19" hidden="1" x14ac:dyDescent="0.2">
      <c r="A207" s="351"/>
      <c r="B207" s="367"/>
      <c r="C207" s="351"/>
      <c r="D207" s="351"/>
      <c r="E207" s="367"/>
      <c r="F207" s="351"/>
      <c r="G207" s="351"/>
      <c r="H207" s="351"/>
      <c r="I207" s="351"/>
      <c r="J207" s="351"/>
      <c r="K207" s="351"/>
      <c r="L207" s="351"/>
      <c r="M207" s="351"/>
      <c r="N207" s="351"/>
      <c r="O207" s="351"/>
      <c r="P207" s="351"/>
      <c r="Q207" s="351"/>
      <c r="R207" s="351"/>
      <c r="S207" s="351"/>
    </row>
    <row r="208" spans="1:19" hidden="1" x14ac:dyDescent="0.2">
      <c r="A208" s="351"/>
      <c r="B208" s="367"/>
      <c r="C208" s="351"/>
      <c r="D208" s="351"/>
      <c r="E208" s="367"/>
      <c r="F208" s="351"/>
      <c r="G208" s="351"/>
      <c r="H208" s="351"/>
      <c r="I208" s="351"/>
      <c r="J208" s="351"/>
      <c r="K208" s="351"/>
      <c r="L208" s="351"/>
      <c r="M208" s="351"/>
      <c r="N208" s="351"/>
      <c r="O208" s="351"/>
      <c r="P208" s="351"/>
      <c r="Q208" s="351"/>
      <c r="R208" s="351"/>
      <c r="S208" s="351"/>
    </row>
    <row r="209" spans="1:19" hidden="1" x14ac:dyDescent="0.2">
      <c r="A209" s="351"/>
      <c r="B209" s="367"/>
      <c r="C209" s="351"/>
      <c r="D209" s="351"/>
      <c r="E209" s="367"/>
      <c r="F209" s="351"/>
      <c r="G209" s="351"/>
      <c r="H209" s="351"/>
      <c r="I209" s="351"/>
      <c r="J209" s="351"/>
      <c r="K209" s="351"/>
      <c r="L209" s="351"/>
      <c r="M209" s="351"/>
      <c r="N209" s="351"/>
      <c r="O209" s="351"/>
      <c r="P209" s="351"/>
      <c r="Q209" s="351"/>
      <c r="R209" s="351"/>
      <c r="S209" s="351"/>
    </row>
    <row r="210" spans="1:19" hidden="1" x14ac:dyDescent="0.2">
      <c r="A210" s="351"/>
      <c r="B210" s="367"/>
      <c r="C210" s="351"/>
      <c r="D210" s="351"/>
      <c r="E210" s="367"/>
      <c r="F210" s="351"/>
      <c r="G210" s="351"/>
      <c r="H210" s="351"/>
      <c r="I210" s="351"/>
      <c r="J210" s="351"/>
      <c r="K210" s="351"/>
      <c r="L210" s="351"/>
      <c r="M210" s="351"/>
      <c r="N210" s="351"/>
      <c r="O210" s="351"/>
      <c r="P210" s="351"/>
      <c r="Q210" s="351"/>
      <c r="R210" s="351"/>
      <c r="S210" s="351"/>
    </row>
    <row r="211" spans="1:19" hidden="1" x14ac:dyDescent="0.2">
      <c r="A211" s="351"/>
      <c r="B211" s="367"/>
      <c r="C211" s="351"/>
      <c r="D211" s="351"/>
      <c r="E211" s="367"/>
      <c r="F211" s="351"/>
      <c r="G211" s="351"/>
      <c r="H211" s="351"/>
      <c r="I211" s="351"/>
      <c r="J211" s="351"/>
      <c r="K211" s="351"/>
      <c r="L211" s="351"/>
      <c r="M211" s="351"/>
      <c r="N211" s="351"/>
      <c r="O211" s="351"/>
      <c r="P211" s="351"/>
      <c r="Q211" s="351"/>
      <c r="R211" s="351"/>
      <c r="S211" s="351"/>
    </row>
    <row r="212" spans="1:19" hidden="1" x14ac:dyDescent="0.2">
      <c r="A212" s="351"/>
      <c r="B212" s="367"/>
      <c r="C212" s="351"/>
      <c r="D212" s="351"/>
      <c r="E212" s="367"/>
      <c r="F212" s="351"/>
      <c r="G212" s="351"/>
      <c r="H212" s="351"/>
      <c r="I212" s="351"/>
      <c r="J212" s="351"/>
      <c r="K212" s="351"/>
      <c r="L212" s="351"/>
      <c r="M212" s="351"/>
      <c r="N212" s="351"/>
      <c r="O212" s="351"/>
      <c r="P212" s="351"/>
      <c r="Q212" s="351"/>
      <c r="R212" s="351"/>
      <c r="S212" s="351"/>
    </row>
    <row r="213" spans="1:19" hidden="1" x14ac:dyDescent="0.2">
      <c r="A213" s="351"/>
      <c r="B213" s="367"/>
      <c r="C213" s="351"/>
      <c r="D213" s="351"/>
      <c r="E213" s="367"/>
      <c r="F213" s="351"/>
      <c r="G213" s="351"/>
      <c r="H213" s="351"/>
      <c r="I213" s="351"/>
      <c r="J213" s="351"/>
      <c r="K213" s="351"/>
      <c r="L213" s="351"/>
      <c r="M213" s="351"/>
      <c r="N213" s="351"/>
      <c r="O213" s="351"/>
      <c r="P213" s="351"/>
      <c r="Q213" s="351"/>
      <c r="R213" s="351"/>
      <c r="S213" s="351"/>
    </row>
    <row r="214" spans="1:19" hidden="1" x14ac:dyDescent="0.2">
      <c r="A214" s="351"/>
      <c r="B214" s="367"/>
      <c r="C214" s="351"/>
      <c r="D214" s="351"/>
      <c r="E214" s="367"/>
      <c r="F214" s="351"/>
      <c r="G214" s="351"/>
      <c r="H214" s="351"/>
      <c r="I214" s="351"/>
      <c r="J214" s="351"/>
      <c r="K214" s="351"/>
      <c r="L214" s="351"/>
      <c r="M214" s="351"/>
      <c r="N214" s="351"/>
      <c r="O214" s="351"/>
      <c r="P214" s="351"/>
      <c r="Q214" s="351"/>
      <c r="R214" s="351"/>
      <c r="S214" s="351"/>
    </row>
    <row r="215" spans="1:19" hidden="1" x14ac:dyDescent="0.2">
      <c r="A215" s="351"/>
      <c r="B215" s="367"/>
      <c r="C215" s="351"/>
      <c r="D215" s="351"/>
      <c r="E215" s="367"/>
      <c r="F215" s="351"/>
      <c r="G215" s="351"/>
      <c r="H215" s="351"/>
      <c r="I215" s="351"/>
      <c r="J215" s="351"/>
      <c r="K215" s="351"/>
      <c r="L215" s="351"/>
      <c r="M215" s="351"/>
      <c r="N215" s="351"/>
      <c r="O215" s="351"/>
      <c r="P215" s="351"/>
      <c r="Q215" s="351"/>
      <c r="R215" s="351"/>
      <c r="S215" s="351"/>
    </row>
    <row r="216" spans="1:19" hidden="1" x14ac:dyDescent="0.2">
      <c r="A216" s="351"/>
      <c r="B216" s="367"/>
      <c r="C216" s="351"/>
      <c r="D216" s="351"/>
      <c r="E216" s="367"/>
      <c r="F216" s="351"/>
      <c r="G216" s="351"/>
      <c r="H216" s="351"/>
      <c r="I216" s="351"/>
      <c r="J216" s="351"/>
      <c r="K216" s="351"/>
      <c r="L216" s="351"/>
      <c r="M216" s="351"/>
      <c r="N216" s="351"/>
      <c r="O216" s="351"/>
      <c r="P216" s="351"/>
      <c r="Q216" s="351"/>
      <c r="R216" s="351"/>
      <c r="S216" s="351"/>
    </row>
    <row r="217" spans="1:19" hidden="1" x14ac:dyDescent="0.2">
      <c r="A217" s="351"/>
      <c r="B217" s="367"/>
      <c r="C217" s="351"/>
      <c r="D217" s="351"/>
      <c r="E217" s="367"/>
      <c r="F217" s="351"/>
      <c r="G217" s="351"/>
      <c r="H217" s="351"/>
      <c r="I217" s="351"/>
      <c r="J217" s="351"/>
      <c r="K217" s="351"/>
      <c r="L217" s="351"/>
      <c r="M217" s="351"/>
      <c r="N217" s="351"/>
      <c r="O217" s="351"/>
      <c r="P217" s="351"/>
      <c r="Q217" s="351"/>
      <c r="R217" s="351"/>
      <c r="S217" s="351"/>
    </row>
    <row r="218" spans="1:19" hidden="1" x14ac:dyDescent="0.2">
      <c r="A218" s="351"/>
      <c r="B218" s="367"/>
      <c r="C218" s="351"/>
      <c r="D218" s="351"/>
      <c r="E218" s="367"/>
      <c r="F218" s="351"/>
      <c r="G218" s="351"/>
      <c r="H218" s="351"/>
      <c r="I218" s="351"/>
      <c r="J218" s="351"/>
      <c r="K218" s="351"/>
      <c r="L218" s="351"/>
      <c r="M218" s="351"/>
      <c r="N218" s="351"/>
      <c r="O218" s="351"/>
      <c r="P218" s="351"/>
      <c r="Q218" s="351"/>
      <c r="R218" s="351"/>
      <c r="S218" s="351"/>
    </row>
    <row r="219" spans="1:19" hidden="1" x14ac:dyDescent="0.2">
      <c r="A219" s="351"/>
      <c r="B219" s="367"/>
      <c r="C219" s="351"/>
      <c r="D219" s="351"/>
      <c r="E219" s="367"/>
      <c r="F219" s="351"/>
      <c r="G219" s="351"/>
      <c r="H219" s="351"/>
      <c r="I219" s="351"/>
      <c r="J219" s="351"/>
      <c r="K219" s="351"/>
      <c r="L219" s="351"/>
      <c r="M219" s="351"/>
      <c r="N219" s="351"/>
      <c r="O219" s="351"/>
      <c r="P219" s="351"/>
      <c r="Q219" s="351"/>
      <c r="R219" s="351"/>
      <c r="S219" s="351"/>
    </row>
    <row r="220" spans="1:19" hidden="1" x14ac:dyDescent="0.2">
      <c r="A220" s="351"/>
      <c r="B220" s="367"/>
      <c r="C220" s="351"/>
      <c r="D220" s="351"/>
      <c r="E220" s="367"/>
      <c r="F220" s="351"/>
      <c r="G220" s="351"/>
      <c r="H220" s="351"/>
      <c r="I220" s="351"/>
      <c r="J220" s="351"/>
      <c r="K220" s="351"/>
      <c r="L220" s="351"/>
      <c r="M220" s="351"/>
      <c r="N220" s="351"/>
      <c r="O220" s="351"/>
      <c r="P220" s="351"/>
      <c r="Q220" s="351"/>
      <c r="R220" s="351"/>
      <c r="S220" s="351"/>
    </row>
    <row r="221" spans="1:19" hidden="1" x14ac:dyDescent="0.2">
      <c r="A221" s="351"/>
      <c r="B221" s="367"/>
      <c r="C221" s="351"/>
      <c r="D221" s="351"/>
      <c r="E221" s="367"/>
      <c r="F221" s="351"/>
      <c r="G221" s="351"/>
      <c r="H221" s="351"/>
      <c r="I221" s="351"/>
      <c r="J221" s="351"/>
      <c r="K221" s="351"/>
      <c r="L221" s="351"/>
      <c r="M221" s="351"/>
      <c r="N221" s="351"/>
      <c r="O221" s="351"/>
      <c r="P221" s="351"/>
      <c r="Q221" s="351"/>
      <c r="R221" s="351"/>
      <c r="S221" s="351"/>
    </row>
    <row r="222" spans="1:19" hidden="1" x14ac:dyDescent="0.2">
      <c r="A222" s="351"/>
      <c r="B222" s="367"/>
      <c r="C222" s="351"/>
      <c r="D222" s="351"/>
      <c r="E222" s="367"/>
      <c r="F222" s="351"/>
      <c r="G222" s="351"/>
      <c r="H222" s="351"/>
      <c r="I222" s="351"/>
      <c r="J222" s="351"/>
      <c r="K222" s="351"/>
      <c r="L222" s="351"/>
      <c r="M222" s="351"/>
      <c r="N222" s="351"/>
      <c r="O222" s="351"/>
      <c r="P222" s="351"/>
      <c r="Q222" s="351"/>
      <c r="R222" s="351"/>
      <c r="S222" s="351"/>
    </row>
    <row r="223" spans="1:19" hidden="1" x14ac:dyDescent="0.2">
      <c r="A223" s="351"/>
      <c r="B223" s="367"/>
      <c r="C223" s="351"/>
      <c r="D223" s="351"/>
      <c r="E223" s="367"/>
      <c r="F223" s="351"/>
      <c r="G223" s="351"/>
      <c r="H223" s="351"/>
      <c r="I223" s="351"/>
      <c r="J223" s="351"/>
      <c r="K223" s="351"/>
      <c r="L223" s="351"/>
      <c r="M223" s="351"/>
      <c r="N223" s="351"/>
      <c r="O223" s="351"/>
      <c r="P223" s="351"/>
      <c r="Q223" s="351"/>
      <c r="R223" s="351"/>
      <c r="S223" s="351"/>
    </row>
    <row r="224" spans="1:19" hidden="1" x14ac:dyDescent="0.2">
      <c r="A224" s="351"/>
      <c r="B224" s="367"/>
      <c r="C224" s="351"/>
      <c r="D224" s="351"/>
      <c r="E224" s="367"/>
      <c r="F224" s="351"/>
      <c r="G224" s="351"/>
      <c r="H224" s="351"/>
      <c r="I224" s="351"/>
      <c r="J224" s="351"/>
      <c r="K224" s="351"/>
      <c r="L224" s="351"/>
      <c r="M224" s="351"/>
      <c r="N224" s="351"/>
      <c r="O224" s="351"/>
      <c r="P224" s="351"/>
      <c r="Q224" s="351"/>
      <c r="R224" s="351"/>
      <c r="S224" s="351"/>
    </row>
    <row r="225" spans="1:19" hidden="1" x14ac:dyDescent="0.2">
      <c r="A225" s="351"/>
      <c r="B225" s="367"/>
      <c r="C225" s="351"/>
      <c r="D225" s="351"/>
      <c r="E225" s="367"/>
      <c r="F225" s="351"/>
      <c r="G225" s="351"/>
      <c r="H225" s="351"/>
      <c r="I225" s="351"/>
      <c r="J225" s="351"/>
      <c r="K225" s="351"/>
      <c r="L225" s="351"/>
      <c r="M225" s="351"/>
      <c r="N225" s="351"/>
      <c r="O225" s="351"/>
      <c r="P225" s="351"/>
      <c r="Q225" s="351"/>
      <c r="R225" s="351"/>
      <c r="S225" s="351"/>
    </row>
    <row r="226" spans="1:19" hidden="1" x14ac:dyDescent="0.2">
      <c r="A226" s="351"/>
      <c r="B226" s="367"/>
      <c r="C226" s="351"/>
      <c r="D226" s="351"/>
      <c r="E226" s="367"/>
      <c r="F226" s="351"/>
      <c r="G226" s="351"/>
      <c r="H226" s="351"/>
      <c r="I226" s="351"/>
      <c r="J226" s="351"/>
      <c r="K226" s="351"/>
      <c r="L226" s="351"/>
      <c r="M226" s="351"/>
      <c r="N226" s="351"/>
      <c r="O226" s="351"/>
      <c r="P226" s="351"/>
      <c r="Q226" s="351"/>
      <c r="R226" s="351"/>
      <c r="S226" s="351"/>
    </row>
    <row r="227" spans="1:19" hidden="1" x14ac:dyDescent="0.2">
      <c r="A227" s="351"/>
      <c r="B227" s="367"/>
      <c r="C227" s="351"/>
      <c r="D227" s="351"/>
      <c r="E227" s="367"/>
      <c r="F227" s="351"/>
      <c r="G227" s="351"/>
      <c r="H227" s="351"/>
      <c r="I227" s="351"/>
      <c r="J227" s="351"/>
      <c r="K227" s="351"/>
      <c r="L227" s="351"/>
      <c r="M227" s="351"/>
      <c r="N227" s="351"/>
      <c r="O227" s="351"/>
      <c r="P227" s="351"/>
      <c r="Q227" s="351"/>
      <c r="R227" s="351"/>
      <c r="S227" s="351"/>
    </row>
    <row r="228" spans="1:19" hidden="1" x14ac:dyDescent="0.2">
      <c r="A228" s="351"/>
      <c r="B228" s="367"/>
      <c r="C228" s="351"/>
      <c r="D228" s="351"/>
      <c r="E228" s="367"/>
      <c r="F228" s="351"/>
      <c r="G228" s="351"/>
      <c r="H228" s="351"/>
      <c r="I228" s="351"/>
      <c r="J228" s="351"/>
      <c r="K228" s="351"/>
      <c r="L228" s="351"/>
      <c r="M228" s="351"/>
      <c r="N228" s="351"/>
      <c r="O228" s="351"/>
      <c r="P228" s="351"/>
      <c r="Q228" s="351"/>
      <c r="R228" s="351"/>
      <c r="S228" s="351"/>
    </row>
    <row r="229" spans="1:19" hidden="1" x14ac:dyDescent="0.2">
      <c r="A229" s="351"/>
      <c r="B229" s="367"/>
      <c r="C229" s="351"/>
      <c r="D229" s="351"/>
      <c r="E229" s="367"/>
      <c r="F229" s="351"/>
      <c r="G229" s="351"/>
      <c r="H229" s="351"/>
      <c r="I229" s="351"/>
      <c r="J229" s="351"/>
      <c r="K229" s="351"/>
      <c r="L229" s="351"/>
      <c r="M229" s="351"/>
      <c r="N229" s="351"/>
      <c r="O229" s="351"/>
      <c r="P229" s="351"/>
      <c r="Q229" s="351"/>
      <c r="R229" s="351"/>
      <c r="S229" s="351"/>
    </row>
    <row r="230" spans="1:19" hidden="1" x14ac:dyDescent="0.2">
      <c r="A230" s="351"/>
      <c r="B230" s="367"/>
      <c r="C230" s="351"/>
      <c r="D230" s="351"/>
      <c r="E230" s="367"/>
      <c r="F230" s="351"/>
      <c r="G230" s="351"/>
      <c r="H230" s="351"/>
      <c r="I230" s="351"/>
      <c r="J230" s="351"/>
      <c r="K230" s="351"/>
      <c r="L230" s="351"/>
      <c r="M230" s="351"/>
      <c r="N230" s="351"/>
      <c r="O230" s="351"/>
      <c r="P230" s="351"/>
      <c r="Q230" s="351"/>
      <c r="R230" s="351"/>
      <c r="S230" s="351"/>
    </row>
    <row r="231" spans="1:19" hidden="1" x14ac:dyDescent="0.2">
      <c r="A231" s="351"/>
      <c r="B231" s="367"/>
      <c r="C231" s="351"/>
      <c r="D231" s="351"/>
      <c r="E231" s="367"/>
      <c r="F231" s="351"/>
      <c r="G231" s="351"/>
      <c r="H231" s="351"/>
      <c r="I231" s="351"/>
      <c r="J231" s="351"/>
      <c r="K231" s="351"/>
      <c r="L231" s="351"/>
      <c r="M231" s="351"/>
      <c r="N231" s="351"/>
      <c r="O231" s="351"/>
      <c r="P231" s="351"/>
      <c r="Q231" s="351"/>
      <c r="R231" s="351"/>
      <c r="S231" s="351"/>
    </row>
    <row r="232" spans="1:19" hidden="1" x14ac:dyDescent="0.2">
      <c r="B232" s="83"/>
    </row>
    <row r="233" spans="1:19" hidden="1" x14ac:dyDescent="0.2">
      <c r="B233" s="83"/>
    </row>
    <row r="234" spans="1:19" hidden="1" x14ac:dyDescent="0.2">
      <c r="B234" s="83"/>
    </row>
    <row r="235" spans="1:19" hidden="1" x14ac:dyDescent="0.2">
      <c r="B235" s="83"/>
    </row>
    <row r="236" spans="1:19" hidden="1" x14ac:dyDescent="0.2">
      <c r="B236" s="83"/>
    </row>
    <row r="237" spans="1:19" hidden="1" x14ac:dyDescent="0.2">
      <c r="B237" s="83"/>
    </row>
    <row r="238" spans="1:19" hidden="1" x14ac:dyDescent="0.2">
      <c r="B238" s="83"/>
    </row>
    <row r="239" spans="1:19" hidden="1" x14ac:dyDescent="0.2">
      <c r="B239" s="83"/>
    </row>
    <row r="240" spans="1:19" hidden="1" x14ac:dyDescent="0.2">
      <c r="B240" s="83"/>
    </row>
    <row r="241" spans="2:2" hidden="1" x14ac:dyDescent="0.2">
      <c r="B241" s="83"/>
    </row>
    <row r="242" spans="2:2" hidden="1" x14ac:dyDescent="0.2">
      <c r="B242" s="83"/>
    </row>
    <row r="243" spans="2:2" hidden="1" x14ac:dyDescent="0.2">
      <c r="B243" s="83"/>
    </row>
    <row r="244" spans="2:2" hidden="1" x14ac:dyDescent="0.2">
      <c r="B244" s="83"/>
    </row>
    <row r="245" spans="2:2" hidden="1" x14ac:dyDescent="0.2">
      <c r="B245" s="83"/>
    </row>
    <row r="246" spans="2:2" hidden="1" x14ac:dyDescent="0.2">
      <c r="B246" s="83"/>
    </row>
    <row r="247" spans="2:2" hidden="1" x14ac:dyDescent="0.2">
      <c r="B247" s="83"/>
    </row>
    <row r="248" spans="2:2" hidden="1" x14ac:dyDescent="0.2">
      <c r="B248" s="83"/>
    </row>
    <row r="249" spans="2:2" hidden="1" x14ac:dyDescent="0.2">
      <c r="B249" s="83"/>
    </row>
    <row r="250" spans="2:2" hidden="1" x14ac:dyDescent="0.2">
      <c r="B250" s="83"/>
    </row>
    <row r="251" spans="2:2" hidden="1" x14ac:dyDescent="0.2">
      <c r="B251" s="83"/>
    </row>
    <row r="252" spans="2:2" hidden="1" x14ac:dyDescent="0.2">
      <c r="B252" s="83"/>
    </row>
    <row r="253" spans="2:2" hidden="1" x14ac:dyDescent="0.2">
      <c r="B253" s="83"/>
    </row>
    <row r="254" spans="2:2" hidden="1" x14ac:dyDescent="0.2">
      <c r="B254" s="83"/>
    </row>
    <row r="255" spans="2:2" hidden="1" x14ac:dyDescent="0.2">
      <c r="B255" s="83"/>
    </row>
    <row r="256" spans="2:2" hidden="1" x14ac:dyDescent="0.2">
      <c r="B256" s="83"/>
    </row>
    <row r="257" spans="2:2" hidden="1" x14ac:dyDescent="0.2">
      <c r="B257" s="83"/>
    </row>
    <row r="258" spans="2:2" hidden="1" x14ac:dyDescent="0.2">
      <c r="B258" s="83"/>
    </row>
    <row r="259" spans="2:2" hidden="1" x14ac:dyDescent="0.2">
      <c r="B259" s="83"/>
    </row>
    <row r="260" spans="2:2" hidden="1" x14ac:dyDescent="0.2">
      <c r="B260" s="83"/>
    </row>
    <row r="261" spans="2:2" hidden="1" x14ac:dyDescent="0.2">
      <c r="B261" s="83"/>
    </row>
    <row r="262" spans="2:2" hidden="1" x14ac:dyDescent="0.2">
      <c r="B262" s="83"/>
    </row>
    <row r="263" spans="2:2" hidden="1" x14ac:dyDescent="0.2">
      <c r="B263" s="83"/>
    </row>
    <row r="264" spans="2:2" hidden="1" x14ac:dyDescent="0.2">
      <c r="B264" s="83"/>
    </row>
    <row r="265" spans="2:2" hidden="1" x14ac:dyDescent="0.2">
      <c r="B265" s="83"/>
    </row>
    <row r="266" spans="2:2" hidden="1" x14ac:dyDescent="0.2">
      <c r="B266" s="83"/>
    </row>
  </sheetData>
  <sheetProtection password="DCC5" sheet="1" selectLockedCells="1"/>
  <mergeCells count="13">
    <mergeCell ref="A44:E47"/>
    <mergeCell ref="I2:J2"/>
    <mergeCell ref="H32:L32"/>
    <mergeCell ref="I18:L18"/>
    <mergeCell ref="A40:E42"/>
    <mergeCell ref="K36:L36"/>
    <mergeCell ref="K2:L2"/>
    <mergeCell ref="A43:E43"/>
    <mergeCell ref="K24:L24"/>
    <mergeCell ref="G3:L3"/>
    <mergeCell ref="K33:L33"/>
    <mergeCell ref="G1:L1"/>
    <mergeCell ref="P1:S1"/>
  </mergeCells>
  <phoneticPr fontId="0" type="noConversion"/>
  <conditionalFormatting sqref="G4">
    <cfRule type="expression" dxfId="10" priority="55" stopIfTrue="1">
      <formula>IF($G$4&gt;$G$5,TRUE,FALSE)</formula>
    </cfRule>
  </conditionalFormatting>
  <conditionalFormatting sqref="K24:L24">
    <cfRule type="containsText" dxfId="9" priority="23" operator="containsText" text="OVERSPEED">
      <formula>NOT(ISERROR(SEARCH("OVERSPEED",K24)))</formula>
    </cfRule>
  </conditionalFormatting>
  <conditionalFormatting sqref="H32:L32">
    <cfRule type="containsText" dxfId="8" priority="19" operator="containsText" text="lose">
      <formula>NOT(ISERROR(SEARCH("lose",H32)))</formula>
    </cfRule>
  </conditionalFormatting>
  <conditionalFormatting sqref="G32">
    <cfRule type="cellIs" dxfId="7" priority="18" operator="lessThan">
      <formula>0.5</formula>
    </cfRule>
  </conditionalFormatting>
  <conditionalFormatting sqref="A26:G26">
    <cfRule type="expression" dxfId="6" priority="5">
      <formula>IF($C$22=0,TRUE,FALSE)</formula>
    </cfRule>
  </conditionalFormatting>
  <conditionalFormatting sqref="G27:K27">
    <cfRule type="expression" dxfId="5" priority="4">
      <formula>IF($C$22=0,TRUE,FALSE)</formula>
    </cfRule>
  </conditionalFormatting>
  <conditionalFormatting sqref="A20:A21">
    <cfRule type="expression" dxfId="4" priority="3">
      <formula>IF($C$22=0,TRUE,FALSE)</formula>
    </cfRule>
  </conditionalFormatting>
  <conditionalFormatting sqref="G20:G21">
    <cfRule type="expression" dxfId="3" priority="2">
      <formula>IF($C$22=0,TRUE,FALSE)</formula>
    </cfRule>
  </conditionalFormatting>
  <conditionalFormatting sqref="G5">
    <cfRule type="expression" dxfId="2" priority="56" stopIfTrue="1">
      <formula>IF($G$5&gt;$G$6,TRUE,FALSE)</formula>
    </cfRule>
  </conditionalFormatting>
  <conditionalFormatting sqref="K33:L33">
    <cfRule type="expression" dxfId="1" priority="1">
      <formula>IF($G$33&gt;200,"true","false")</formula>
    </cfRule>
  </conditionalFormatting>
  <dataValidations count="4">
    <dataValidation type="list" allowBlank="1" showErrorMessage="1" prompt="Click on arrow" sqref="G19">
      <formula1>MotorList</formula1>
    </dataValidation>
    <dataValidation type="list" allowBlank="1" showErrorMessage="1" prompt="Pick arrow" sqref="G26">
      <formula1>ONOFFlist</formula1>
    </dataValidation>
    <dataValidation type="list" allowBlank="1" showErrorMessage="1" prompt="Click on arrow" sqref="G17">
      <formula1>HPList</formula1>
    </dataValidation>
    <dataValidation type="list" allowBlank="1" showErrorMessage="1" prompt="Click on arrow" sqref="G18">
      <formula1>impactlist</formula1>
    </dataValidation>
  </dataValidations>
  <pageMargins left="0.26" right="0.22" top="0.75" bottom="0.62" header="0.42" footer="0.39"/>
  <pageSetup scale="64" orientation="landscape" r:id="rId1"/>
  <headerFooter alignWithMargins="0">
    <oddFooter>&amp;L&amp;D&amp;C&amp;"Arial,Bold Italic"Tempress&amp;R&amp;F,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65"/>
  <sheetViews>
    <sheetView zoomScaleNormal="100" workbookViewId="0">
      <selection activeCell="G50" sqref="G50"/>
    </sheetView>
  </sheetViews>
  <sheetFormatPr defaultColWidth="6.7109375" defaultRowHeight="12.75" x14ac:dyDescent="0.2"/>
  <cols>
    <col min="1" max="1" width="4.5703125" style="32" customWidth="1"/>
    <col min="2" max="2" width="16.85546875" style="32" customWidth="1"/>
    <col min="3" max="3" width="18.42578125" style="32" customWidth="1"/>
    <col min="4" max="4" width="9.5703125" style="51" customWidth="1"/>
    <col min="5" max="5" width="9.140625" style="37" customWidth="1"/>
    <col min="6" max="6" width="9.5703125" style="30" customWidth="1"/>
    <col min="7" max="7" width="11.85546875" style="107" customWidth="1"/>
    <col min="8" max="8" width="6.5703125" style="104" customWidth="1"/>
    <col min="9" max="9" width="8.5703125" style="167" customWidth="1"/>
    <col min="10" max="10" width="7.5703125" style="183" customWidth="1"/>
    <col min="11" max="11" width="11.42578125" style="167" customWidth="1"/>
    <col min="12" max="12" width="12" style="32" customWidth="1"/>
    <col min="13" max="13" width="13.42578125" style="155" bestFit="1" customWidth="1"/>
    <col min="14" max="14" width="10.7109375" style="32" bestFit="1" customWidth="1"/>
    <col min="15" max="15" width="10.7109375" style="32" customWidth="1"/>
    <col min="16" max="16" width="7.42578125" style="32" customWidth="1"/>
    <col min="17" max="17" width="7.85546875" style="32" customWidth="1"/>
    <col min="18" max="18" width="9.140625" style="32" customWidth="1"/>
    <col min="19" max="19" width="8.140625" style="32" customWidth="1"/>
    <col min="20" max="61" width="5.5703125" style="32" bestFit="1" customWidth="1"/>
    <col min="62" max="75" width="5.5703125" style="32" customWidth="1"/>
    <col min="76" max="91" width="5.5703125" style="32" bestFit="1" customWidth="1"/>
    <col min="92" max="115" width="7" style="32" bestFit="1" customWidth="1"/>
    <col min="116" max="16384" width="6.7109375" style="32"/>
  </cols>
  <sheetData>
    <row r="1" spans="1:34" ht="18" x14ac:dyDescent="0.25">
      <c r="A1" s="89" t="s">
        <v>211</v>
      </c>
      <c r="F1" s="90" t="s">
        <v>95</v>
      </c>
      <c r="G1" s="203"/>
      <c r="H1" s="164"/>
      <c r="I1" s="165"/>
      <c r="J1" s="197"/>
      <c r="K1" s="169"/>
      <c r="L1" s="91"/>
      <c r="M1" s="153"/>
      <c r="N1" s="91"/>
      <c r="O1" s="91"/>
      <c r="P1" s="91"/>
      <c r="Q1" s="91"/>
      <c r="R1" s="92"/>
      <c r="S1" s="91"/>
      <c r="T1" s="91"/>
      <c r="U1" s="91"/>
      <c r="V1" s="91"/>
      <c r="W1" s="91"/>
      <c r="X1" s="91"/>
      <c r="Y1" s="91"/>
      <c r="Z1" s="91"/>
    </row>
    <row r="2" spans="1:34" x14ac:dyDescent="0.2">
      <c r="C2" s="93"/>
      <c r="G2" s="107" t="s">
        <v>212</v>
      </c>
      <c r="J2" s="198"/>
      <c r="K2" s="169"/>
      <c r="L2" s="91"/>
      <c r="M2" s="153"/>
      <c r="N2" s="91"/>
      <c r="O2" s="91"/>
      <c r="X2" s="91"/>
      <c r="Y2" s="91"/>
      <c r="Z2" s="91"/>
    </row>
    <row r="3" spans="1:34" x14ac:dyDescent="0.2">
      <c r="A3" s="94" t="s">
        <v>153</v>
      </c>
      <c r="B3" s="125"/>
      <c r="C3" s="125"/>
      <c r="E3" s="533" t="s">
        <v>86</v>
      </c>
      <c r="F3" s="533"/>
      <c r="G3" s="533" t="s">
        <v>99</v>
      </c>
      <c r="H3" s="533"/>
      <c r="I3" s="533" t="s">
        <v>87</v>
      </c>
      <c r="J3" s="533"/>
      <c r="K3" s="202" t="s">
        <v>186</v>
      </c>
      <c r="L3" s="144" t="s">
        <v>190</v>
      </c>
      <c r="M3" s="154"/>
      <c r="N3" s="95"/>
      <c r="O3" s="95"/>
      <c r="X3" s="91"/>
      <c r="Y3" s="91"/>
      <c r="Z3" s="91"/>
    </row>
    <row r="4" spans="1:34" x14ac:dyDescent="0.2">
      <c r="C4" s="50" t="s">
        <v>155</v>
      </c>
      <c r="D4" s="122" t="s">
        <v>17</v>
      </c>
      <c r="E4" s="42"/>
      <c r="F4" s="47"/>
      <c r="G4" s="139">
        <v>9.8000000000000007</v>
      </c>
      <c r="H4" s="168" t="s">
        <v>18</v>
      </c>
      <c r="I4" s="169"/>
      <c r="N4" s="33"/>
      <c r="O4" s="34"/>
      <c r="X4" s="91"/>
      <c r="Y4" s="91"/>
      <c r="Z4" s="33"/>
      <c r="AA4" s="34"/>
      <c r="AB4" s="49"/>
      <c r="AC4" s="49"/>
      <c r="AD4" s="49"/>
      <c r="AE4" s="49"/>
      <c r="AF4" s="103"/>
      <c r="AG4" s="103"/>
      <c r="AH4" s="110"/>
    </row>
    <row r="5" spans="1:34" x14ac:dyDescent="0.2">
      <c r="B5" s="50" t="s">
        <v>151</v>
      </c>
      <c r="C5" s="32" t="s">
        <v>204</v>
      </c>
      <c r="D5" s="122" t="s">
        <v>118</v>
      </c>
      <c r="E5" s="150">
        <v>20</v>
      </c>
      <c r="F5" s="91" t="s">
        <v>48</v>
      </c>
      <c r="G5" s="135">
        <f>273+E5</f>
        <v>293</v>
      </c>
      <c r="H5" s="168" t="s">
        <v>25</v>
      </c>
      <c r="I5" s="170">
        <f>E5*9/5+32</f>
        <v>68</v>
      </c>
      <c r="J5" s="166" t="s">
        <v>85</v>
      </c>
      <c r="K5" s="185" t="s">
        <v>193</v>
      </c>
      <c r="M5" s="156"/>
    </row>
    <row r="6" spans="1:34" x14ac:dyDescent="0.2">
      <c r="B6" s="50" t="s">
        <v>151</v>
      </c>
      <c r="C6" s="32" t="s">
        <v>205</v>
      </c>
      <c r="D6" s="122" t="s">
        <v>152</v>
      </c>
      <c r="E6" s="137">
        <f>I6/0.145</f>
        <v>100</v>
      </c>
      <c r="F6" s="38" t="s">
        <v>41</v>
      </c>
      <c r="G6" s="171">
        <f>I6/145*1000000</f>
        <v>100000</v>
      </c>
      <c r="H6" s="168" t="s">
        <v>3</v>
      </c>
      <c r="I6" s="172">
        <v>14.5</v>
      </c>
      <c r="J6" s="166" t="s">
        <v>2</v>
      </c>
      <c r="K6" s="185" t="s">
        <v>194</v>
      </c>
      <c r="M6" s="156"/>
    </row>
    <row r="7" spans="1:34" x14ac:dyDescent="0.2">
      <c r="B7" s="50" t="s">
        <v>201</v>
      </c>
      <c r="C7" s="124" t="s">
        <v>35</v>
      </c>
      <c r="D7" s="122" t="s">
        <v>20</v>
      </c>
      <c r="E7" s="42"/>
      <c r="F7" s="91"/>
      <c r="G7" s="139">
        <v>8.3140000000000001</v>
      </c>
      <c r="H7" s="168"/>
      <c r="I7" s="169"/>
      <c r="N7" s="33"/>
      <c r="O7" s="34"/>
      <c r="X7" s="91"/>
      <c r="Y7" s="91"/>
      <c r="Z7" s="33"/>
      <c r="AA7" s="34"/>
      <c r="AB7" s="49"/>
      <c r="AC7" s="49"/>
      <c r="AD7" s="49"/>
      <c r="AE7" s="49"/>
      <c r="AF7" s="103"/>
      <c r="AG7" s="103"/>
      <c r="AH7" s="110"/>
    </row>
    <row r="8" spans="1:34" x14ac:dyDescent="0.2">
      <c r="B8" s="50" t="s">
        <v>157</v>
      </c>
      <c r="C8" s="124" t="s">
        <v>198</v>
      </c>
      <c r="D8" s="122" t="s">
        <v>30</v>
      </c>
      <c r="E8" s="42"/>
      <c r="F8" s="91"/>
      <c r="G8" s="175">
        <v>1.79</v>
      </c>
      <c r="H8" s="168"/>
      <c r="I8" s="169"/>
      <c r="K8" s="185" t="s">
        <v>207</v>
      </c>
      <c r="N8" s="33"/>
      <c r="O8" s="34"/>
      <c r="X8" s="91"/>
      <c r="Y8" s="91"/>
      <c r="Z8" s="33"/>
      <c r="AA8" s="34"/>
      <c r="AB8" s="48"/>
      <c r="AC8" s="48"/>
      <c r="AD8" s="49"/>
      <c r="AE8" s="49"/>
      <c r="AF8" s="103"/>
      <c r="AG8" s="103"/>
      <c r="AH8" s="110"/>
    </row>
    <row r="9" spans="1:34" x14ac:dyDescent="0.2">
      <c r="B9" s="50" t="s">
        <v>157</v>
      </c>
      <c r="C9" s="124" t="s">
        <v>39</v>
      </c>
      <c r="D9" s="122" t="s">
        <v>43</v>
      </c>
      <c r="E9" s="138">
        <v>3.3978000000000002</v>
      </c>
      <c r="F9" s="91" t="s">
        <v>41</v>
      </c>
      <c r="G9" s="176">
        <f>E9*1000000</f>
        <v>3397800</v>
      </c>
      <c r="H9" s="168" t="s">
        <v>3</v>
      </c>
      <c r="I9" s="169"/>
      <c r="N9" s="33"/>
      <c r="O9" s="34"/>
      <c r="X9" s="91"/>
      <c r="Y9" s="91"/>
      <c r="Z9" s="33"/>
      <c r="AA9" s="34"/>
      <c r="AB9" s="48"/>
      <c r="AC9" s="48"/>
      <c r="AD9" s="49"/>
      <c r="AE9" s="49"/>
      <c r="AF9" s="103"/>
      <c r="AG9" s="103"/>
      <c r="AH9" s="110"/>
    </row>
    <row r="10" spans="1:34" x14ac:dyDescent="0.2">
      <c r="B10" s="50" t="s">
        <v>157</v>
      </c>
      <c r="C10" s="124" t="s">
        <v>40</v>
      </c>
      <c r="D10" s="122" t="s">
        <v>42</v>
      </c>
      <c r="E10" s="42"/>
      <c r="F10" s="47"/>
      <c r="G10" s="177">
        <v>126.19</v>
      </c>
      <c r="H10" s="168" t="s">
        <v>25</v>
      </c>
      <c r="I10" s="169"/>
    </row>
    <row r="11" spans="1:34" x14ac:dyDescent="0.2">
      <c r="B11" s="50" t="s">
        <v>157</v>
      </c>
      <c r="C11" s="124" t="s">
        <v>199</v>
      </c>
      <c r="D11" s="122" t="s">
        <v>45</v>
      </c>
      <c r="E11" s="42"/>
      <c r="F11" s="47"/>
      <c r="G11" s="178">
        <v>-2.4099999999999999E-10</v>
      </c>
      <c r="H11" s="168"/>
      <c r="I11" s="169"/>
      <c r="N11" s="33"/>
      <c r="O11" s="34"/>
      <c r="X11" s="91"/>
      <c r="Y11" s="91"/>
      <c r="Z11" s="33"/>
      <c r="AA11" s="34"/>
      <c r="AB11" s="48"/>
      <c r="AC11" s="48"/>
      <c r="AD11" s="49"/>
      <c r="AE11" s="49"/>
      <c r="AF11" s="103"/>
      <c r="AG11" s="103"/>
      <c r="AH11" s="110"/>
    </row>
    <row r="12" spans="1:34" x14ac:dyDescent="0.2">
      <c r="B12" s="50" t="s">
        <v>157</v>
      </c>
      <c r="C12" s="124" t="s">
        <v>199</v>
      </c>
      <c r="D12" s="122" t="s">
        <v>51</v>
      </c>
      <c r="E12" s="42"/>
      <c r="F12" s="47"/>
      <c r="G12" s="178">
        <v>1.9499999999999999E-16</v>
      </c>
      <c r="H12" s="168"/>
      <c r="I12" s="169"/>
      <c r="N12" s="33"/>
      <c r="O12" s="34"/>
      <c r="Y12" s="91"/>
      <c r="Z12" s="33"/>
      <c r="AA12" s="34"/>
      <c r="AB12" s="48"/>
      <c r="AC12" s="48"/>
      <c r="AD12" s="49"/>
      <c r="AE12" s="49"/>
      <c r="AF12" s="103"/>
      <c r="AG12" s="103"/>
      <c r="AH12" s="110"/>
    </row>
    <row r="13" spans="1:34" x14ac:dyDescent="0.2">
      <c r="B13" s="50" t="s">
        <v>157</v>
      </c>
      <c r="C13" s="124" t="s">
        <v>199</v>
      </c>
      <c r="D13" s="122" t="s">
        <v>46</v>
      </c>
      <c r="E13" s="42"/>
      <c r="F13" s="47"/>
      <c r="G13" s="178">
        <v>-9.6800000000000001E-25</v>
      </c>
      <c r="H13" s="168"/>
      <c r="I13" s="169"/>
      <c r="N13" s="33"/>
      <c r="O13" s="34"/>
      <c r="X13" s="91"/>
      <c r="Y13" s="91"/>
      <c r="Z13" s="35"/>
      <c r="AA13" s="36"/>
      <c r="AB13" s="111"/>
      <c r="AC13" s="111"/>
      <c r="AD13" s="112"/>
      <c r="AE13" s="112"/>
      <c r="AF13" s="113"/>
      <c r="AG13" s="113"/>
      <c r="AH13" s="114"/>
    </row>
    <row r="14" spans="1:34" ht="12.75" customHeight="1" x14ac:dyDescent="0.2">
      <c r="B14" s="50" t="s">
        <v>157</v>
      </c>
      <c r="C14" s="124" t="s">
        <v>200</v>
      </c>
      <c r="D14" s="122" t="s">
        <v>21</v>
      </c>
      <c r="E14" s="129">
        <v>28</v>
      </c>
      <c r="F14" s="91"/>
      <c r="G14" s="130">
        <f>E14/1000</f>
        <v>2.8000000000000001E-2</v>
      </c>
      <c r="H14" s="168" t="s">
        <v>22</v>
      </c>
      <c r="I14" s="169"/>
      <c r="N14" s="33"/>
      <c r="O14" s="34"/>
      <c r="X14" s="91"/>
      <c r="Y14" s="91"/>
      <c r="AH14" s="110"/>
    </row>
    <row r="15" spans="1:34" x14ac:dyDescent="0.2">
      <c r="B15" s="50" t="s">
        <v>157</v>
      </c>
      <c r="C15" s="124" t="s">
        <v>35</v>
      </c>
      <c r="D15" s="122" t="s">
        <v>47</v>
      </c>
      <c r="E15" s="136"/>
      <c r="F15" s="91"/>
      <c r="G15" s="119">
        <f>Runiv/mwt</f>
        <v>296.92857142857144</v>
      </c>
      <c r="H15" s="168"/>
      <c r="I15" s="169"/>
      <c r="N15" s="52"/>
      <c r="O15" s="53"/>
      <c r="P15" s="54"/>
      <c r="Q15" s="54"/>
      <c r="R15" s="55"/>
      <c r="S15" s="55"/>
      <c r="T15" s="55"/>
      <c r="U15" s="55"/>
      <c r="V15" s="115"/>
      <c r="W15" s="91"/>
      <c r="X15" s="91"/>
      <c r="Y15" s="91"/>
      <c r="Z15" s="52"/>
      <c r="AA15" s="53"/>
      <c r="AB15" s="54"/>
      <c r="AC15" s="54"/>
      <c r="AD15" s="55"/>
      <c r="AE15" s="55"/>
      <c r="AF15" s="55"/>
      <c r="AG15" s="55"/>
      <c r="AH15" s="115"/>
    </row>
    <row r="16" spans="1:34" x14ac:dyDescent="0.2">
      <c r="B16" s="50" t="s">
        <v>157</v>
      </c>
      <c r="C16" s="205" t="s">
        <v>197</v>
      </c>
      <c r="D16" s="122" t="s">
        <v>206</v>
      </c>
      <c r="E16" s="42"/>
      <c r="F16" s="91"/>
      <c r="G16" s="204">
        <f>Rgas*k/(k-1)</f>
        <v>672.78752260397823</v>
      </c>
      <c r="H16" t="s">
        <v>202</v>
      </c>
      <c r="I16" s="169"/>
      <c r="N16" s="33"/>
      <c r="O16" s="34"/>
      <c r="X16" s="91"/>
      <c r="Y16" s="91"/>
      <c r="Z16" s="33"/>
      <c r="AA16" s="34"/>
      <c r="AB16" s="49"/>
      <c r="AC16" s="49"/>
      <c r="AD16" s="49"/>
      <c r="AE16" s="49"/>
      <c r="AF16" s="103"/>
      <c r="AG16" s="103"/>
      <c r="AH16" s="110"/>
    </row>
    <row r="17" spans="1:42" x14ac:dyDescent="0.2">
      <c r="C17" s="116" t="s">
        <v>92</v>
      </c>
      <c r="D17" s="123" t="s">
        <v>159</v>
      </c>
      <c r="E17" s="139">
        <v>5.9999999999999995E-4</v>
      </c>
      <c r="F17" s="117" t="s">
        <v>93</v>
      </c>
      <c r="G17" s="179">
        <f>E17/100000</f>
        <v>5.9999999999999991E-9</v>
      </c>
      <c r="H17" s="168"/>
      <c r="I17" s="169"/>
    </row>
    <row r="18" spans="1:42" x14ac:dyDescent="0.2">
      <c r="B18" s="50" t="s">
        <v>156</v>
      </c>
      <c r="C18" s="108" t="s">
        <v>196</v>
      </c>
      <c r="D18" s="51" t="s">
        <v>70</v>
      </c>
      <c r="E18" s="129">
        <v>55</v>
      </c>
      <c r="F18" s="47" t="s">
        <v>71</v>
      </c>
      <c r="G18" s="173">
        <f>E18*0.001</f>
        <v>5.5E-2</v>
      </c>
      <c r="H18" s="62" t="s">
        <v>72</v>
      </c>
      <c r="I18" s="130"/>
      <c r="J18" s="166"/>
      <c r="L18" s="35"/>
    </row>
    <row r="19" spans="1:42" customFormat="1" x14ac:dyDescent="0.2">
      <c r="A19" s="32"/>
      <c r="B19" s="50" t="s">
        <v>156</v>
      </c>
      <c r="C19" s="205" t="s">
        <v>195</v>
      </c>
      <c r="D19" s="151" t="s">
        <v>192</v>
      </c>
      <c r="E19" s="37"/>
      <c r="F19" s="30"/>
      <c r="G19" s="413">
        <v>2090000000</v>
      </c>
      <c r="H19" s="174" t="s">
        <v>3</v>
      </c>
      <c r="I19" s="191"/>
      <c r="J19" s="199"/>
      <c r="K19" s="191"/>
      <c r="M19" s="157"/>
    </row>
    <row r="20" spans="1:42" customFormat="1" x14ac:dyDescent="0.2">
      <c r="A20" s="32"/>
      <c r="B20" s="50" t="s">
        <v>156</v>
      </c>
      <c r="C20" s="205" t="s">
        <v>197</v>
      </c>
      <c r="D20" s="151" t="s">
        <v>203</v>
      </c>
      <c r="E20" s="37"/>
      <c r="F20" s="30"/>
      <c r="G20" s="414">
        <v>4184</v>
      </c>
      <c r="H20" t="s">
        <v>202</v>
      </c>
      <c r="I20" s="191"/>
      <c r="J20" s="199"/>
      <c r="K20" s="191"/>
      <c r="M20" s="157"/>
    </row>
    <row r="21" spans="1:42" x14ac:dyDescent="0.2">
      <c r="A21" s="94" t="s">
        <v>154</v>
      </c>
      <c r="B21" s="125"/>
      <c r="C21" s="125"/>
      <c r="D21" s="122"/>
      <c r="E21" s="136"/>
      <c r="F21" s="91"/>
      <c r="G21" s="119"/>
      <c r="H21" s="168"/>
      <c r="I21" s="169"/>
      <c r="N21" s="52"/>
      <c r="O21" s="53"/>
      <c r="P21" s="54"/>
      <c r="Q21" s="54"/>
      <c r="R21" s="55"/>
      <c r="S21" s="55"/>
      <c r="T21" s="55"/>
      <c r="U21" s="55"/>
      <c r="V21" s="115"/>
      <c r="W21" s="91"/>
      <c r="X21" s="91"/>
      <c r="Y21" s="91"/>
      <c r="Z21" s="52"/>
      <c r="AA21" s="53"/>
      <c r="AB21" s="54"/>
      <c r="AC21" s="54"/>
      <c r="AD21" s="55"/>
      <c r="AE21" s="55"/>
      <c r="AF21" s="55"/>
      <c r="AG21" s="55"/>
      <c r="AH21" s="115"/>
    </row>
    <row r="22" spans="1:42" x14ac:dyDescent="0.2">
      <c r="B22" s="50" t="s">
        <v>148</v>
      </c>
      <c r="C22" s="108" t="s">
        <v>150</v>
      </c>
      <c r="D22" s="51" t="s">
        <v>56</v>
      </c>
      <c r="E22" s="127">
        <f>G22-273</f>
        <v>26.666666666666686</v>
      </c>
      <c r="F22" s="47" t="s">
        <v>48</v>
      </c>
      <c r="G22" s="171">
        <f>T0</f>
        <v>299.66666666666669</v>
      </c>
      <c r="H22" s="62" t="s">
        <v>25</v>
      </c>
      <c r="I22" s="396">
        <f>E22*9/5+32</f>
        <v>80.000000000000028</v>
      </c>
      <c r="J22" s="166" t="s">
        <v>85</v>
      </c>
      <c r="K22" s="107"/>
      <c r="L22" s="35"/>
      <c r="M22" s="158"/>
      <c r="N22" s="41"/>
      <c r="O22" s="40"/>
      <c r="X22" s="96"/>
      <c r="Y22" s="96"/>
      <c r="Z22" s="41"/>
      <c r="AA22" s="40"/>
      <c r="AB22" s="40"/>
      <c r="AC22" s="40"/>
      <c r="AD22" s="40"/>
      <c r="AE22" s="40"/>
      <c r="AG22" s="96"/>
      <c r="AH22" s="96"/>
      <c r="AK22" s="97"/>
      <c r="AL22" s="97"/>
      <c r="AM22" s="97"/>
      <c r="AN22" s="97"/>
      <c r="AO22" s="97"/>
      <c r="AP22" s="97"/>
    </row>
    <row r="23" spans="1:42" x14ac:dyDescent="0.2">
      <c r="B23" s="50" t="s">
        <v>148</v>
      </c>
      <c r="C23" s="108" t="s">
        <v>158</v>
      </c>
      <c r="D23" s="51" t="s">
        <v>57</v>
      </c>
      <c r="E23" s="133">
        <f>Tb-273</f>
        <v>103.70833333333337</v>
      </c>
      <c r="F23" s="140" t="s">
        <v>48</v>
      </c>
      <c r="G23" s="192">
        <f>T0+dT*TVD</f>
        <v>376.70833333333337</v>
      </c>
      <c r="H23" s="140" t="s">
        <v>25</v>
      </c>
      <c r="I23" s="192">
        <f>(Tb-273)*9/5+32</f>
        <v>218.67500000000007</v>
      </c>
      <c r="J23" s="200" t="s">
        <v>85</v>
      </c>
      <c r="K23" s="107"/>
      <c r="L23" s="35"/>
      <c r="M23" s="158"/>
      <c r="N23" s="41"/>
      <c r="O23" s="40"/>
      <c r="X23" s="96"/>
      <c r="Y23" s="96"/>
      <c r="Z23" s="41"/>
      <c r="AA23" s="40"/>
      <c r="AB23" s="40"/>
      <c r="AC23" s="40"/>
      <c r="AD23" s="40"/>
      <c r="AE23" s="40"/>
      <c r="AG23" s="96"/>
      <c r="AH23" s="96"/>
      <c r="AK23" s="97"/>
      <c r="AL23" s="97"/>
      <c r="AM23" s="97"/>
      <c r="AN23" s="97"/>
      <c r="AO23" s="97"/>
      <c r="AP23" s="97"/>
    </row>
    <row r="24" spans="1:42" x14ac:dyDescent="0.2">
      <c r="C24" s="37" t="s">
        <v>76</v>
      </c>
      <c r="D24" s="51" t="s">
        <v>33</v>
      </c>
      <c r="E24" s="212">
        <v>1</v>
      </c>
      <c r="F24" s="47" t="s">
        <v>15</v>
      </c>
      <c r="G24" s="181">
        <f>E24/1000</f>
        <v>1E-3</v>
      </c>
      <c r="H24" s="62" t="s">
        <v>6</v>
      </c>
      <c r="I24" s="173">
        <f>E24/25.4</f>
        <v>3.937007874015748E-2</v>
      </c>
      <c r="J24" s="166" t="s">
        <v>7</v>
      </c>
      <c r="K24" s="107"/>
      <c r="L24" s="33"/>
      <c r="M24" s="159"/>
    </row>
    <row r="25" spans="1:42" x14ac:dyDescent="0.2">
      <c r="C25" s="37" t="s">
        <v>75</v>
      </c>
      <c r="D25" s="51" t="s">
        <v>32</v>
      </c>
      <c r="E25" s="42"/>
      <c r="F25" s="47"/>
      <c r="G25" s="180">
        <v>2650</v>
      </c>
      <c r="H25" s="62" t="s">
        <v>12</v>
      </c>
      <c r="I25" s="139"/>
      <c r="J25" s="166"/>
      <c r="K25" s="118"/>
      <c r="L25" s="33"/>
      <c r="M25" s="159"/>
    </row>
    <row r="26" spans="1:42" s="74" customFormat="1" x14ac:dyDescent="0.2">
      <c r="C26" s="87" t="s">
        <v>13</v>
      </c>
      <c r="D26" s="134" t="s">
        <v>10</v>
      </c>
      <c r="E26" s="81">
        <f>dti*1000</f>
        <v>40.487680975361954</v>
      </c>
      <c r="F26" s="75" t="s">
        <v>15</v>
      </c>
      <c r="G26" s="415">
        <f>dto-'Circ Model'!E8*2</f>
        <v>4.0487680975361956E-2</v>
      </c>
      <c r="H26" s="140" t="s">
        <v>6</v>
      </c>
      <c r="I26" s="193">
        <f>dti*39.37</f>
        <v>1.5940000000000001</v>
      </c>
      <c r="J26" s="200" t="s">
        <v>7</v>
      </c>
      <c r="K26" s="143"/>
      <c r="L26" s="88"/>
      <c r="M26" s="160"/>
      <c r="N26" s="86"/>
      <c r="O26" s="85"/>
      <c r="P26" s="85"/>
      <c r="Q26" s="85"/>
      <c r="R26" s="85"/>
      <c r="S26" s="120"/>
      <c r="T26" s="120"/>
      <c r="U26" s="87"/>
      <c r="V26" s="121"/>
      <c r="W26" s="83"/>
      <c r="X26" s="120"/>
      <c r="Y26" s="120"/>
      <c r="Z26" s="120"/>
    </row>
    <row r="27" spans="1:42" x14ac:dyDescent="0.2">
      <c r="B27" s="50" t="s">
        <v>162</v>
      </c>
      <c r="C27" s="124" t="s">
        <v>147</v>
      </c>
      <c r="D27" s="51" t="s">
        <v>146</v>
      </c>
      <c r="G27" s="118">
        <f>(-0.002516*(Tstd-273)^2-0.1853*(Tstd-273)+1002)*(1+Pstd/1000000*(0.00000002*(Tstd-273)^2-0.00000224*(Tstd-273)+0.000508))*(1+Cbrine)</f>
        <v>1017.2812840355464</v>
      </c>
      <c r="H27" s="104" t="s">
        <v>12</v>
      </c>
      <c r="I27" s="107"/>
      <c r="J27" s="166"/>
      <c r="K27" s="170"/>
      <c r="L27" s="39"/>
      <c r="N27" s="41"/>
      <c r="O27" s="40"/>
      <c r="X27" s="96"/>
      <c r="Y27" s="96"/>
      <c r="Z27" s="41"/>
      <c r="AA27" s="40"/>
      <c r="AB27" s="40"/>
      <c r="AC27" s="40"/>
      <c r="AD27" s="40"/>
      <c r="AE27" s="40"/>
      <c r="AG27" s="96"/>
      <c r="AH27" s="96"/>
      <c r="AK27" s="97"/>
      <c r="AL27" s="97"/>
      <c r="AM27" s="97"/>
      <c r="AN27" s="97"/>
      <c r="AO27" s="97"/>
      <c r="AP27" s="97"/>
    </row>
    <row r="28" spans="1:42" x14ac:dyDescent="0.2">
      <c r="A28" s="94" t="s">
        <v>179</v>
      </c>
      <c r="B28" s="125"/>
      <c r="C28" s="125"/>
      <c r="D28" s="122"/>
      <c r="E28" s="136"/>
      <c r="F28" s="91"/>
      <c r="G28" s="119"/>
      <c r="H28" s="168"/>
      <c r="I28" s="169"/>
      <c r="N28" s="52"/>
      <c r="O28" s="53"/>
      <c r="P28" s="54"/>
      <c r="Q28" s="54"/>
      <c r="R28" s="280"/>
      <c r="S28" s="55"/>
      <c r="T28" s="55"/>
      <c r="U28" s="55"/>
      <c r="V28" s="115"/>
      <c r="W28" s="91"/>
      <c r="X28" s="91"/>
      <c r="Y28" s="91"/>
      <c r="Z28" s="52"/>
      <c r="AA28" s="53"/>
      <c r="AB28" s="54"/>
      <c r="AC28" s="54"/>
      <c r="AD28" s="55"/>
      <c r="AE28" s="55"/>
      <c r="AF28" s="55"/>
      <c r="AG28" s="55"/>
      <c r="AH28" s="115"/>
    </row>
    <row r="29" spans="1:42" x14ac:dyDescent="0.2">
      <c r="C29" s="107" t="s">
        <v>178</v>
      </c>
      <c r="D29" s="51" t="s">
        <v>160</v>
      </c>
      <c r="E29" s="130"/>
      <c r="F29" s="62"/>
      <c r="G29" s="139">
        <v>0.75</v>
      </c>
      <c r="H29" s="62"/>
      <c r="I29" s="169"/>
      <c r="J29" s="166"/>
      <c r="K29" s="166" t="s">
        <v>117</v>
      </c>
      <c r="L29" s="109"/>
      <c r="M29" s="269"/>
      <c r="O29" s="149"/>
      <c r="P29" s="387"/>
      <c r="Q29" s="271"/>
      <c r="R29" s="407"/>
    </row>
    <row r="30" spans="1:42" x14ac:dyDescent="0.2">
      <c r="C30" s="50" t="s">
        <v>176</v>
      </c>
      <c r="D30" s="51" t="s">
        <v>177</v>
      </c>
      <c r="E30" s="42"/>
      <c r="F30" s="47"/>
      <c r="G30" s="177">
        <v>0.95</v>
      </c>
      <c r="H30" s="62"/>
      <c r="I30" s="169"/>
      <c r="K30" s="166" t="s">
        <v>117</v>
      </c>
      <c r="M30" s="270"/>
      <c r="N30" s="33"/>
      <c r="O30" s="332"/>
      <c r="P30" s="272"/>
      <c r="Q30" s="273"/>
      <c r="R30" s="103"/>
      <c r="S30" s="49"/>
      <c r="T30" s="103"/>
      <c r="U30" s="103"/>
      <c r="V30" s="110"/>
      <c r="W30" s="91"/>
      <c r="X30" s="91"/>
      <c r="Y30" s="91"/>
      <c r="Z30" s="35"/>
      <c r="AA30" s="36"/>
      <c r="AB30" s="112"/>
      <c r="AC30" s="112"/>
      <c r="AD30" s="112"/>
      <c r="AE30" s="112"/>
      <c r="AF30" s="113"/>
      <c r="AG30" s="113"/>
      <c r="AH30" s="114"/>
    </row>
    <row r="31" spans="1:42" x14ac:dyDescent="0.2">
      <c r="A31" s="94" t="s">
        <v>174</v>
      </c>
      <c r="B31" s="125"/>
      <c r="C31" s="125"/>
      <c r="E31" s="128"/>
      <c r="F31" s="106"/>
      <c r="G31" s="132"/>
      <c r="H31" s="33"/>
      <c r="I31" s="184"/>
      <c r="J31" s="201"/>
      <c r="K31" s="196"/>
      <c r="L31" s="92"/>
      <c r="M31" s="161"/>
      <c r="N31" s="45"/>
      <c r="O31" s="45"/>
      <c r="X31" s="63"/>
      <c r="Y31" s="98"/>
      <c r="Z31" s="45"/>
      <c r="AA31" s="45"/>
      <c r="AB31" s="46"/>
      <c r="AC31" s="46"/>
      <c r="AD31" s="46"/>
      <c r="AE31" s="46"/>
      <c r="AF31" s="101"/>
      <c r="AG31" s="101"/>
      <c r="AH31" s="102"/>
      <c r="AI31" s="45"/>
      <c r="AJ31" s="48"/>
      <c r="AK31" s="48"/>
      <c r="AL31" s="49"/>
      <c r="AM31" s="103"/>
      <c r="AN31" s="103"/>
      <c r="AO31" s="95"/>
      <c r="AP31" s="97"/>
    </row>
    <row r="32" spans="1:42" x14ac:dyDescent="0.2">
      <c r="B32" s="30"/>
      <c r="C32" s="37" t="s">
        <v>216</v>
      </c>
      <c r="D32" s="51" t="s">
        <v>217</v>
      </c>
      <c r="G32" s="187">
        <f>PI()/4*dv^2*Cdw</f>
        <v>1.3681156660204355E-4</v>
      </c>
      <c r="H32" s="33" t="s">
        <v>5</v>
      </c>
      <c r="I32" s="181"/>
      <c r="M32" s="159"/>
    </row>
    <row r="33" spans="1:42" x14ac:dyDescent="0.2">
      <c r="C33" s="37" t="s">
        <v>314</v>
      </c>
      <c r="D33" s="149" t="s">
        <v>313</v>
      </c>
      <c r="E33" s="50"/>
      <c r="F33" s="32"/>
      <c r="G33" s="186">
        <f>PI()/4*(VLOOKUP('Circ Model'!$G$17,HPeqOrifice,2,FALSE)/39.37)^2</f>
        <v>6.5669551968980895E-5</v>
      </c>
      <c r="H33" s="33" t="s">
        <v>5</v>
      </c>
      <c r="I33" s="207">
        <f>Ahp*39.37^2</f>
        <v>0.10178760197630927</v>
      </c>
      <c r="J33" s="183" t="s">
        <v>181</v>
      </c>
      <c r="K33" s="389" t="s">
        <v>315</v>
      </c>
      <c r="O33" s="408" t="s">
        <v>281</v>
      </c>
      <c r="P33" s="83"/>
    </row>
    <row r="34" spans="1:42" x14ac:dyDescent="0.2">
      <c r="C34" s="37" t="s">
        <v>326</v>
      </c>
      <c r="D34" s="122" t="s">
        <v>81</v>
      </c>
      <c r="E34" s="50"/>
      <c r="F34" s="32"/>
      <c r="G34" s="186">
        <f>0.25*PI()*dmo^2</f>
        <v>4.1043469980613079E-4</v>
      </c>
      <c r="H34" s="33" t="s">
        <v>5</v>
      </c>
      <c r="I34" s="207">
        <f>Am*39.37^2</f>
        <v>0.63617251235193328</v>
      </c>
      <c r="J34" s="183" t="s">
        <v>181</v>
      </c>
      <c r="O34" s="409" t="s">
        <v>280</v>
      </c>
      <c r="P34" s="410"/>
    </row>
    <row r="35" spans="1:42" x14ac:dyDescent="0.2">
      <c r="C35" s="50" t="s">
        <v>327</v>
      </c>
      <c r="D35" s="51" t="s">
        <v>175</v>
      </c>
      <c r="G35" s="187">
        <f>nn*dbit^2*Cdb*PI()/4</f>
        <v>3.6103052297761502E-4</v>
      </c>
      <c r="H35" s="33" t="s">
        <v>5</v>
      </c>
      <c r="I35" s="181"/>
      <c r="M35" s="159"/>
      <c r="O35" s="411" t="s">
        <v>279</v>
      </c>
      <c r="P35" s="412"/>
    </row>
    <row r="36" spans="1:42" x14ac:dyDescent="0.2">
      <c r="A36" s="94" t="s">
        <v>149</v>
      </c>
      <c r="B36" s="125"/>
      <c r="C36" s="126"/>
      <c r="G36" s="118"/>
      <c r="H36" s="33"/>
      <c r="I36" s="107"/>
      <c r="J36" s="166"/>
      <c r="L36" s="31"/>
      <c r="N36" s="45"/>
      <c r="O36" s="45"/>
      <c r="X36" s="63"/>
      <c r="Y36" s="98"/>
      <c r="Z36" s="45"/>
      <c r="AA36" s="45"/>
      <c r="AB36" s="46"/>
      <c r="AC36" s="46"/>
      <c r="AD36" s="46"/>
      <c r="AE36" s="46"/>
      <c r="AF36" s="101"/>
      <c r="AG36" s="101"/>
      <c r="AH36" s="102"/>
      <c r="AI36" s="45"/>
      <c r="AJ36" s="48"/>
      <c r="AK36" s="48"/>
      <c r="AL36" s="49"/>
      <c r="AM36" s="103"/>
      <c r="AN36" s="103"/>
      <c r="AO36" s="95"/>
      <c r="AP36" s="97"/>
    </row>
    <row r="37" spans="1:42" x14ac:dyDescent="0.2">
      <c r="B37" s="50"/>
      <c r="C37" s="124" t="s">
        <v>143</v>
      </c>
      <c r="D37" s="51" t="s">
        <v>139</v>
      </c>
      <c r="G37" s="118">
        <f>Circulation!K213</f>
        <v>1032.8371325653461</v>
      </c>
      <c r="H37" s="104" t="s">
        <v>12</v>
      </c>
      <c r="I37" s="189"/>
      <c r="J37" s="34"/>
      <c r="K37" s="118">
        <f>(-0.002516*(T0-273)^2-0.1853*(T0-273)+1002)*(1+Pp/1000000*(0.00000002*(T0-273)^2-0.00000224*(T0-273)+0.000508))</f>
        <v>1012.5854240836727</v>
      </c>
      <c r="L37" s="146">
        <f>IF(K37=G37,"OK",1-G37/K37)</f>
        <v>-2.0000000000000018E-2</v>
      </c>
      <c r="O37" s="45"/>
      <c r="X37" s="63"/>
      <c r="Y37" s="98"/>
      <c r="Z37" s="45"/>
      <c r="AA37" s="45"/>
      <c r="AB37" s="46"/>
      <c r="AC37" s="46"/>
      <c r="AD37" s="46"/>
      <c r="AE37" s="46"/>
      <c r="AF37" s="101"/>
      <c r="AG37" s="101"/>
      <c r="AH37" s="102"/>
      <c r="AI37" s="45"/>
      <c r="AJ37" s="48"/>
      <c r="AK37" s="48"/>
      <c r="AL37" s="49"/>
      <c r="AM37" s="103"/>
      <c r="AN37" s="103"/>
      <c r="AO37" s="95"/>
      <c r="AP37" s="97"/>
    </row>
    <row r="38" spans="1:42" x14ac:dyDescent="0.2">
      <c r="B38" s="50"/>
      <c r="C38" s="147" t="s">
        <v>219</v>
      </c>
      <c r="D38" s="51" t="s">
        <v>140</v>
      </c>
      <c r="G38" s="118">
        <f>rhowa</f>
        <v>994.80478946803566</v>
      </c>
      <c r="H38" s="104" t="s">
        <v>12</v>
      </c>
      <c r="I38" s="107"/>
      <c r="J38" s="166"/>
      <c r="K38" s="118">
        <f>(-0.002516*(Tb-273)^2-0.1853*(Tb-273)+1002)*(1+Ps/1000000*(0.00000002*(Tb-273)^2-0.00000224*(Tb-273)+0.000508))*(1+Cbrine)</f>
        <v>998.16707820550448</v>
      </c>
      <c r="L38" s="146">
        <f>IF(K38=G38,"OK",1-G38/K38)</f>
        <v>3.368462866470745E-3</v>
      </c>
      <c r="O38" s="45"/>
      <c r="X38" s="63"/>
      <c r="Y38" s="98"/>
      <c r="Z38" s="45"/>
      <c r="AA38" s="45"/>
      <c r="AB38" s="46"/>
      <c r="AC38" s="46"/>
      <c r="AD38" s="46"/>
      <c r="AE38" s="46"/>
      <c r="AF38" s="101"/>
      <c r="AG38" s="101"/>
      <c r="AH38" s="102"/>
      <c r="AI38" s="45"/>
      <c r="AJ38" s="48"/>
      <c r="AK38" s="48"/>
      <c r="AL38" s="49"/>
      <c r="AM38" s="103"/>
      <c r="AN38" s="103"/>
      <c r="AO38" s="95"/>
      <c r="AP38" s="97"/>
    </row>
    <row r="39" spans="1:42" x14ac:dyDescent="0.2">
      <c r="A39" s="37"/>
      <c r="B39" s="50"/>
      <c r="C39" s="124" t="s">
        <v>172</v>
      </c>
      <c r="D39" s="51" t="s">
        <v>164</v>
      </c>
      <c r="G39" s="118">
        <f>rhowa</f>
        <v>994.80478946803566</v>
      </c>
      <c r="H39" s="104" t="s">
        <v>12</v>
      </c>
      <c r="I39" s="107"/>
      <c r="J39" s="166"/>
      <c r="K39" s="195"/>
      <c r="L39" s="42"/>
      <c r="N39" s="43"/>
      <c r="O39" s="152"/>
      <c r="X39" s="63"/>
      <c r="Y39" s="98"/>
      <c r="Z39" s="43"/>
      <c r="AA39" s="43"/>
      <c r="AB39" s="44"/>
      <c r="AC39" s="44"/>
      <c r="AD39" s="44"/>
      <c r="AE39" s="44"/>
      <c r="AF39" s="99"/>
      <c r="AG39" s="99"/>
      <c r="AH39" s="100"/>
      <c r="AI39" s="47"/>
      <c r="AK39" s="95"/>
      <c r="AL39" s="95"/>
      <c r="AM39" s="95"/>
      <c r="AN39" s="95"/>
      <c r="AO39" s="95"/>
      <c r="AP39" s="97"/>
    </row>
    <row r="40" spans="1:42" x14ac:dyDescent="0.2">
      <c r="B40" s="50"/>
      <c r="C40" s="124" t="s">
        <v>144</v>
      </c>
      <c r="D40" s="51" t="s">
        <v>100</v>
      </c>
      <c r="G40" s="118">
        <f>rhowa</f>
        <v>994.80478946803566</v>
      </c>
      <c r="H40" s="104" t="s">
        <v>12</v>
      </c>
      <c r="I40" s="107"/>
      <c r="J40" s="166"/>
      <c r="L40" s="31"/>
      <c r="N40" s="45"/>
      <c r="O40" s="45"/>
      <c r="X40" s="63"/>
      <c r="Y40" s="98"/>
      <c r="Z40" s="45"/>
      <c r="AA40" s="45"/>
      <c r="AB40" s="46"/>
      <c r="AC40" s="46"/>
      <c r="AD40" s="46"/>
      <c r="AE40" s="46"/>
      <c r="AF40" s="101"/>
      <c r="AG40" s="101"/>
      <c r="AH40" s="102"/>
      <c r="AI40" s="45"/>
      <c r="AJ40" s="48"/>
      <c r="AK40" s="48"/>
      <c r="AL40" s="49"/>
      <c r="AM40" s="103"/>
      <c r="AN40" s="103"/>
      <c r="AO40" s="95"/>
      <c r="AP40" s="97"/>
    </row>
    <row r="41" spans="1:42" x14ac:dyDescent="0.2">
      <c r="A41" s="37"/>
      <c r="B41" s="50"/>
      <c r="C41" s="124" t="s">
        <v>142</v>
      </c>
      <c r="D41" s="51" t="s">
        <v>66</v>
      </c>
      <c r="G41" s="118">
        <f>Circulation!K109</f>
        <v>994.80478946803566</v>
      </c>
      <c r="H41" s="104" t="s">
        <v>12</v>
      </c>
      <c r="I41" s="107"/>
      <c r="J41" s="166"/>
      <c r="K41" s="118">
        <f>(-0.002516*(Tb-273)^2-0.1853*(Tb-273)+1002)*(1+Pa/1000000*(0.00000002*(Tb-273)^2-0.00000224*(Tb-273)+0.000508))*(1+Cbrine)</f>
        <v>994.80478946803566</v>
      </c>
      <c r="L41" s="146" t="str">
        <f>IF(K41=G41,"OK",1-G41/K41)</f>
        <v>OK</v>
      </c>
      <c r="O41" s="45"/>
      <c r="X41" s="63"/>
      <c r="Y41" s="98"/>
      <c r="Z41" s="45"/>
      <c r="AA41" s="45"/>
      <c r="AB41" s="46"/>
      <c r="AC41" s="46"/>
      <c r="AD41" s="46"/>
      <c r="AE41" s="46"/>
      <c r="AF41" s="101"/>
      <c r="AG41" s="101"/>
      <c r="AH41" s="102"/>
      <c r="AI41" s="45"/>
      <c r="AJ41" s="48"/>
      <c r="AK41" s="48"/>
      <c r="AL41" s="49"/>
      <c r="AM41" s="103"/>
      <c r="AN41" s="103"/>
      <c r="AO41" s="95"/>
      <c r="AP41" s="97"/>
    </row>
    <row r="42" spans="1:42" x14ac:dyDescent="0.2">
      <c r="B42" s="50"/>
      <c r="C42" s="124" t="s">
        <v>145</v>
      </c>
      <c r="D42" s="51" t="s">
        <v>141</v>
      </c>
      <c r="G42" s="118">
        <f>Circulation!K9</f>
        <v>1018.4598321283104</v>
      </c>
      <c r="H42" s="104" t="s">
        <v>12</v>
      </c>
      <c r="I42" s="107"/>
      <c r="J42" s="166"/>
      <c r="K42" s="118">
        <f>(-0.002516*(T0-273)^2-0.1853*(T0-273)+1002)*(1+Pchoke/1000000*(0.00000002*(T0-273)^2-0.00000224*(T0-273)+0.000508))*(1+Cbrine)</f>
        <v>1018.4598321283104</v>
      </c>
      <c r="L42" s="146" t="str">
        <f>IF(K42=G42,"OK",1-G42/K42)</f>
        <v>OK</v>
      </c>
      <c r="X42" s="63"/>
      <c r="Y42" s="98"/>
      <c r="Z42" s="45"/>
      <c r="AA42" s="45"/>
      <c r="AB42" s="46"/>
      <c r="AC42" s="46"/>
      <c r="AD42" s="46"/>
      <c r="AE42" s="46"/>
      <c r="AF42" s="101"/>
      <c r="AG42" s="101"/>
      <c r="AH42" s="102"/>
      <c r="AI42" s="45"/>
      <c r="AJ42" s="48"/>
      <c r="AK42" s="48"/>
      <c r="AL42" s="49"/>
      <c r="AM42" s="103"/>
      <c r="AN42" s="103"/>
      <c r="AO42" s="95"/>
      <c r="AP42" s="97"/>
    </row>
    <row r="43" spans="1:42" x14ac:dyDescent="0.2">
      <c r="A43" s="94" t="s">
        <v>161</v>
      </c>
      <c r="B43" s="125"/>
      <c r="C43" s="126"/>
      <c r="G43" s="118"/>
      <c r="H43" s="33"/>
      <c r="I43" s="107"/>
      <c r="J43" s="166"/>
      <c r="M43" s="161"/>
      <c r="N43" s="45"/>
      <c r="O43" s="45"/>
      <c r="X43" s="63"/>
      <c r="Y43" s="98"/>
      <c r="Z43" s="45"/>
      <c r="AA43" s="45"/>
      <c r="AB43" s="46"/>
      <c r="AC43" s="46"/>
      <c r="AD43" s="46"/>
      <c r="AE43" s="46"/>
      <c r="AF43" s="101"/>
      <c r="AG43" s="101"/>
      <c r="AH43" s="102"/>
      <c r="AI43" s="45"/>
      <c r="AJ43" s="48"/>
      <c r="AK43" s="48"/>
      <c r="AL43" s="49"/>
      <c r="AM43" s="103"/>
      <c r="AN43" s="103"/>
      <c r="AO43" s="95"/>
      <c r="AP43" s="97"/>
    </row>
    <row r="44" spans="1:42" x14ac:dyDescent="0.2">
      <c r="B44" s="37" t="s">
        <v>168</v>
      </c>
      <c r="C44" s="32" t="s">
        <v>167</v>
      </c>
      <c r="D44" s="51" t="s">
        <v>44</v>
      </c>
      <c r="G44" s="142">
        <f>Qo*rhowo</f>
        <v>7.546802933746104</v>
      </c>
      <c r="H44" s="33" t="s">
        <v>23</v>
      </c>
      <c r="I44" s="107"/>
      <c r="J44" s="166"/>
      <c r="K44" s="142"/>
      <c r="M44" s="344"/>
      <c r="N44" s="45"/>
      <c r="O44" s="45"/>
      <c r="X44" s="63"/>
      <c r="Y44" s="98"/>
      <c r="Z44" s="45"/>
      <c r="AA44" s="45"/>
      <c r="AB44" s="46"/>
      <c r="AC44" s="46"/>
      <c r="AD44" s="46"/>
      <c r="AE44" s="46"/>
      <c r="AF44" s="101"/>
      <c r="AG44" s="101"/>
      <c r="AH44" s="102"/>
      <c r="AI44" s="45"/>
      <c r="AJ44" s="48"/>
      <c r="AK44" s="48"/>
      <c r="AL44" s="49"/>
      <c r="AM44" s="103"/>
      <c r="AN44" s="103"/>
      <c r="AO44" s="95"/>
      <c r="AP44" s="97"/>
    </row>
    <row r="45" spans="1:42" x14ac:dyDescent="0.2">
      <c r="B45" s="50"/>
      <c r="C45" s="124" t="s">
        <v>185</v>
      </c>
      <c r="D45" s="122" t="s">
        <v>184</v>
      </c>
      <c r="E45" s="131"/>
      <c r="F45" s="32"/>
      <c r="G45" s="142">
        <f>flost*mw</f>
        <v>0</v>
      </c>
      <c r="H45" s="33" t="s">
        <v>23</v>
      </c>
      <c r="K45" s="184"/>
      <c r="L45" s="40"/>
      <c r="M45" s="162"/>
    </row>
    <row r="46" spans="1:42" x14ac:dyDescent="0.2">
      <c r="B46" s="50"/>
      <c r="C46" s="124" t="s">
        <v>166</v>
      </c>
      <c r="D46" s="122" t="s">
        <v>165</v>
      </c>
      <c r="E46" s="131"/>
      <c r="F46" s="32"/>
      <c r="G46" s="142">
        <f>mw-ml</f>
        <v>7.546802933746104</v>
      </c>
      <c r="H46" s="33" t="s">
        <v>23</v>
      </c>
      <c r="I46" s="184"/>
      <c r="K46" s="188">
        <f>mw-ml</f>
        <v>7.546802933746104</v>
      </c>
      <c r="L46" s="146" t="str">
        <f>IF(K46=G46,"OK",1-G46/K46)</f>
        <v>OK</v>
      </c>
      <c r="M46" s="162"/>
    </row>
    <row r="47" spans="1:42" x14ac:dyDescent="0.2">
      <c r="A47" s="94" t="s">
        <v>276</v>
      </c>
      <c r="B47" s="125"/>
      <c r="C47" s="126"/>
      <c r="D47" s="122"/>
      <c r="E47" s="131"/>
      <c r="F47" s="32"/>
      <c r="G47" s="142"/>
      <c r="H47" s="33"/>
      <c r="I47" s="184"/>
      <c r="L47" s="40"/>
      <c r="M47" s="162"/>
    </row>
    <row r="48" spans="1:42" x14ac:dyDescent="0.2">
      <c r="A48" s="30"/>
      <c r="B48" s="37"/>
      <c r="C48" s="30" t="s">
        <v>214</v>
      </c>
      <c r="D48" s="51" t="s">
        <v>215</v>
      </c>
      <c r="E48" s="135">
        <f>G48/1000000</f>
        <v>1.5293698496277082</v>
      </c>
      <c r="F48" s="38" t="s">
        <v>41</v>
      </c>
      <c r="G48" s="132">
        <f>mw^2/(2*rhows*Av^2)</f>
        <v>1529369.8496277081</v>
      </c>
      <c r="H48" s="33" t="s">
        <v>3</v>
      </c>
      <c r="I48" s="118">
        <f>G48/6895</f>
        <v>221.80853511641885</v>
      </c>
      <c r="J48" s="166" t="s">
        <v>2</v>
      </c>
      <c r="K48" s="132">
        <f>Pv-Ps</f>
        <v>1529369.8496277109</v>
      </c>
      <c r="L48" s="145" t="str">
        <f>IF(K48=G48,"OK",1-G48/K48)</f>
        <v>OK</v>
      </c>
      <c r="M48" s="162"/>
    </row>
    <row r="49" spans="1:42" x14ac:dyDescent="0.2">
      <c r="B49" s="50"/>
      <c r="C49" s="147" t="s">
        <v>277</v>
      </c>
      <c r="D49" s="149" t="s">
        <v>278</v>
      </c>
      <c r="E49" s="135">
        <f>dPhp/1000000</f>
        <v>6.6378899723424842</v>
      </c>
      <c r="F49" s="38" t="s">
        <v>41</v>
      </c>
      <c r="G49" s="132">
        <f>Ifactor*mw^2/2/rhowm/Ahp^2</f>
        <v>6637889.9723424846</v>
      </c>
      <c r="H49" s="104" t="s">
        <v>3</v>
      </c>
      <c r="I49" s="342">
        <f>E49*145</f>
        <v>962.49404598966021</v>
      </c>
      <c r="J49" s="147" t="s">
        <v>2</v>
      </c>
      <c r="K49" s="132"/>
      <c r="L49" s="162"/>
      <c r="M49" s="335" t="s">
        <v>320</v>
      </c>
      <c r="R49" s="342"/>
    </row>
    <row r="50" spans="1:42" x14ac:dyDescent="0.2">
      <c r="B50" s="50"/>
      <c r="C50" s="32" t="s">
        <v>208</v>
      </c>
      <c r="D50" s="122" t="s">
        <v>209</v>
      </c>
      <c r="E50" s="135">
        <f>G50/1000000</f>
        <v>0.16992998329196746</v>
      </c>
      <c r="F50" s="38" t="s">
        <v>41</v>
      </c>
      <c r="G50" s="132">
        <f>mw^2/(2*rhowb*Am^2)</f>
        <v>169929.98329196745</v>
      </c>
      <c r="H50" s="104" t="s">
        <v>3</v>
      </c>
      <c r="I50" s="118">
        <f>E50*145</f>
        <v>24.639847577335281</v>
      </c>
      <c r="J50" s="183" t="s">
        <v>2</v>
      </c>
      <c r="K50" s="132"/>
      <c r="L50" s="162"/>
      <c r="M50" s="162"/>
      <c r="O50" s="286"/>
    </row>
    <row r="51" spans="1:42" x14ac:dyDescent="0.2">
      <c r="B51" s="50"/>
      <c r="C51" s="32" t="s">
        <v>250</v>
      </c>
      <c r="D51" s="122" t="s">
        <v>191</v>
      </c>
      <c r="E51" s="135">
        <f>I51/145</f>
        <v>7.2</v>
      </c>
      <c r="F51" s="38" t="s">
        <v>41</v>
      </c>
      <c r="G51" s="132">
        <f>1000000*E51</f>
        <v>7200000</v>
      </c>
      <c r="H51" s="104" t="s">
        <v>3</v>
      </c>
      <c r="I51" s="118">
        <f>VLOOKUP('Circ Model'!G19,'Motor Data'!P84:V88,4+'Circ Model'!E17,FALSE)</f>
        <v>1044</v>
      </c>
      <c r="J51" s="183" t="s">
        <v>2</v>
      </c>
      <c r="K51" s="132"/>
      <c r="L51" s="162"/>
      <c r="M51" s="162"/>
      <c r="O51" s="285"/>
    </row>
    <row r="52" spans="1:42" x14ac:dyDescent="0.2">
      <c r="B52" s="50"/>
      <c r="C52" s="32" t="s">
        <v>328</v>
      </c>
      <c r="D52" s="122" t="s">
        <v>73</v>
      </c>
      <c r="E52" s="135">
        <f>G52/1000000</f>
        <v>0.16992998329196746</v>
      </c>
      <c r="F52" s="38" t="s">
        <v>41</v>
      </c>
      <c r="G52" s="326">
        <f>IF('Circ Model'!G26="ON BOTTOM",Ppm+dPm0,dPm0)</f>
        <v>169929.98329196745</v>
      </c>
      <c r="H52" s="104" t="s">
        <v>3</v>
      </c>
      <c r="I52" s="118">
        <f>E52*145</f>
        <v>24.639847577335281</v>
      </c>
      <c r="J52" s="183" t="s">
        <v>2</v>
      </c>
      <c r="K52" s="132">
        <f>Pm-Pb</f>
        <v>169929.9832919687</v>
      </c>
      <c r="L52" s="146">
        <f>IF(K52=G52,"OK",1-G52/K52)</f>
        <v>7.3274719625260332E-15</v>
      </c>
      <c r="M52" s="162"/>
    </row>
    <row r="53" spans="1:42" x14ac:dyDescent="0.2">
      <c r="B53" s="50"/>
      <c r="C53" s="32" t="s">
        <v>169</v>
      </c>
      <c r="D53" s="122" t="s">
        <v>131</v>
      </c>
      <c r="E53" s="135">
        <f>G53/1000000</f>
        <v>0.21961920499916998</v>
      </c>
      <c r="F53" s="38" t="s">
        <v>41</v>
      </c>
      <c r="G53" s="132">
        <f>mw^2/(2*rhowa*Ab^2)*VLOOKUP('Circ Model'!G19,'Motor Data'!P84:Z88,11)</f>
        <v>219619.20499916998</v>
      </c>
      <c r="H53" s="104" t="s">
        <v>3</v>
      </c>
      <c r="I53" s="118">
        <f>G53/6895</f>
        <v>31.851951413947784</v>
      </c>
      <c r="J53" s="183" t="s">
        <v>2</v>
      </c>
      <c r="K53" s="132">
        <f>Pb-Pa</f>
        <v>219619.2049991712</v>
      </c>
      <c r="L53" s="145">
        <f>IF(K53=G53,"OK",1-G53/K53)</f>
        <v>5.5511151231257827E-15</v>
      </c>
      <c r="M53" s="162" t="s">
        <v>237</v>
      </c>
    </row>
    <row r="54" spans="1:42" x14ac:dyDescent="0.2">
      <c r="A54" s="94" t="s">
        <v>183</v>
      </c>
      <c r="B54" s="125"/>
      <c r="C54" s="125"/>
      <c r="D54" s="122"/>
      <c r="E54" s="50"/>
      <c r="F54" s="32"/>
      <c r="G54" s="118"/>
      <c r="I54" s="184"/>
      <c r="J54" s="201"/>
    </row>
    <row r="55" spans="1:42" x14ac:dyDescent="0.2">
      <c r="C55" s="50" t="s">
        <v>97</v>
      </c>
      <c r="D55" s="122" t="s">
        <v>82</v>
      </c>
      <c r="E55" s="50"/>
      <c r="F55" s="32"/>
      <c r="G55" s="141">
        <f>(mw/rhowb)/Am</f>
        <v>18.483366345404008</v>
      </c>
      <c r="H55" s="104" t="s">
        <v>4</v>
      </c>
    </row>
    <row r="56" spans="1:42" x14ac:dyDescent="0.2">
      <c r="C56" s="50" t="s">
        <v>182</v>
      </c>
      <c r="D56" s="122"/>
      <c r="E56" s="119">
        <f>G56/1000000</f>
        <v>0.16992998329196746</v>
      </c>
      <c r="F56" s="38" t="s">
        <v>41</v>
      </c>
      <c r="G56" s="132">
        <f>rhowb*0.5*vm^2</f>
        <v>169929.98329196745</v>
      </c>
      <c r="H56" s="104" t="s">
        <v>3</v>
      </c>
      <c r="I56" s="184">
        <f>G56/6895</f>
        <v>24.645392790713192</v>
      </c>
      <c r="J56" s="201" t="s">
        <v>2</v>
      </c>
      <c r="K56" s="132">
        <f>dPm0</f>
        <v>169929.98329196745</v>
      </c>
      <c r="L56" s="146" t="str">
        <f>IF(K56=G56,"OK",1-K56/G56)</f>
        <v>OK</v>
      </c>
      <c r="M56" s="153"/>
      <c r="N56" s="95"/>
      <c r="O56" s="95"/>
      <c r="X56" s="91"/>
      <c r="Y56" s="91"/>
      <c r="Z56" s="91"/>
    </row>
    <row r="57" spans="1:42" x14ac:dyDescent="0.2">
      <c r="A57" s="94" t="s">
        <v>170</v>
      </c>
      <c r="B57" s="125"/>
      <c r="C57" s="126"/>
      <c r="D57" s="122"/>
      <c r="E57" s="131"/>
      <c r="F57" s="32"/>
      <c r="G57" s="142"/>
      <c r="H57" s="33"/>
      <c r="I57" s="184"/>
      <c r="L57" s="40"/>
      <c r="M57" s="162"/>
    </row>
    <row r="58" spans="1:42" x14ac:dyDescent="0.2">
      <c r="C58" s="50" t="s">
        <v>321</v>
      </c>
      <c r="D58" s="51" t="s">
        <v>14</v>
      </c>
      <c r="E58" s="128">
        <f>G58/1000000</f>
        <v>37.618665990597258</v>
      </c>
      <c r="F58" s="106" t="s">
        <v>41</v>
      </c>
      <c r="G58" s="132">
        <f>Circulation!H213</f>
        <v>37618665.990597256</v>
      </c>
      <c r="H58" s="33" t="s">
        <v>3</v>
      </c>
      <c r="I58" s="184">
        <f t="shared" ref="I58:I63" si="0">G58/6895</f>
        <v>5455.934153821212</v>
      </c>
      <c r="J58" s="201" t="s">
        <v>2</v>
      </c>
      <c r="K58" s="196"/>
      <c r="L58" s="105"/>
      <c r="M58" s="161"/>
      <c r="N58" s="45"/>
      <c r="O58" s="45"/>
      <c r="X58" s="63"/>
      <c r="Y58" s="98"/>
      <c r="Z58" s="45"/>
      <c r="AA58" s="45"/>
      <c r="AB58" s="46"/>
      <c r="AC58" s="46"/>
      <c r="AD58" s="46"/>
      <c r="AE58" s="46"/>
      <c r="AF58" s="101"/>
      <c r="AG58" s="101"/>
      <c r="AH58" s="102"/>
      <c r="AI58" s="45"/>
      <c r="AJ58" s="48"/>
      <c r="AK58" s="48"/>
      <c r="AL58" s="49"/>
      <c r="AM58" s="103"/>
      <c r="AN58" s="103"/>
      <c r="AO58" s="95"/>
      <c r="AP58" s="97"/>
    </row>
    <row r="59" spans="1:42" x14ac:dyDescent="0.2">
      <c r="C59" s="37" t="s">
        <v>322</v>
      </c>
      <c r="D59" s="51" t="s">
        <v>218</v>
      </c>
      <c r="E59" s="127">
        <f>G59/1000000</f>
        <v>50.291723603980017</v>
      </c>
      <c r="F59" s="217" t="s">
        <v>41</v>
      </c>
      <c r="G59" s="132">
        <f>Circulation!H111</f>
        <v>50291723.60398002</v>
      </c>
      <c r="H59" s="33" t="s">
        <v>3</v>
      </c>
      <c r="I59" s="118">
        <f t="shared" si="0"/>
        <v>7293.9410593154489</v>
      </c>
      <c r="J59" s="218" t="s">
        <v>2</v>
      </c>
      <c r="K59" s="171"/>
      <c r="L59" s="105"/>
      <c r="M59" s="161"/>
      <c r="N59" s="45"/>
      <c r="O59" s="45"/>
      <c r="X59" s="63"/>
      <c r="Y59" s="98"/>
      <c r="Z59" s="45"/>
      <c r="AA59" s="45"/>
      <c r="AB59" s="46"/>
      <c r="AC59" s="46"/>
      <c r="AD59" s="46"/>
      <c r="AE59" s="46"/>
      <c r="AF59" s="101"/>
      <c r="AG59" s="101"/>
      <c r="AH59" s="102"/>
      <c r="AI59" s="45"/>
      <c r="AJ59" s="48"/>
      <c r="AK59" s="48"/>
      <c r="AL59" s="49"/>
      <c r="AM59" s="103"/>
      <c r="AN59" s="103"/>
      <c r="AO59" s="95"/>
      <c r="AP59" s="97"/>
    </row>
    <row r="60" spans="1:42" x14ac:dyDescent="0.2">
      <c r="C60" s="148" t="s">
        <v>364</v>
      </c>
      <c r="D60" s="51" t="s">
        <v>90</v>
      </c>
      <c r="E60" s="127">
        <f>Ps/1000000</f>
        <v>48.762353754352311</v>
      </c>
      <c r="F60" s="217" t="s">
        <v>41</v>
      </c>
      <c r="G60" s="132">
        <f>Pv-dPv</f>
        <v>48762353.754352309</v>
      </c>
      <c r="H60" s="33" t="s">
        <v>3</v>
      </c>
      <c r="I60" s="118">
        <f t="shared" si="0"/>
        <v>7072.1325241990298</v>
      </c>
      <c r="J60" s="218" t="s">
        <v>2</v>
      </c>
      <c r="K60" s="132"/>
      <c r="L60" s="105"/>
      <c r="M60" s="162"/>
      <c r="N60" s="34"/>
      <c r="O60" s="34"/>
      <c r="Z60" s="34"/>
      <c r="AA60" s="34"/>
      <c r="AB60" s="48"/>
      <c r="AC60" s="48"/>
      <c r="AD60" s="49"/>
      <c r="AE60" s="49"/>
      <c r="AF60" s="103"/>
      <c r="AG60" s="103"/>
      <c r="AH60" s="110"/>
    </row>
    <row r="61" spans="1:42" x14ac:dyDescent="0.2">
      <c r="C61" s="50" t="s">
        <v>323</v>
      </c>
      <c r="D61" s="51" t="s">
        <v>89</v>
      </c>
      <c r="E61" s="128">
        <f>Pm/1000000</f>
        <v>42.124463782009833</v>
      </c>
      <c r="F61" s="106" t="s">
        <v>41</v>
      </c>
      <c r="G61" s="132">
        <f>Pb+dPm</f>
        <v>42124463.782009833</v>
      </c>
      <c r="H61" s="33" t="s">
        <v>3</v>
      </c>
      <c r="I61" s="184">
        <f t="shared" si="0"/>
        <v>6109.4218683117961</v>
      </c>
      <c r="J61" s="201" t="s">
        <v>2</v>
      </c>
      <c r="K61" s="132"/>
      <c r="L61" s="105"/>
      <c r="M61" s="162"/>
      <c r="N61" s="132"/>
      <c r="O61" s="45"/>
      <c r="X61" s="63"/>
      <c r="Y61" s="98"/>
      <c r="Z61" s="45"/>
      <c r="AA61" s="45"/>
      <c r="AB61" s="46"/>
      <c r="AC61" s="46"/>
      <c r="AD61" s="46"/>
      <c r="AE61" s="46"/>
      <c r="AF61" s="101"/>
      <c r="AG61" s="101"/>
      <c r="AH61" s="102"/>
      <c r="AI61" s="45"/>
      <c r="AJ61" s="48"/>
      <c r="AK61" s="48"/>
      <c r="AL61" s="49"/>
      <c r="AM61" s="103"/>
      <c r="AN61" s="103"/>
      <c r="AO61" s="95"/>
      <c r="AP61" s="97"/>
    </row>
    <row r="62" spans="1:42" x14ac:dyDescent="0.2">
      <c r="C62" s="50" t="s">
        <v>324</v>
      </c>
      <c r="D62" s="51" t="s">
        <v>171</v>
      </c>
      <c r="E62" s="128">
        <f>Pb/1000000</f>
        <v>41.954533798717861</v>
      </c>
      <c r="F62" s="106" t="s">
        <v>41</v>
      </c>
      <c r="G62" s="132">
        <f>Pa+dPb</f>
        <v>41954533.798717864</v>
      </c>
      <c r="H62" s="33" t="s">
        <v>3</v>
      </c>
      <c r="I62" s="184">
        <f t="shared" si="0"/>
        <v>6084.7764755210828</v>
      </c>
      <c r="J62" s="201" t="s">
        <v>2</v>
      </c>
      <c r="K62" s="132"/>
      <c r="L62" s="105"/>
      <c r="M62" s="162"/>
      <c r="N62" s="45"/>
      <c r="O62" s="45"/>
      <c r="X62" s="63"/>
      <c r="Y62" s="98"/>
      <c r="Z62" s="45"/>
      <c r="AA62" s="45"/>
      <c r="AB62" s="46"/>
      <c r="AC62" s="46"/>
      <c r="AD62" s="46"/>
      <c r="AE62" s="46"/>
      <c r="AF62" s="101"/>
      <c r="AG62" s="101"/>
      <c r="AH62" s="102"/>
      <c r="AI62" s="45"/>
      <c r="AJ62" s="48"/>
      <c r="AK62" s="48"/>
      <c r="AL62" s="49"/>
      <c r="AM62" s="103"/>
      <c r="AN62" s="103"/>
      <c r="AO62" s="95"/>
      <c r="AP62" s="97"/>
    </row>
    <row r="63" spans="1:42" x14ac:dyDescent="0.2">
      <c r="C63" s="50" t="s">
        <v>325</v>
      </c>
      <c r="D63" s="51" t="s">
        <v>3</v>
      </c>
      <c r="E63" s="128">
        <f>Pa/1000000</f>
        <v>41.734914593718692</v>
      </c>
      <c r="F63" s="106" t="s">
        <v>41</v>
      </c>
      <c r="G63" s="132">
        <f>Circulation!H109</f>
        <v>41734914.593718693</v>
      </c>
      <c r="H63" s="33" t="s">
        <v>3</v>
      </c>
      <c r="I63" s="184">
        <f t="shared" si="0"/>
        <v>6052.9245241071349</v>
      </c>
      <c r="J63" s="201" t="s">
        <v>2</v>
      </c>
      <c r="K63" s="132"/>
      <c r="L63" s="105"/>
      <c r="M63" s="162"/>
      <c r="N63" s="45"/>
      <c r="O63" s="45"/>
      <c r="X63" s="63"/>
      <c r="Y63" s="98"/>
      <c r="Z63" s="45"/>
      <c r="AA63" s="45"/>
      <c r="AB63" s="46"/>
      <c r="AC63" s="46"/>
      <c r="AD63" s="46"/>
      <c r="AE63" s="46"/>
      <c r="AF63" s="101"/>
      <c r="AG63" s="101"/>
      <c r="AH63" s="102"/>
      <c r="AI63" s="45"/>
      <c r="AJ63" s="48"/>
      <c r="AK63" s="48"/>
      <c r="AL63" s="49"/>
      <c r="AM63" s="103"/>
      <c r="AN63" s="103"/>
      <c r="AO63" s="95"/>
      <c r="AP63" s="97"/>
    </row>
    <row r="64" spans="1:42" x14ac:dyDescent="0.2">
      <c r="C64" s="50"/>
      <c r="G64" s="190"/>
      <c r="H64" s="33"/>
      <c r="I64" s="194"/>
      <c r="L64" s="105"/>
      <c r="M64" s="163"/>
    </row>
    <row r="65" spans="12:12" x14ac:dyDescent="0.2">
      <c r="L65" s="105"/>
    </row>
  </sheetData>
  <mergeCells count="3">
    <mergeCell ref="E3:F3"/>
    <mergeCell ref="G3:H3"/>
    <mergeCell ref="I3:J3"/>
  </mergeCells>
  <phoneticPr fontId="0" type="noConversion"/>
  <conditionalFormatting sqref="L56 L52:L53 L48 L37:L38 L41:L42 L46">
    <cfRule type="cellIs" dxfId="0" priority="2" stopIfTrue="1" operator="notEqual">
      <formula>"OK"</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6"/>
  <sheetViews>
    <sheetView zoomScaleNormal="100" workbookViewId="0">
      <pane ySplit="10965" topLeftCell="A98" activePane="bottomLeft"/>
      <selection activeCell="O1" sqref="O1:O65536"/>
      <selection pane="bottomLeft" activeCell="N113" sqref="N113"/>
    </sheetView>
  </sheetViews>
  <sheetFormatPr defaultRowHeight="12.75" x14ac:dyDescent="0.2"/>
  <cols>
    <col min="4" max="6" width="9.42578125" customWidth="1"/>
    <col min="7" max="7" width="6.7109375" customWidth="1"/>
    <col min="8" max="8" width="11" bestFit="1" customWidth="1"/>
    <col min="9" max="9" width="7.28515625" customWidth="1"/>
    <col min="10" max="10" width="6.7109375" customWidth="1"/>
    <col min="11" max="11" width="8.42578125" customWidth="1"/>
    <col min="12" max="12" width="9.7109375" bestFit="1" customWidth="1"/>
    <col min="13" max="13" width="9.28515625" customWidth="1"/>
    <col min="14" max="14" width="8.42578125" customWidth="1"/>
    <col min="15" max="15" width="9.5703125" customWidth="1"/>
    <col min="16" max="16" width="9.85546875" bestFit="1" customWidth="1"/>
    <col min="17" max="17" width="10.140625" customWidth="1"/>
    <col min="18" max="18" width="7" bestFit="1" customWidth="1"/>
    <col min="19" max="20" width="11" customWidth="1"/>
    <col min="21" max="21" width="7.85546875" customWidth="1"/>
  </cols>
  <sheetData>
    <row r="1" spans="1:21" ht="18" x14ac:dyDescent="0.25">
      <c r="A1" s="28" t="s">
        <v>34</v>
      </c>
      <c r="K1" s="60" t="s">
        <v>95</v>
      </c>
    </row>
    <row r="2" spans="1:21" x14ac:dyDescent="0.2">
      <c r="D2" s="5"/>
      <c r="E2" s="5"/>
      <c r="F2" s="5"/>
      <c r="G2" s="5"/>
      <c r="K2" t="s">
        <v>332</v>
      </c>
    </row>
    <row r="3" spans="1:21" s="23" customFormat="1" x14ac:dyDescent="0.2">
      <c r="C3" s="22" t="s">
        <v>53</v>
      </c>
      <c r="D3" s="24">
        <v>100</v>
      </c>
      <c r="E3" s="24"/>
      <c r="F3" s="24"/>
      <c r="K3" s="29" t="s">
        <v>333</v>
      </c>
      <c r="N3" s="26"/>
      <c r="O3" s="26"/>
    </row>
    <row r="4" spans="1:21" s="23" customFormat="1" x14ac:dyDescent="0.2">
      <c r="C4" s="22"/>
      <c r="D4" s="24"/>
      <c r="E4" s="24"/>
      <c r="F4" s="24"/>
      <c r="K4" s="25" t="s">
        <v>62</v>
      </c>
      <c r="M4" s="289"/>
      <c r="N4" s="290"/>
      <c r="O4" s="290"/>
      <c r="P4" s="289"/>
      <c r="Q4" s="289"/>
      <c r="R4" s="289"/>
      <c r="S4" s="291"/>
      <c r="T4" s="289"/>
      <c r="U4" s="289"/>
    </row>
    <row r="5" spans="1:21" s="25" customFormat="1" ht="38.25" customHeight="1" x14ac:dyDescent="0.2">
      <c r="A5" s="25" t="s">
        <v>238</v>
      </c>
      <c r="B5" s="25" t="s">
        <v>16</v>
      </c>
      <c r="C5" s="25" t="s">
        <v>52</v>
      </c>
      <c r="D5" s="25" t="s">
        <v>238</v>
      </c>
      <c r="E5" s="25" t="s">
        <v>267</v>
      </c>
      <c r="F5" s="25" t="s">
        <v>268</v>
      </c>
      <c r="G5" s="25" t="s">
        <v>54</v>
      </c>
      <c r="H5" s="534" t="s">
        <v>16</v>
      </c>
      <c r="I5" s="534"/>
      <c r="K5" s="25" t="s">
        <v>63</v>
      </c>
      <c r="L5" s="25" t="s">
        <v>58</v>
      </c>
      <c r="M5" s="25" t="s">
        <v>65</v>
      </c>
      <c r="N5" s="330" t="s">
        <v>366</v>
      </c>
      <c r="O5" s="330" t="s">
        <v>369</v>
      </c>
      <c r="P5" s="25" t="s">
        <v>133</v>
      </c>
      <c r="Q5" s="25" t="s">
        <v>134</v>
      </c>
      <c r="R5" s="25" t="s">
        <v>188</v>
      </c>
      <c r="S5" s="25" t="s">
        <v>262</v>
      </c>
      <c r="T5" s="25" t="s">
        <v>261</v>
      </c>
      <c r="U5" s="330" t="s">
        <v>275</v>
      </c>
    </row>
    <row r="6" spans="1:21" s="25" customFormat="1" x14ac:dyDescent="0.2">
      <c r="D6" s="25" t="s">
        <v>265</v>
      </c>
      <c r="E6" s="25" t="s">
        <v>94</v>
      </c>
      <c r="F6" s="25" t="s">
        <v>31</v>
      </c>
      <c r="G6" s="25" t="s">
        <v>24</v>
      </c>
      <c r="H6" s="25" t="s">
        <v>28</v>
      </c>
      <c r="J6" s="25" t="s">
        <v>38</v>
      </c>
      <c r="K6" s="25" t="s">
        <v>64</v>
      </c>
      <c r="L6" s="27" t="s">
        <v>50</v>
      </c>
      <c r="M6" s="25" t="s">
        <v>68</v>
      </c>
      <c r="N6" s="330" t="s">
        <v>365</v>
      </c>
      <c r="O6" s="330" t="s">
        <v>370</v>
      </c>
      <c r="R6" s="25" t="s">
        <v>189</v>
      </c>
      <c r="S6" s="25" t="s">
        <v>263</v>
      </c>
    </row>
    <row r="7" spans="1:21" s="11" customFormat="1" x14ac:dyDescent="0.2">
      <c r="A7" s="11" t="s">
        <v>29</v>
      </c>
      <c r="B7" s="11" t="s">
        <v>264</v>
      </c>
      <c r="C7" s="11" t="s">
        <v>27</v>
      </c>
      <c r="D7" s="11" t="s">
        <v>6</v>
      </c>
      <c r="E7" s="11" t="s">
        <v>6</v>
      </c>
      <c r="F7" s="11" t="s">
        <v>5</v>
      </c>
      <c r="G7" s="11" t="s">
        <v>25</v>
      </c>
      <c r="H7" s="11" t="s">
        <v>3</v>
      </c>
      <c r="I7" s="11" t="s">
        <v>41</v>
      </c>
      <c r="K7" s="11" t="s">
        <v>12</v>
      </c>
      <c r="L7" s="11" t="s">
        <v>11</v>
      </c>
      <c r="M7" s="11" t="s">
        <v>69</v>
      </c>
      <c r="N7" s="11" t="s">
        <v>4</v>
      </c>
      <c r="O7" s="11" t="s">
        <v>4</v>
      </c>
      <c r="P7" s="11" t="s">
        <v>3</v>
      </c>
      <c r="Q7" s="11" t="s">
        <v>3</v>
      </c>
      <c r="R7" s="25"/>
      <c r="S7" s="11" t="s">
        <v>4</v>
      </c>
    </row>
    <row r="8" spans="1:21" s="11" customFormat="1" x14ac:dyDescent="0.2">
      <c r="A8" s="73" t="s">
        <v>98</v>
      </c>
      <c r="C8" s="8" t="s">
        <v>49</v>
      </c>
      <c r="R8" s="329" t="s">
        <v>274</v>
      </c>
      <c r="S8" s="329"/>
    </row>
    <row r="9" spans="1:21" x14ac:dyDescent="0.2">
      <c r="A9">
        <f>D9*3.28</f>
        <v>0</v>
      </c>
      <c r="B9" s="4">
        <f>H9/6895</f>
        <v>1014.7283138706209</v>
      </c>
      <c r="C9" s="11">
        <v>0</v>
      </c>
      <c r="D9" s="4">
        <f t="shared" ref="D9:D40" si="0">i*L/N</f>
        <v>0</v>
      </c>
      <c r="E9">
        <f>IF(MD&lt;TVD,dcase,dhor)</f>
        <v>0.11861823723647448</v>
      </c>
      <c r="F9">
        <f>0.25*PI()*(E9^2-dto^2)</f>
        <v>9.0239389202190143E-3</v>
      </c>
      <c r="G9" s="4">
        <f>T0+MIN(D9,TVD)*dT</f>
        <v>299.66666666666669</v>
      </c>
      <c r="H9" s="16">
        <f>Pchoke</f>
        <v>6996551.7241379311</v>
      </c>
      <c r="I9" s="2">
        <f>Pi/1000000</f>
        <v>6.9965517241379311</v>
      </c>
      <c r="J9" s="2">
        <f>1+BB*H9+CCC*H9^2+DD*H9^3</f>
        <v>1.0075278859942371</v>
      </c>
      <c r="K9" s="4">
        <f>(-0.002516*(T-273)^2-0.1853*(T-273)+1002)*(1+Pi/1000000*(0.00000002*(T-273)^2-0.00000224*(T-273)+0.000508))*(1+Cbrine)</f>
        <v>1018.4598321283104</v>
      </c>
      <c r="L9" s="12">
        <f>0.001*(83080000000*T^-4.4259)</f>
        <v>9.081183042012489E-4</v>
      </c>
      <c r="M9" s="19">
        <f t="shared" ref="M9:M40" si="1">(mw-ml)/rhow</f>
        <v>7.4100152953261705E-3</v>
      </c>
      <c r="N9" s="432">
        <f t="shared" ref="N9:N40" si="2">Qw/Aa</f>
        <v>0.82115087001789311</v>
      </c>
      <c r="O9" s="432" t="str">
        <f t="shared" ref="O9:O40" si="3">IF(MD&gt;=TVD,va,"")</f>
        <v/>
      </c>
      <c r="P9" s="429">
        <f t="shared" ref="P9:P40" si="4">0.1275*(L/N)*rhow^0.8*va^1.8*muw^0.2/((dci-dto)^1.2)</f>
        <v>9189.3399087413582</v>
      </c>
      <c r="Q9" s="429">
        <f t="shared" ref="Q9:Q40" si="5">IF(D9&lt;TVD,rhow*g*L/N,0)</f>
        <v>646567.98240247241</v>
      </c>
      <c r="R9" s="430">
        <f t="shared" ref="R9:R40" si="6">IF(MD&lt;TVD,1-1.8*SQRT(g*DP*(rhorock-rhow)/rhow)/va,1)</f>
        <v>0.72534372972725702</v>
      </c>
      <c r="S9" s="431">
        <f t="shared" ref="S9:S40" si="7">3000*muw/(dci-dto)/rhow</f>
        <v>3.9443362637476748E-2</v>
      </c>
      <c r="T9" s="4">
        <f t="shared" ref="T9:T40" si="8">N9/S9</f>
        <v>20.818480350295594</v>
      </c>
      <c r="U9" s="4">
        <f t="shared" ref="U9:U40" si="9">9.8*0.001*MIN(D9,TVD)*145</f>
        <v>0</v>
      </c>
    </row>
    <row r="10" spans="1:21" x14ac:dyDescent="0.2">
      <c r="A10">
        <f t="shared" ref="A10:A73" si="10">D10*3.28</f>
        <v>212.48</v>
      </c>
      <c r="B10" s="4">
        <f t="shared" ref="B10:B73" si="11">H10/6895</f>
        <v>1109.8345245031392</v>
      </c>
      <c r="C10" s="11">
        <f>1+C9</f>
        <v>1</v>
      </c>
      <c r="D10" s="4">
        <f t="shared" si="0"/>
        <v>64.780487804878049</v>
      </c>
      <c r="E10">
        <f t="shared" ref="E10:E73" si="12">IF(MD&lt;TVD,dcase,dhor)</f>
        <v>0.11861823723647448</v>
      </c>
      <c r="F10">
        <f t="shared" ref="F10:F73" si="13">0.25*PI()*(E10^2-dto^2)</f>
        <v>9.0239389202190143E-3</v>
      </c>
      <c r="G10" s="4">
        <f t="shared" ref="G10:G73" si="14">T0+MIN(D10,TVD)*dT</f>
        <v>301.14267208672089</v>
      </c>
      <c r="H10" s="9">
        <f t="shared" ref="H10:H41" si="15">H9+P9+Q9</f>
        <v>7652309.0464491453</v>
      </c>
      <c r="I10" s="2">
        <f t="shared" ref="I10:I73" si="16">Pi/1000000</f>
        <v>7.6523090464491457</v>
      </c>
      <c r="J10" s="2">
        <f t="shared" ref="J10:J73" si="17">1+BB*H10+CCC*H10^2+DD*H10^3</f>
        <v>1.0091408077431885</v>
      </c>
      <c r="K10" s="4">
        <f t="shared" ref="K10:K73" si="18">(-0.002516*(T-273)^2-0.1853*(T-273)+1002)*(1+Pi/1000000*(0.00000002*(T-273)^2-0.00000224*(T-273)+0.000508))*(1+Cbrine)</f>
        <v>1018.2662975170417</v>
      </c>
      <c r="L10" s="12">
        <f t="shared" ref="L10:L73" si="19">0.001*(83080000000*T^-4.4259)</f>
        <v>8.8858334089822368E-4</v>
      </c>
      <c r="M10" s="19">
        <f t="shared" si="1"/>
        <v>7.4114236640732975E-3</v>
      </c>
      <c r="N10" s="432">
        <f t="shared" si="2"/>
        <v>0.82130694030599882</v>
      </c>
      <c r="O10" s="432" t="str">
        <f t="shared" si="3"/>
        <v/>
      </c>
      <c r="P10" s="429">
        <f t="shared" si="4"/>
        <v>9151.1989894723192</v>
      </c>
      <c r="Q10" s="429">
        <f t="shared" si="5"/>
        <v>646445.11719052622</v>
      </c>
      <c r="R10" s="430">
        <f t="shared" si="6"/>
        <v>0.72535353904286937</v>
      </c>
      <c r="S10" s="431">
        <f t="shared" si="7"/>
        <v>3.8602213220148382E-2</v>
      </c>
      <c r="T10" s="4">
        <f t="shared" si="8"/>
        <v>21.276161955328472</v>
      </c>
      <c r="U10" s="4">
        <f t="shared" si="9"/>
        <v>92.053073170731722</v>
      </c>
    </row>
    <row r="11" spans="1:21" x14ac:dyDescent="0.2">
      <c r="A11">
        <f t="shared" si="10"/>
        <v>424.96</v>
      </c>
      <c r="B11" s="4">
        <f t="shared" si="11"/>
        <v>1204.9173839926241</v>
      </c>
      <c r="C11" s="11">
        <f t="shared" ref="C11:C19" si="20">1+C10</f>
        <v>2</v>
      </c>
      <c r="D11" s="4">
        <f t="shared" si="0"/>
        <v>129.5609756097561</v>
      </c>
      <c r="E11">
        <f t="shared" si="12"/>
        <v>0.11861823723647448</v>
      </c>
      <c r="F11">
        <f t="shared" si="13"/>
        <v>9.0239389202190143E-3</v>
      </c>
      <c r="G11" s="4">
        <f t="shared" si="14"/>
        <v>302.6186775067751</v>
      </c>
      <c r="H11" s="9">
        <f t="shared" si="15"/>
        <v>8307905.3626291435</v>
      </c>
      <c r="I11" s="2">
        <f t="shared" si="16"/>
        <v>8.3079053626291444</v>
      </c>
      <c r="J11" s="2">
        <f t="shared" si="17"/>
        <v>1.0109018738104598</v>
      </c>
      <c r="K11" s="4">
        <f t="shared" si="18"/>
        <v>1018.0596693981586</v>
      </c>
      <c r="L11" s="12">
        <f t="shared" si="19"/>
        <v>8.6956105519545609E-4</v>
      </c>
      <c r="M11" s="19">
        <f t="shared" si="1"/>
        <v>7.4129279064826439E-3</v>
      </c>
      <c r="N11" s="432">
        <f t="shared" si="2"/>
        <v>0.82147363496369163</v>
      </c>
      <c r="O11" s="432" t="str">
        <f t="shared" si="3"/>
        <v/>
      </c>
      <c r="P11" s="429">
        <f t="shared" si="4"/>
        <v>9113.5277112059448</v>
      </c>
      <c r="Q11" s="429">
        <f t="shared" si="5"/>
        <v>646313.9395812389</v>
      </c>
      <c r="R11" s="430">
        <f t="shared" si="6"/>
        <v>0.72536401922458937</v>
      </c>
      <c r="S11" s="431">
        <f t="shared" si="7"/>
        <v>3.7783506126875782E-2</v>
      </c>
      <c r="T11" s="4">
        <f t="shared" si="8"/>
        <v>21.741593599207281</v>
      </c>
      <c r="U11" s="4">
        <f t="shared" si="9"/>
        <v>184.10614634146344</v>
      </c>
    </row>
    <row r="12" spans="1:21" x14ac:dyDescent="0.2">
      <c r="A12">
        <f t="shared" si="10"/>
        <v>637.43999999999983</v>
      </c>
      <c r="B12" s="4">
        <f t="shared" si="11"/>
        <v>1299.9757548834791</v>
      </c>
      <c r="C12" s="11">
        <f t="shared" si="20"/>
        <v>3</v>
      </c>
      <c r="D12" s="4">
        <f t="shared" si="0"/>
        <v>194.34146341463412</v>
      </c>
      <c r="E12">
        <f t="shared" si="12"/>
        <v>0.11861823723647448</v>
      </c>
      <c r="F12">
        <f t="shared" si="13"/>
        <v>9.0239389202190143E-3</v>
      </c>
      <c r="G12" s="4">
        <f t="shared" si="14"/>
        <v>304.09468292682931</v>
      </c>
      <c r="H12" s="9">
        <f t="shared" si="15"/>
        <v>8963332.8299215883</v>
      </c>
      <c r="I12" s="2">
        <f t="shared" si="16"/>
        <v>8.9633328299215886</v>
      </c>
      <c r="J12" s="2">
        <f t="shared" si="17"/>
        <v>1.0128093151016497</v>
      </c>
      <c r="K12" s="4">
        <f t="shared" si="18"/>
        <v>1017.8401113029546</v>
      </c>
      <c r="L12" s="12">
        <f t="shared" si="19"/>
        <v>8.5103558940562618E-4</v>
      </c>
      <c r="M12" s="19">
        <f t="shared" si="1"/>
        <v>7.4145269477396717E-3</v>
      </c>
      <c r="N12" s="432">
        <f t="shared" si="2"/>
        <v>0.8216508348839443</v>
      </c>
      <c r="O12" s="432" t="str">
        <f t="shared" si="3"/>
        <v/>
      </c>
      <c r="P12" s="429">
        <f t="shared" si="4"/>
        <v>9076.3183067715963</v>
      </c>
      <c r="Q12" s="429">
        <f t="shared" si="5"/>
        <v>646174.55339225242</v>
      </c>
      <c r="R12" s="430">
        <f t="shared" si="6"/>
        <v>0.72537516338741304</v>
      </c>
      <c r="S12" s="431">
        <f t="shared" si="7"/>
        <v>3.6986528302529735E-2</v>
      </c>
      <c r="T12" s="4">
        <f t="shared" si="8"/>
        <v>22.2148677530177</v>
      </c>
      <c r="U12" s="4">
        <f t="shared" si="9"/>
        <v>276.15921951219514</v>
      </c>
    </row>
    <row r="13" spans="1:21" x14ac:dyDescent="0.2">
      <c r="A13">
        <f t="shared" si="10"/>
        <v>849.92</v>
      </c>
      <c r="B13" s="4">
        <f t="shared" si="11"/>
        <v>1395.0085136505602</v>
      </c>
      <c r="C13" s="11">
        <f t="shared" si="20"/>
        <v>4</v>
      </c>
      <c r="D13" s="4">
        <f t="shared" si="0"/>
        <v>259.1219512195122</v>
      </c>
      <c r="E13">
        <f t="shared" si="12"/>
        <v>0.11861823723647448</v>
      </c>
      <c r="F13">
        <f t="shared" si="13"/>
        <v>9.0239389202190143E-3</v>
      </c>
      <c r="G13" s="4">
        <f t="shared" si="14"/>
        <v>305.57068834688351</v>
      </c>
      <c r="H13" s="9">
        <f t="shared" si="15"/>
        <v>9618583.7016206123</v>
      </c>
      <c r="I13" s="2">
        <f t="shared" si="16"/>
        <v>9.6185837016206115</v>
      </c>
      <c r="J13" s="2">
        <f t="shared" si="17"/>
        <v>1.0148613583635462</v>
      </c>
      <c r="K13" s="4">
        <f t="shared" si="18"/>
        <v>1017.6077865213937</v>
      </c>
      <c r="L13" s="12">
        <f t="shared" si="19"/>
        <v>8.3299164994931631E-4</v>
      </c>
      <c r="M13" s="19">
        <f t="shared" si="1"/>
        <v>7.4162197201185073E-3</v>
      </c>
      <c r="N13" s="432">
        <f t="shared" si="2"/>
        <v>0.82183842174526966</v>
      </c>
      <c r="O13" s="432" t="str">
        <f t="shared" si="3"/>
        <v/>
      </c>
      <c r="P13" s="429">
        <f t="shared" si="4"/>
        <v>9039.5631604487917</v>
      </c>
      <c r="Q13" s="429">
        <f t="shared" si="5"/>
        <v>646027.0622880013</v>
      </c>
      <c r="R13" s="430">
        <f t="shared" si="6"/>
        <v>0.72538696472220843</v>
      </c>
      <c r="S13" s="431">
        <f t="shared" si="7"/>
        <v>3.6210592801469599E-2</v>
      </c>
      <c r="T13" s="4">
        <f t="shared" si="8"/>
        <v>22.696077533199499</v>
      </c>
      <c r="U13" s="4">
        <f t="shared" si="9"/>
        <v>368.21229268292689</v>
      </c>
    </row>
    <row r="14" spans="1:21" x14ac:dyDescent="0.2">
      <c r="A14">
        <f t="shared" si="10"/>
        <v>1062.4000000000001</v>
      </c>
      <c r="B14" s="4">
        <f t="shared" si="11"/>
        <v>1490.0145506989213</v>
      </c>
      <c r="C14" s="11">
        <f t="shared" si="20"/>
        <v>5</v>
      </c>
      <c r="D14" s="4">
        <f t="shared" si="0"/>
        <v>323.90243902439028</v>
      </c>
      <c r="E14">
        <f t="shared" si="12"/>
        <v>0.11861823723647448</v>
      </c>
      <c r="F14">
        <f t="shared" si="13"/>
        <v>9.0239389202190143E-3</v>
      </c>
      <c r="G14" s="4">
        <f t="shared" si="14"/>
        <v>307.04669376693766</v>
      </c>
      <c r="H14" s="9">
        <f t="shared" si="15"/>
        <v>10273650.327069063</v>
      </c>
      <c r="I14" s="2">
        <f t="shared" si="16"/>
        <v>10.273650327069063</v>
      </c>
      <c r="J14" s="2">
        <f t="shared" si="17"/>
        <v>1.0170562264872156</v>
      </c>
      <c r="K14" s="4">
        <f t="shared" si="18"/>
        <v>1017.3628580756751</v>
      </c>
      <c r="L14" s="12">
        <f t="shared" si="19"/>
        <v>8.1541448469430117E-4</v>
      </c>
      <c r="M14" s="19">
        <f t="shared" si="1"/>
        <v>7.4180051628980788E-3</v>
      </c>
      <c r="N14" s="432">
        <f t="shared" si="2"/>
        <v>0.82203627800242707</v>
      </c>
      <c r="O14" s="432" t="str">
        <f t="shared" si="3"/>
        <v/>
      </c>
      <c r="P14" s="429">
        <f t="shared" si="4"/>
        <v>9003.254804355247</v>
      </c>
      <c r="Q14" s="429">
        <f t="shared" si="5"/>
        <v>645871.56976293016</v>
      </c>
      <c r="R14" s="430">
        <f t="shared" si="6"/>
        <v>0.72539941649348649</v>
      </c>
      <c r="S14" s="431">
        <f t="shared" si="7"/>
        <v>3.5455037709281136E-2</v>
      </c>
      <c r="T14" s="4">
        <f t="shared" si="8"/>
        <v>23.185316702885384</v>
      </c>
      <c r="U14" s="4">
        <f t="shared" si="9"/>
        <v>460.26536585365864</v>
      </c>
    </row>
    <row r="15" spans="1:21" x14ac:dyDescent="0.2">
      <c r="A15">
        <f t="shared" si="10"/>
        <v>1274.8799999999997</v>
      </c>
      <c r="B15" s="4">
        <f t="shared" si="11"/>
        <v>1584.9927703606018</v>
      </c>
      <c r="C15" s="11">
        <f t="shared" si="20"/>
        <v>6</v>
      </c>
      <c r="D15" s="4">
        <f t="shared" si="0"/>
        <v>388.68292682926824</v>
      </c>
      <c r="E15">
        <f t="shared" si="12"/>
        <v>0.11861823723647448</v>
      </c>
      <c r="F15">
        <f t="shared" si="13"/>
        <v>9.0239389202190143E-3</v>
      </c>
      <c r="G15" s="4">
        <f t="shared" si="14"/>
        <v>308.52269918699187</v>
      </c>
      <c r="H15" s="9">
        <f t="shared" si="15"/>
        <v>10928525.151636349</v>
      </c>
      <c r="I15" s="2">
        <f t="shared" si="16"/>
        <v>10.928525151636348</v>
      </c>
      <c r="J15" s="2">
        <f t="shared" si="17"/>
        <v>1.0193921388072271</v>
      </c>
      <c r="K15" s="4">
        <f t="shared" si="18"/>
        <v>1017.1054886939401</v>
      </c>
      <c r="L15" s="12">
        <f t="shared" si="19"/>
        <v>7.9828986130834646E-4</v>
      </c>
      <c r="M15" s="19">
        <f t="shared" si="1"/>
        <v>7.4198822222824841E-3</v>
      </c>
      <c r="N15" s="432">
        <f t="shared" si="2"/>
        <v>0.82224428687759787</v>
      </c>
      <c r="O15" s="432" t="str">
        <f t="shared" si="3"/>
        <v/>
      </c>
      <c r="P15" s="429">
        <f t="shared" si="4"/>
        <v>8967.3859149408327</v>
      </c>
      <c r="Q15" s="429">
        <f t="shared" si="5"/>
        <v>645708.17912480084</v>
      </c>
      <c r="R15" s="430">
        <f t="shared" si="6"/>
        <v>0.72541251203722801</v>
      </c>
      <c r="S15" s="431">
        <f t="shared" si="7"/>
        <v>3.4719225113990275E-2</v>
      </c>
      <c r="T15" s="4">
        <f t="shared" si="8"/>
        <v>23.682679673235871</v>
      </c>
      <c r="U15" s="4">
        <f t="shared" si="9"/>
        <v>552.31843902439027</v>
      </c>
    </row>
    <row r="16" spans="1:21" x14ac:dyDescent="0.2">
      <c r="A16">
        <f t="shared" si="10"/>
        <v>1487.36</v>
      </c>
      <c r="B16" s="4">
        <f t="shared" si="11"/>
        <v>1679.9420908884829</v>
      </c>
      <c r="C16" s="11">
        <f t="shared" si="20"/>
        <v>7</v>
      </c>
      <c r="D16" s="4">
        <f t="shared" si="0"/>
        <v>453.46341463414632</v>
      </c>
      <c r="E16">
        <f t="shared" si="12"/>
        <v>0.11861823723647448</v>
      </c>
      <c r="F16">
        <f t="shared" si="13"/>
        <v>9.0239389202190143E-3</v>
      </c>
      <c r="G16" s="4">
        <f t="shared" si="14"/>
        <v>309.99870460704608</v>
      </c>
      <c r="H16" s="9">
        <f t="shared" si="15"/>
        <v>11583200.71667609</v>
      </c>
      <c r="I16" s="2">
        <f t="shared" si="16"/>
        <v>11.583200716676091</v>
      </c>
      <c r="J16" s="2">
        <f t="shared" si="17"/>
        <v>1.0218673113969612</v>
      </c>
      <c r="K16" s="4">
        <f t="shared" si="18"/>
        <v>1016.8358407841195</v>
      </c>
      <c r="L16" s="12">
        <f t="shared" si="19"/>
        <v>7.8160404657559948E-4</v>
      </c>
      <c r="M16" s="19">
        <f t="shared" si="1"/>
        <v>7.4218498513255468E-3</v>
      </c>
      <c r="N16" s="432">
        <f t="shared" si="2"/>
        <v>0.82246233235202526</v>
      </c>
      <c r="O16" s="432" t="str">
        <f t="shared" si="3"/>
        <v/>
      </c>
      <c r="P16" s="429">
        <f t="shared" si="4"/>
        <v>8931.9493095838516</v>
      </c>
      <c r="Q16" s="429">
        <f t="shared" si="5"/>
        <v>645536.99347809004</v>
      </c>
      <c r="R16" s="430">
        <f t="shared" si="6"/>
        <v>0.72542624475876449</v>
      </c>
      <c r="S16" s="431">
        <f t="shared" si="7"/>
        <v>3.4002540124258802E-2</v>
      </c>
      <c r="T16" s="4">
        <f t="shared" si="8"/>
        <v>24.188261504770551</v>
      </c>
      <c r="U16" s="4">
        <f t="shared" si="9"/>
        <v>644.37151219512202</v>
      </c>
    </row>
    <row r="17" spans="1:21" x14ac:dyDescent="0.2">
      <c r="A17">
        <f t="shared" si="10"/>
        <v>1699.84</v>
      </c>
      <c r="B17" s="4">
        <f t="shared" si="11"/>
        <v>1774.8614444472464</v>
      </c>
      <c r="C17" s="11">
        <f t="shared" si="20"/>
        <v>8</v>
      </c>
      <c r="D17" s="4">
        <f t="shared" si="0"/>
        <v>518.2439024390244</v>
      </c>
      <c r="E17">
        <f t="shared" si="12"/>
        <v>0.11861823723647448</v>
      </c>
      <c r="F17">
        <f t="shared" si="13"/>
        <v>9.0239389202190143E-3</v>
      </c>
      <c r="G17" s="4">
        <f t="shared" si="14"/>
        <v>311.47471002710029</v>
      </c>
      <c r="H17" s="9">
        <f t="shared" si="15"/>
        <v>12237669.659463763</v>
      </c>
      <c r="I17" s="2">
        <f t="shared" si="16"/>
        <v>12.237669659463764</v>
      </c>
      <c r="J17" s="2">
        <f t="shared" si="17"/>
        <v>1.0244799573599646</v>
      </c>
      <c r="K17" s="4">
        <f t="shared" si="18"/>
        <v>1016.5540764079301</v>
      </c>
      <c r="L17" s="12">
        <f t="shared" si="19"/>
        <v>7.6534378662934601E-4</v>
      </c>
      <c r="M17" s="19">
        <f t="shared" si="1"/>
        <v>7.4239070098595216E-3</v>
      </c>
      <c r="N17" s="432">
        <f t="shared" si="2"/>
        <v>0.8226902991581132</v>
      </c>
      <c r="O17" s="432" t="str">
        <f t="shared" si="3"/>
        <v/>
      </c>
      <c r="P17" s="429">
        <f t="shared" si="4"/>
        <v>8896.9379432865426</v>
      </c>
      <c r="Q17" s="429">
        <f t="shared" si="5"/>
        <v>645358.11570748128</v>
      </c>
      <c r="R17" s="430">
        <f t="shared" si="6"/>
        <v>0.7254406081307172</v>
      </c>
      <c r="S17" s="431">
        <f t="shared" si="7"/>
        <v>3.3304389932204984E-2</v>
      </c>
      <c r="T17" s="4">
        <f t="shared" si="8"/>
        <v>24.702157908696012</v>
      </c>
      <c r="U17" s="4">
        <f t="shared" si="9"/>
        <v>736.42458536585377</v>
      </c>
    </row>
    <row r="18" spans="1:21" x14ac:dyDescent="0.2">
      <c r="A18">
        <f t="shared" si="10"/>
        <v>1912.3199999999997</v>
      </c>
      <c r="B18" s="4">
        <f t="shared" si="11"/>
        <v>1869.749777101455</v>
      </c>
      <c r="C18" s="11">
        <f t="shared" si="20"/>
        <v>9</v>
      </c>
      <c r="D18" s="4">
        <f t="shared" si="0"/>
        <v>583.02439024390242</v>
      </c>
      <c r="E18">
        <f t="shared" si="12"/>
        <v>0.11861823723647448</v>
      </c>
      <c r="F18">
        <f t="shared" si="13"/>
        <v>9.0239389202190143E-3</v>
      </c>
      <c r="G18" s="4">
        <f t="shared" si="14"/>
        <v>312.95071544715449</v>
      </c>
      <c r="H18" s="9">
        <f t="shared" si="15"/>
        <v>12891924.713114532</v>
      </c>
      <c r="I18" s="2">
        <f t="shared" si="16"/>
        <v>12.891924713114532</v>
      </c>
      <c r="J18" s="2">
        <f t="shared" si="17"/>
        <v>1.0272282871173049</v>
      </c>
      <c r="K18" s="4">
        <f t="shared" si="18"/>
        <v>1016.2603572550112</v>
      </c>
      <c r="L18" s="12">
        <f t="shared" si="19"/>
        <v>7.4949628805646865E-4</v>
      </c>
      <c r="M18" s="19">
        <f t="shared" si="1"/>
        <v>7.4260526644279777E-3</v>
      </c>
      <c r="N18" s="432">
        <f t="shared" si="2"/>
        <v>0.82292807277198909</v>
      </c>
      <c r="O18" s="432" t="str">
        <f t="shared" si="3"/>
        <v/>
      </c>
      <c r="P18" s="429">
        <f t="shared" si="4"/>
        <v>8862.3449054662997</v>
      </c>
      <c r="Q18" s="429">
        <f t="shared" si="5"/>
        <v>645171.64846144477</v>
      </c>
      <c r="R18" s="430">
        <f t="shared" si="6"/>
        <v>0.72545559569099138</v>
      </c>
      <c r="S18" s="431">
        <f t="shared" si="7"/>
        <v>3.2624202918622731E-2</v>
      </c>
      <c r="T18" s="4">
        <f t="shared" si="8"/>
        <v>25.224465248229578</v>
      </c>
      <c r="U18" s="4">
        <f t="shared" si="9"/>
        <v>828.47765853658541</v>
      </c>
    </row>
    <row r="19" spans="1:21" x14ac:dyDescent="0.2">
      <c r="A19">
        <f t="shared" si="10"/>
        <v>2124.8000000000002</v>
      </c>
      <c r="B19" s="4">
        <f t="shared" si="11"/>
        <v>1964.6060488007893</v>
      </c>
      <c r="C19" s="11">
        <f t="shared" si="20"/>
        <v>10</v>
      </c>
      <c r="D19" s="4">
        <f t="shared" si="0"/>
        <v>647.80487804878055</v>
      </c>
      <c r="E19">
        <f t="shared" si="12"/>
        <v>0.11861823723647448</v>
      </c>
      <c r="F19">
        <f t="shared" si="13"/>
        <v>9.0239389202190143E-3</v>
      </c>
      <c r="G19" s="4">
        <f t="shared" si="14"/>
        <v>314.4267208672087</v>
      </c>
      <c r="H19" s="9">
        <f t="shared" si="15"/>
        <v>13545958.706481442</v>
      </c>
      <c r="I19" s="2">
        <f t="shared" si="16"/>
        <v>13.545958706481441</v>
      </c>
      <c r="J19" s="2">
        <f t="shared" si="17"/>
        <v>1.0301105086908871</v>
      </c>
      <c r="K19" s="4">
        <f t="shared" si="18"/>
        <v>1015.9548446172125</v>
      </c>
      <c r="L19" s="12">
        <f t="shared" si="19"/>
        <v>7.3404919983125459E-4</v>
      </c>
      <c r="M19" s="19">
        <f t="shared" si="1"/>
        <v>7.428285788222762E-3</v>
      </c>
      <c r="N19" s="432">
        <f t="shared" si="2"/>
        <v>0.82317553940651833</v>
      </c>
      <c r="O19" s="432" t="str">
        <f t="shared" si="3"/>
        <v/>
      </c>
      <c r="P19" s="429">
        <f t="shared" si="4"/>
        <v>8828.1634168398396</v>
      </c>
      <c r="Q19" s="429">
        <f t="shared" si="5"/>
        <v>644977.69413591467</v>
      </c>
      <c r="R19" s="430">
        <f t="shared" si="6"/>
        <v>0.72547120104082863</v>
      </c>
      <c r="S19" s="431">
        <f t="shared" si="7"/>
        <v>3.196142779849092E-2</v>
      </c>
      <c r="T19" s="4">
        <f t="shared" si="8"/>
        <v>25.755280539919593</v>
      </c>
      <c r="U19" s="4">
        <f t="shared" si="9"/>
        <v>920.53073170731727</v>
      </c>
    </row>
    <row r="20" spans="1:21" x14ac:dyDescent="0.2">
      <c r="A20">
        <f t="shared" si="10"/>
        <v>2337.2800000000002</v>
      </c>
      <c r="B20" s="4">
        <f t="shared" si="11"/>
        <v>2059.4292333624653</v>
      </c>
      <c r="C20" s="11">
        <f t="shared" ref="C20:C83" si="21">1+C19</f>
        <v>11</v>
      </c>
      <c r="D20" s="4">
        <f t="shared" si="0"/>
        <v>712.58536585365857</v>
      </c>
      <c r="E20">
        <f t="shared" si="12"/>
        <v>0.11861823723647448</v>
      </c>
      <c r="F20">
        <f t="shared" si="13"/>
        <v>9.0239389202190143E-3</v>
      </c>
      <c r="G20" s="4">
        <f t="shared" si="14"/>
        <v>315.90272628726291</v>
      </c>
      <c r="H20" s="9">
        <f t="shared" si="15"/>
        <v>14199764.564034197</v>
      </c>
      <c r="I20" s="2">
        <f t="shared" si="16"/>
        <v>14.199764564034197</v>
      </c>
      <c r="J20" s="2">
        <f t="shared" si="17"/>
        <v>1.033124827982699</v>
      </c>
      <c r="K20" s="4">
        <f t="shared" si="18"/>
        <v>1015.6376993630288</v>
      </c>
      <c r="L20" s="12">
        <f t="shared" si="19"/>
        <v>7.189905960384808E-4</v>
      </c>
      <c r="M20" s="19">
        <f t="shared" si="1"/>
        <v>7.4306053610250838E-3</v>
      </c>
      <c r="N20" s="432">
        <f t="shared" si="2"/>
        <v>0.82343258600477542</v>
      </c>
      <c r="O20" s="432" t="str">
        <f t="shared" si="3"/>
        <v/>
      </c>
      <c r="P20" s="429">
        <f t="shared" si="4"/>
        <v>8794.3868263969543</v>
      </c>
      <c r="Q20" s="429">
        <f t="shared" si="5"/>
        <v>644776.35485805862</v>
      </c>
      <c r="R20" s="430">
        <f t="shared" si="6"/>
        <v>0.72548741784291615</v>
      </c>
      <c r="S20" s="431">
        <f t="shared" si="7"/>
        <v>3.131553280477993E-2</v>
      </c>
      <c r="T20" s="4">
        <f t="shared" si="8"/>
        <v>26.294701454962585</v>
      </c>
      <c r="U20" s="4">
        <f t="shared" si="9"/>
        <v>1012.5838048780489</v>
      </c>
    </row>
    <row r="21" spans="1:21" x14ac:dyDescent="0.2">
      <c r="A21">
        <f t="shared" si="10"/>
        <v>2549.7599999999993</v>
      </c>
      <c r="B21" s="4">
        <f t="shared" si="11"/>
        <v>2154.2183184508563</v>
      </c>
      <c r="C21" s="11">
        <f t="shared" si="21"/>
        <v>12</v>
      </c>
      <c r="D21" s="4">
        <f t="shared" si="0"/>
        <v>777.36585365853648</v>
      </c>
      <c r="E21">
        <f t="shared" si="12"/>
        <v>0.11861823723647448</v>
      </c>
      <c r="F21">
        <f t="shared" si="13"/>
        <v>9.0239389202190143E-3</v>
      </c>
      <c r="G21" s="4">
        <f t="shared" si="14"/>
        <v>317.37873170731712</v>
      </c>
      <c r="H21" s="9">
        <f t="shared" si="15"/>
        <v>14853335.305718655</v>
      </c>
      <c r="I21" s="2">
        <f t="shared" si="16"/>
        <v>14.853335305718655</v>
      </c>
      <c r="J21" s="2">
        <f t="shared" si="17"/>
        <v>1.0362694490499496</v>
      </c>
      <c r="K21" s="4">
        <f t="shared" si="18"/>
        <v>1015.3090819121828</v>
      </c>
      <c r="L21" s="12">
        <f t="shared" si="19"/>
        <v>7.0430895934783832E-4</v>
      </c>
      <c r="M21" s="19">
        <f t="shared" si="1"/>
        <v>7.4330103691506721E-3</v>
      </c>
      <c r="N21" s="432">
        <f t="shared" si="2"/>
        <v>0.82369910023396642</v>
      </c>
      <c r="O21" s="432" t="str">
        <f t="shared" si="3"/>
        <v/>
      </c>
      <c r="P21" s="429">
        <f t="shared" si="4"/>
        <v>8761.0086084613522</v>
      </c>
      <c r="Q21" s="429">
        <f t="shared" si="5"/>
        <v>644567.73247014219</v>
      </c>
      <c r="R21" s="430">
        <f t="shared" si="6"/>
        <v>0.72550423981955536</v>
      </c>
      <c r="S21" s="431">
        <f t="shared" si="7"/>
        <v>3.0686004908671235E-2</v>
      </c>
      <c r="T21" s="4">
        <f t="shared" si="8"/>
        <v>26.8428263205161</v>
      </c>
      <c r="U21" s="4">
        <f t="shared" si="9"/>
        <v>1104.6368780487805</v>
      </c>
    </row>
    <row r="22" spans="1:21" x14ac:dyDescent="0.2">
      <c r="A22">
        <f t="shared" si="10"/>
        <v>2762.24</v>
      </c>
      <c r="B22" s="4">
        <f t="shared" si="11"/>
        <v>2248.9723055543518</v>
      </c>
      <c r="C22" s="11">
        <f t="shared" si="21"/>
        <v>13</v>
      </c>
      <c r="D22" s="4">
        <f t="shared" si="0"/>
        <v>842.14634146341461</v>
      </c>
      <c r="E22">
        <f t="shared" si="12"/>
        <v>0.11861823723647448</v>
      </c>
      <c r="F22">
        <f t="shared" si="13"/>
        <v>9.0239389202190143E-3</v>
      </c>
      <c r="G22" s="4">
        <f t="shared" si="14"/>
        <v>318.85473712737132</v>
      </c>
      <c r="H22" s="9">
        <f t="shared" si="15"/>
        <v>15506664.046797257</v>
      </c>
      <c r="I22" s="2">
        <f t="shared" si="16"/>
        <v>15.506664046797257</v>
      </c>
      <c r="J22" s="2">
        <f t="shared" si="17"/>
        <v>1.0395425743760662</v>
      </c>
      <c r="K22" s="4">
        <f t="shared" si="18"/>
        <v>1014.9691522103604</v>
      </c>
      <c r="L22" s="12">
        <f t="shared" si="19"/>
        <v>6.899931652036836E-4</v>
      </c>
      <c r="M22" s="19">
        <f t="shared" si="1"/>
        <v>7.4354998053989809E-3</v>
      </c>
      <c r="N22" s="432">
        <f t="shared" si="2"/>
        <v>0.82397497047980006</v>
      </c>
      <c r="O22" s="432" t="str">
        <f t="shared" si="3"/>
        <v/>
      </c>
      <c r="P22" s="429">
        <f t="shared" si="4"/>
        <v>8728.0223598355678</v>
      </c>
      <c r="Q22" s="429">
        <f t="shared" si="5"/>
        <v>644351.9285134885</v>
      </c>
      <c r="R22" s="430">
        <f t="shared" si="6"/>
        <v>0.72552166075088786</v>
      </c>
      <c r="S22" s="431">
        <f t="shared" si="7"/>
        <v>3.0072349074403537E-2</v>
      </c>
      <c r="T22" s="4">
        <f t="shared" si="8"/>
        <v>27.399754121008687</v>
      </c>
      <c r="U22" s="4">
        <f t="shared" si="9"/>
        <v>1196.6899512195123</v>
      </c>
    </row>
    <row r="23" spans="1:21" x14ac:dyDescent="0.2">
      <c r="A23">
        <f t="shared" si="10"/>
        <v>2974.72</v>
      </c>
      <c r="B23" s="4">
        <f t="shared" si="11"/>
        <v>2343.6902099594749</v>
      </c>
      <c r="C23" s="11">
        <f t="shared" si="21"/>
        <v>14</v>
      </c>
      <c r="D23" s="4">
        <f t="shared" si="0"/>
        <v>906.92682926829264</v>
      </c>
      <c r="E23">
        <f t="shared" si="12"/>
        <v>0.11861823723647448</v>
      </c>
      <c r="F23">
        <f t="shared" si="13"/>
        <v>9.0239389202190143E-3</v>
      </c>
      <c r="G23" s="4">
        <f t="shared" si="14"/>
        <v>320.33074254742547</v>
      </c>
      <c r="H23" s="9">
        <f t="shared" si="15"/>
        <v>16159743.99767058</v>
      </c>
      <c r="I23" s="2">
        <f t="shared" si="16"/>
        <v>16.159743997670581</v>
      </c>
      <c r="J23" s="2">
        <f t="shared" si="17"/>
        <v>1.0429424051375298</v>
      </c>
      <c r="K23" s="4">
        <f t="shared" si="18"/>
        <v>1014.6180697040955</v>
      </c>
      <c r="L23" s="12">
        <f t="shared" si="19"/>
        <v>6.7603246669604858E-4</v>
      </c>
      <c r="M23" s="19">
        <f t="shared" si="1"/>
        <v>7.4380726690064401E-3</v>
      </c>
      <c r="N23" s="432">
        <f t="shared" si="2"/>
        <v>0.8242600858413075</v>
      </c>
      <c r="O23" s="432" t="str">
        <f t="shared" si="3"/>
        <v/>
      </c>
      <c r="P23" s="429">
        <f t="shared" si="4"/>
        <v>8695.4217970273548</v>
      </c>
      <c r="Q23" s="429">
        <f t="shared" si="5"/>
        <v>644129.04421253572</v>
      </c>
      <c r="R23" s="430">
        <f t="shared" si="6"/>
        <v>0.72553967447318124</v>
      </c>
      <c r="S23" s="431">
        <f t="shared" si="7"/>
        <v>2.9474087547057253E-2</v>
      </c>
      <c r="T23" s="4">
        <f t="shared" si="8"/>
        <v>27.965584499446297</v>
      </c>
      <c r="U23" s="4">
        <f t="shared" si="9"/>
        <v>1288.743024390244</v>
      </c>
    </row>
    <row r="24" spans="1:21" x14ac:dyDescent="0.2">
      <c r="A24">
        <f t="shared" si="10"/>
        <v>3187.1999999999994</v>
      </c>
      <c r="B24" s="4">
        <f t="shared" si="11"/>
        <v>2438.3710607222833</v>
      </c>
      <c r="C24" s="11">
        <f t="shared" si="21"/>
        <v>15</v>
      </c>
      <c r="D24" s="4">
        <f t="shared" si="0"/>
        <v>971.70731707317066</v>
      </c>
      <c r="E24">
        <f t="shared" si="12"/>
        <v>0.11861823723647448</v>
      </c>
      <c r="F24">
        <f t="shared" si="13"/>
        <v>9.0239389202190143E-3</v>
      </c>
      <c r="G24" s="4">
        <f t="shared" si="14"/>
        <v>321.80674796747968</v>
      </c>
      <c r="H24" s="9">
        <f t="shared" si="15"/>
        <v>16812568.463680144</v>
      </c>
      <c r="I24" s="2">
        <f t="shared" si="16"/>
        <v>16.812568463680144</v>
      </c>
      <c r="J24" s="2">
        <f t="shared" si="17"/>
        <v>1.0464671414665145</v>
      </c>
      <c r="K24" s="4">
        <f t="shared" si="18"/>
        <v>1014.2559933158085</v>
      </c>
      <c r="L24" s="12">
        <f t="shared" si="19"/>
        <v>6.6241648008060481E-4</v>
      </c>
      <c r="M24" s="19">
        <f t="shared" si="1"/>
        <v>7.4407279656037084E-3</v>
      </c>
      <c r="N24" s="432">
        <f t="shared" si="2"/>
        <v>0.82455433612610485</v>
      </c>
      <c r="O24" s="432" t="str">
        <f t="shared" si="3"/>
        <v/>
      </c>
      <c r="P24" s="429">
        <f t="shared" si="4"/>
        <v>8663.2007535550347</v>
      </c>
      <c r="Q24" s="429">
        <f t="shared" si="5"/>
        <v>643899.18045898818</v>
      </c>
      <c r="R24" s="430">
        <f t="shared" si="6"/>
        <v>0.72555827487717339</v>
      </c>
      <c r="S24" s="431">
        <f t="shared" si="7"/>
        <v>2.8890759171678361E-2</v>
      </c>
      <c r="T24" s="4">
        <f t="shared" si="8"/>
        <v>28.54041775871422</v>
      </c>
      <c r="U24" s="4">
        <f t="shared" si="9"/>
        <v>1380.7960975609758</v>
      </c>
    </row>
    <row r="25" spans="1:21" x14ac:dyDescent="0.2">
      <c r="A25">
        <f t="shared" si="10"/>
        <v>3399.68</v>
      </c>
      <c r="B25" s="4">
        <f t="shared" si="11"/>
        <v>2533.0139006370832</v>
      </c>
      <c r="C25" s="11">
        <f t="shared" si="21"/>
        <v>16</v>
      </c>
      <c r="D25" s="4">
        <f t="shared" si="0"/>
        <v>1036.4878048780488</v>
      </c>
      <c r="E25">
        <f t="shared" si="12"/>
        <v>0.11861823723647448</v>
      </c>
      <c r="F25">
        <f t="shared" si="13"/>
        <v>9.0239389202190143E-3</v>
      </c>
      <c r="G25" s="4">
        <f t="shared" si="14"/>
        <v>323.28275338753389</v>
      </c>
      <c r="H25" s="9">
        <f t="shared" si="15"/>
        <v>17465130.844892688</v>
      </c>
      <c r="I25" s="2">
        <f t="shared" si="16"/>
        <v>17.465130844892688</v>
      </c>
      <c r="J25" s="2">
        <f t="shared" si="17"/>
        <v>1.0501149827093108</v>
      </c>
      <c r="K25" s="4">
        <f t="shared" si="18"/>
        <v>1013.8830814189968</v>
      </c>
      <c r="L25" s="12">
        <f t="shared" si="19"/>
        <v>6.4913517091687897E-4</v>
      </c>
      <c r="M25" s="19">
        <f t="shared" si="1"/>
        <v>7.443464707176938E-3</v>
      </c>
      <c r="N25" s="432">
        <f t="shared" si="2"/>
        <v>0.82485761184610085</v>
      </c>
      <c r="O25" s="432" t="str">
        <f t="shared" si="3"/>
        <v/>
      </c>
      <c r="P25" s="429">
        <f t="shared" si="4"/>
        <v>8631.3531773292652</v>
      </c>
      <c r="Q25" s="429">
        <f t="shared" si="5"/>
        <v>643662.43779606791</v>
      </c>
      <c r="R25" s="430">
        <f t="shared" si="6"/>
        <v>0.72557745590647715</v>
      </c>
      <c r="S25" s="431">
        <f t="shared" si="7"/>
        <v>2.8321918742224124E-2</v>
      </c>
      <c r="T25" s="4">
        <f t="shared" si="8"/>
        <v>29.124354862876945</v>
      </c>
      <c r="U25" s="4">
        <f t="shared" si="9"/>
        <v>1472.8491707317075</v>
      </c>
    </row>
    <row r="26" spans="1:21" x14ac:dyDescent="0.2">
      <c r="A26">
        <f t="shared" si="10"/>
        <v>3612.16</v>
      </c>
      <c r="B26" s="4">
        <f t="shared" si="11"/>
        <v>2627.6177862024774</v>
      </c>
      <c r="C26" s="11">
        <f t="shared" si="21"/>
        <v>17</v>
      </c>
      <c r="D26" s="4">
        <f t="shared" si="0"/>
        <v>1101.2682926829268</v>
      </c>
      <c r="E26">
        <f t="shared" si="12"/>
        <v>0.11861823723647448</v>
      </c>
      <c r="F26">
        <f t="shared" si="13"/>
        <v>9.0239389202190143E-3</v>
      </c>
      <c r="G26" s="4">
        <f t="shared" si="14"/>
        <v>324.75875880758809</v>
      </c>
      <c r="H26" s="9">
        <f t="shared" si="15"/>
        <v>18117424.635866083</v>
      </c>
      <c r="I26" s="2">
        <f t="shared" si="16"/>
        <v>18.117424635866083</v>
      </c>
      <c r="J26" s="2">
        <f t="shared" si="17"/>
        <v>1.0538841276805113</v>
      </c>
      <c r="K26" s="4">
        <f t="shared" si="18"/>
        <v>1013.4994918135779</v>
      </c>
      <c r="L26" s="12">
        <f t="shared" si="19"/>
        <v>6.3617884079569462E-4</v>
      </c>
      <c r="M26" s="19">
        <f t="shared" si="1"/>
        <v>7.4462819120330211E-3</v>
      </c>
      <c r="N26" s="432">
        <f t="shared" si="2"/>
        <v>0.82516980421364561</v>
      </c>
      <c r="O26" s="432" t="str">
        <f t="shared" si="3"/>
        <v/>
      </c>
      <c r="P26" s="429">
        <f t="shared" si="4"/>
        <v>8599.8731281088349</v>
      </c>
      <c r="Q26" s="429">
        <f t="shared" si="5"/>
        <v>643418.91640285996</v>
      </c>
      <c r="R26" s="430">
        <f t="shared" si="6"/>
        <v>0.72559721155604451</v>
      </c>
      <c r="S26" s="431">
        <f t="shared" si="7"/>
        <v>2.7767136378897467E-2</v>
      </c>
      <c r="T26" s="4">
        <f t="shared" si="8"/>
        <v>29.717497438474069</v>
      </c>
      <c r="U26" s="4">
        <f t="shared" si="9"/>
        <v>1564.9022439024393</v>
      </c>
    </row>
    <row r="27" spans="1:21" x14ac:dyDescent="0.2">
      <c r="A27">
        <f t="shared" si="10"/>
        <v>3824.6399999999994</v>
      </c>
      <c r="B27" s="4">
        <f t="shared" si="11"/>
        <v>2722.1817875847792</v>
      </c>
      <c r="C27" s="11">
        <f t="shared" si="21"/>
        <v>18</v>
      </c>
      <c r="D27" s="4">
        <f t="shared" si="0"/>
        <v>1166.0487804878048</v>
      </c>
      <c r="E27">
        <f t="shared" si="12"/>
        <v>0.11861823723647448</v>
      </c>
      <c r="F27">
        <f t="shared" si="13"/>
        <v>9.0239389202190143E-3</v>
      </c>
      <c r="G27" s="4">
        <f t="shared" si="14"/>
        <v>326.2347642276423</v>
      </c>
      <c r="H27" s="9">
        <f t="shared" si="15"/>
        <v>18769443.425397053</v>
      </c>
      <c r="I27" s="2">
        <f t="shared" si="16"/>
        <v>18.769443425397053</v>
      </c>
      <c r="J27" s="2">
        <f t="shared" si="17"/>
        <v>1.0577727749129402</v>
      </c>
      <c r="K27" s="4">
        <f t="shared" si="18"/>
        <v>1013.1053817013908</v>
      </c>
      <c r="L27" s="12">
        <f t="shared" si="19"/>
        <v>6.2353811462826693E-4</v>
      </c>
      <c r="M27" s="19">
        <f t="shared" si="1"/>
        <v>7.4491786047687757E-3</v>
      </c>
      <c r="N27" s="432">
        <f t="shared" si="2"/>
        <v>0.82549080513811601</v>
      </c>
      <c r="O27" s="432" t="str">
        <f t="shared" si="3"/>
        <v/>
      </c>
      <c r="P27" s="429">
        <f t="shared" si="4"/>
        <v>8568.7547750282374</v>
      </c>
      <c r="Q27" s="429">
        <f t="shared" si="5"/>
        <v>643168.71607875999</v>
      </c>
      <c r="R27" s="430">
        <f t="shared" si="6"/>
        <v>0.72561753587069111</v>
      </c>
      <c r="S27" s="431">
        <f t="shared" si="7"/>
        <v>2.7225996932509655E-2</v>
      </c>
      <c r="T27" s="4">
        <f t="shared" si="8"/>
        <v>30.319947775812203</v>
      </c>
      <c r="U27" s="4">
        <f t="shared" si="9"/>
        <v>1656.9553170731708</v>
      </c>
    </row>
    <row r="28" spans="1:21" x14ac:dyDescent="0.2">
      <c r="A28">
        <f t="shared" si="10"/>
        <v>4037.1200000000003</v>
      </c>
      <c r="B28" s="4">
        <f t="shared" si="11"/>
        <v>2816.7049885788019</v>
      </c>
      <c r="C28" s="11">
        <f t="shared" si="21"/>
        <v>19</v>
      </c>
      <c r="D28" s="4">
        <f t="shared" si="0"/>
        <v>1230.8292682926831</v>
      </c>
      <c r="E28">
        <f t="shared" si="12"/>
        <v>0.11861823723647448</v>
      </c>
      <c r="F28">
        <f t="shared" si="13"/>
        <v>9.0239389202190143E-3</v>
      </c>
      <c r="G28" s="4">
        <f t="shared" si="14"/>
        <v>327.71076964769651</v>
      </c>
      <c r="H28" s="9">
        <f t="shared" si="15"/>
        <v>19421180.89625084</v>
      </c>
      <c r="I28" s="2">
        <f t="shared" si="16"/>
        <v>19.421180896250839</v>
      </c>
      <c r="J28" s="2">
        <f t="shared" si="17"/>
        <v>1.0617791229033062</v>
      </c>
      <c r="K28" s="4">
        <f t="shared" si="18"/>
        <v>1012.7009076618463</v>
      </c>
      <c r="L28" s="12">
        <f t="shared" si="19"/>
        <v>6.112039284707386E-4</v>
      </c>
      <c r="M28" s="19">
        <f t="shared" si="1"/>
        <v>7.4521538162441127E-3</v>
      </c>
      <c r="N28" s="432">
        <f t="shared" si="2"/>
        <v>0.82582050722294187</v>
      </c>
      <c r="O28" s="432" t="str">
        <f t="shared" si="3"/>
        <v/>
      </c>
      <c r="P28" s="429">
        <f t="shared" si="4"/>
        <v>8537.9923941947618</v>
      </c>
      <c r="Q28" s="429">
        <f t="shared" si="5"/>
        <v>642911.93622801627</v>
      </c>
      <c r="R28" s="430">
        <f t="shared" si="6"/>
        <v>0.72563842294368075</v>
      </c>
      <c r="S28" s="431">
        <f t="shared" si="7"/>
        <v>2.669809941458073E-2</v>
      </c>
      <c r="T28" s="4">
        <f t="shared" si="8"/>
        <v>30.931808830254543</v>
      </c>
      <c r="U28" s="4">
        <f t="shared" si="9"/>
        <v>1749.008390243903</v>
      </c>
    </row>
    <row r="29" spans="1:21" x14ac:dyDescent="0.2">
      <c r="A29">
        <f t="shared" si="10"/>
        <v>4249.6000000000004</v>
      </c>
      <c r="B29" s="4">
        <f t="shared" si="11"/>
        <v>2911.1864865660696</v>
      </c>
      <c r="C29" s="11">
        <f t="shared" si="21"/>
        <v>20</v>
      </c>
      <c r="D29" s="4">
        <f t="shared" si="0"/>
        <v>1295.6097560975611</v>
      </c>
      <c r="E29">
        <f t="shared" si="12"/>
        <v>0.11861823723647448</v>
      </c>
      <c r="F29">
        <f t="shared" si="13"/>
        <v>9.0239389202190143E-3</v>
      </c>
      <c r="G29" s="4">
        <f t="shared" si="14"/>
        <v>329.18677506775072</v>
      </c>
      <c r="H29" s="9">
        <f t="shared" si="15"/>
        <v>20072630.824873049</v>
      </c>
      <c r="I29" s="2">
        <f t="shared" si="16"/>
        <v>20.072630824873048</v>
      </c>
      <c r="J29" s="2">
        <f t="shared" si="17"/>
        <v>1.0659013703535705</v>
      </c>
      <c r="K29" s="4">
        <f t="shared" si="18"/>
        <v>1012.2862256277374</v>
      </c>
      <c r="L29" s="12">
        <f t="shared" si="19"/>
        <v>5.991675178593684E-4</v>
      </c>
      <c r="M29" s="19">
        <f t="shared" si="1"/>
        <v>7.4552065835591036E-3</v>
      </c>
      <c r="N29" s="432">
        <f t="shared" si="2"/>
        <v>0.82615880376306483</v>
      </c>
      <c r="O29" s="432" t="str">
        <f t="shared" si="3"/>
        <v/>
      </c>
      <c r="P29" s="429">
        <f t="shared" si="4"/>
        <v>8507.5803663529841</v>
      </c>
      <c r="Q29" s="429">
        <f t="shared" si="5"/>
        <v>642648.67584437202</v>
      </c>
      <c r="R29" s="430">
        <f t="shared" si="6"/>
        <v>0.72565986691537043</v>
      </c>
      <c r="S29" s="431">
        <f t="shared" si="7"/>
        <v>2.618305645195728E-2</v>
      </c>
      <c r="T29" s="4">
        <f t="shared" si="8"/>
        <v>31.553184223505976</v>
      </c>
      <c r="U29" s="4">
        <f t="shared" si="9"/>
        <v>1841.0614634146345</v>
      </c>
    </row>
    <row r="30" spans="1:21" x14ac:dyDescent="0.2">
      <c r="A30">
        <f t="shared" si="10"/>
        <v>4462.079999999999</v>
      </c>
      <c r="B30" s="4">
        <f t="shared" si="11"/>
        <v>3005.6253924704533</v>
      </c>
      <c r="C30" s="11">
        <f t="shared" si="21"/>
        <v>21</v>
      </c>
      <c r="D30" s="4">
        <f t="shared" si="0"/>
        <v>1360.3902439024389</v>
      </c>
      <c r="E30">
        <f t="shared" si="12"/>
        <v>0.11861823723647448</v>
      </c>
      <c r="F30">
        <f t="shared" si="13"/>
        <v>9.0239389202190143E-3</v>
      </c>
      <c r="G30" s="4">
        <f t="shared" si="14"/>
        <v>330.66278048780487</v>
      </c>
      <c r="H30" s="9">
        <f t="shared" si="15"/>
        <v>20723787.081083775</v>
      </c>
      <c r="I30" s="2">
        <f t="shared" si="16"/>
        <v>20.723787081083774</v>
      </c>
      <c r="J30" s="2">
        <f t="shared" si="17"/>
        <v>1.070137716408011</v>
      </c>
      <c r="K30" s="4">
        <f t="shared" si="18"/>
        <v>1011.8614908612036</v>
      </c>
      <c r="L30" s="12">
        <f t="shared" si="19"/>
        <v>5.8742040663273796E-4</v>
      </c>
      <c r="M30" s="19">
        <f t="shared" si="1"/>
        <v>7.4583359500349777E-3</v>
      </c>
      <c r="N30" s="432">
        <f t="shared" si="2"/>
        <v>0.82650558874283264</v>
      </c>
      <c r="O30" s="432" t="str">
        <f t="shared" si="3"/>
        <v/>
      </c>
      <c r="P30" s="429">
        <f t="shared" si="4"/>
        <v>8477.5131746145325</v>
      </c>
      <c r="Q30" s="429">
        <f t="shared" si="5"/>
        <v>642379.03349580732</v>
      </c>
      <c r="R30" s="430">
        <f t="shared" si="6"/>
        <v>0.72568186197191653</v>
      </c>
      <c r="S30" s="431">
        <f t="shared" si="7"/>
        <v>2.5680493764786438E-2</v>
      </c>
      <c r="T30" s="4">
        <f t="shared" si="8"/>
        <v>32.184178244896216</v>
      </c>
      <c r="U30" s="4">
        <f t="shared" si="9"/>
        <v>1933.1145365853661</v>
      </c>
    </row>
    <row r="31" spans="1:21" x14ac:dyDescent="0.2">
      <c r="A31">
        <f t="shared" si="10"/>
        <v>4674.5600000000004</v>
      </c>
      <c r="B31" s="4">
        <f t="shared" si="11"/>
        <v>3100.0208307112684</v>
      </c>
      <c r="C31" s="11">
        <f t="shared" si="21"/>
        <v>22</v>
      </c>
      <c r="D31" s="4">
        <f t="shared" si="0"/>
        <v>1425.1707317073171</v>
      </c>
      <c r="E31">
        <f t="shared" si="12"/>
        <v>0.11861823723647448</v>
      </c>
      <c r="F31">
        <f t="shared" si="13"/>
        <v>9.0239389202190143E-3</v>
      </c>
      <c r="G31" s="4">
        <f t="shared" si="14"/>
        <v>332.13878590785907</v>
      </c>
      <c r="H31" s="9">
        <f t="shared" si="15"/>
        <v>21374643.627754197</v>
      </c>
      <c r="I31" s="2">
        <f t="shared" si="16"/>
        <v>21.374643627754196</v>
      </c>
      <c r="J31" s="2">
        <f t="shared" si="17"/>
        <v>1.0744863608859772</v>
      </c>
      <c r="K31" s="4">
        <f t="shared" si="18"/>
        <v>1011.4268579298492</v>
      </c>
      <c r="L31" s="12">
        <f t="shared" si="19"/>
        <v>5.7595439621865049E-4</v>
      </c>
      <c r="M31" s="19">
        <f t="shared" si="1"/>
        <v>7.4615409651990249E-3</v>
      </c>
      <c r="N31" s="432">
        <f t="shared" si="2"/>
        <v>0.82686075683432603</v>
      </c>
      <c r="O31" s="432" t="str">
        <f t="shared" si="3"/>
        <v/>
      </c>
      <c r="P31" s="429">
        <f t="shared" si="4"/>
        <v>8447.7854022513311</v>
      </c>
      <c r="Q31" s="429">
        <f t="shared" si="5"/>
        <v>642103.10730937717</v>
      </c>
      <c r="R31" s="430">
        <f t="shared" si="6"/>
        <v>0.72570440234404154</v>
      </c>
      <c r="S31" s="431">
        <f t="shared" si="7"/>
        <v>2.5190049666749589E-2</v>
      </c>
      <c r="T31" s="4">
        <f t="shared" si="8"/>
        <v>32.824895852657541</v>
      </c>
      <c r="U31" s="4">
        <f t="shared" si="9"/>
        <v>2025.1676097560978</v>
      </c>
    </row>
    <row r="32" spans="1:21" x14ac:dyDescent="0.2">
      <c r="A32">
        <f t="shared" si="10"/>
        <v>4887.04</v>
      </c>
      <c r="B32" s="4">
        <f t="shared" si="11"/>
        <v>3194.3719391538543</v>
      </c>
      <c r="C32" s="11">
        <f t="shared" si="21"/>
        <v>23</v>
      </c>
      <c r="D32" s="4">
        <f t="shared" si="0"/>
        <v>1489.9512195121952</v>
      </c>
      <c r="E32">
        <f t="shared" si="12"/>
        <v>0.11861823723647448</v>
      </c>
      <c r="F32">
        <f t="shared" si="13"/>
        <v>9.0239389202190143E-3</v>
      </c>
      <c r="G32" s="4">
        <f t="shared" si="14"/>
        <v>333.61479132791328</v>
      </c>
      <c r="H32" s="9">
        <f t="shared" si="15"/>
        <v>22025194.520465825</v>
      </c>
      <c r="I32" s="2">
        <f t="shared" si="16"/>
        <v>22.025194520465824</v>
      </c>
      <c r="J32" s="2">
        <f t="shared" si="17"/>
        <v>1.0789455045103258</v>
      </c>
      <c r="K32" s="4">
        <f t="shared" si="18"/>
        <v>1010.9824806830217</v>
      </c>
      <c r="L32" s="12">
        <f t="shared" si="19"/>
        <v>5.6476155536435335E-4</v>
      </c>
      <c r="M32" s="19">
        <f t="shared" si="1"/>
        <v>7.46482068477336E-3</v>
      </c>
      <c r="N32" s="432">
        <f t="shared" si="2"/>
        <v>0.82722420339611369</v>
      </c>
      <c r="O32" s="432" t="str">
        <f t="shared" si="3"/>
        <v/>
      </c>
      <c r="P32" s="429">
        <f t="shared" si="4"/>
        <v>8418.3917305499308</v>
      </c>
      <c r="Q32" s="429">
        <f t="shared" si="5"/>
        <v>641820.99495615216</v>
      </c>
      <c r="R32" s="430">
        <f t="shared" si="6"/>
        <v>0.72572748230586104</v>
      </c>
      <c r="S32" s="431">
        <f t="shared" si="7"/>
        <v>2.4711374586508475E-2</v>
      </c>
      <c r="T32" s="4">
        <f t="shared" si="8"/>
        <v>33.475442675202231</v>
      </c>
      <c r="U32" s="4">
        <f t="shared" si="9"/>
        <v>2117.2206829268298</v>
      </c>
    </row>
    <row r="33" spans="1:21" x14ac:dyDescent="0.2">
      <c r="A33">
        <f t="shared" si="10"/>
        <v>5099.5199999999986</v>
      </c>
      <c r="B33" s="4">
        <f t="shared" si="11"/>
        <v>3288.6778690576543</v>
      </c>
      <c r="C33" s="11">
        <f t="shared" si="21"/>
        <v>24</v>
      </c>
      <c r="D33" s="4">
        <f t="shared" si="0"/>
        <v>1554.731707317073</v>
      </c>
      <c r="E33">
        <f t="shared" si="12"/>
        <v>0.11861823723647448</v>
      </c>
      <c r="F33">
        <f t="shared" si="13"/>
        <v>9.0239389202190143E-3</v>
      </c>
      <c r="G33" s="4">
        <f t="shared" si="14"/>
        <v>335.09079674796749</v>
      </c>
      <c r="H33" s="9">
        <f t="shared" si="15"/>
        <v>22675433.907152526</v>
      </c>
      <c r="I33" s="2">
        <f t="shared" si="16"/>
        <v>22.675433907152527</v>
      </c>
      <c r="J33" s="2">
        <f t="shared" si="17"/>
        <v>1.0835133491315314</v>
      </c>
      <c r="K33" s="4">
        <f t="shared" si="18"/>
        <v>1010.5285122282434</v>
      </c>
      <c r="L33" s="12">
        <f t="shared" si="19"/>
        <v>5.5383421028999712E-4</v>
      </c>
      <c r="M33" s="19">
        <f t="shared" si="1"/>
        <v>7.4681741706675792E-3</v>
      </c>
      <c r="N33" s="432">
        <f t="shared" si="2"/>
        <v>0.82759582447243829</v>
      </c>
      <c r="O33" s="432" t="str">
        <f t="shared" si="3"/>
        <v/>
      </c>
      <c r="P33" s="429">
        <f t="shared" si="4"/>
        <v>8389.3269367257872</v>
      </c>
      <c r="Q33" s="429">
        <f t="shared" si="5"/>
        <v>641532.79363625613</v>
      </c>
      <c r="R33" s="430">
        <f t="shared" si="6"/>
        <v>0.72575109617377276</v>
      </c>
      <c r="S33" s="431">
        <f t="shared" si="7"/>
        <v>2.4244130609379154E-2</v>
      </c>
      <c r="T33" s="4">
        <f t="shared" si="8"/>
        <v>34.1359250123934</v>
      </c>
      <c r="U33" s="4">
        <f t="shared" si="9"/>
        <v>2209.2737560975611</v>
      </c>
    </row>
    <row r="34" spans="1:21" x14ac:dyDescent="0.2">
      <c r="A34">
        <f t="shared" si="10"/>
        <v>5312</v>
      </c>
      <c r="B34" s="4">
        <f t="shared" si="11"/>
        <v>3382.9377850218284</v>
      </c>
      <c r="C34" s="11">
        <f t="shared" si="21"/>
        <v>25</v>
      </c>
      <c r="D34" s="4">
        <f t="shared" si="0"/>
        <v>1619.5121951219512</v>
      </c>
      <c r="E34">
        <f t="shared" si="12"/>
        <v>0.11861823723647448</v>
      </c>
      <c r="F34">
        <f t="shared" si="13"/>
        <v>9.0239389202190143E-3</v>
      </c>
      <c r="G34" s="4">
        <f t="shared" si="14"/>
        <v>336.5668021680217</v>
      </c>
      <c r="H34" s="9">
        <f t="shared" si="15"/>
        <v>23325356.027725507</v>
      </c>
      <c r="I34" s="2">
        <f t="shared" si="16"/>
        <v>23.325356027725508</v>
      </c>
      <c r="J34" s="2">
        <f t="shared" si="17"/>
        <v>1.0881880979474696</v>
      </c>
      <c r="K34" s="4">
        <f t="shared" si="18"/>
        <v>1010.065104907799</v>
      </c>
      <c r="L34" s="12">
        <f t="shared" si="19"/>
        <v>5.4316493524601611E-4</v>
      </c>
      <c r="M34" s="19">
        <f t="shared" si="1"/>
        <v>7.4716004909752753E-3</v>
      </c>
      <c r="N34" s="432">
        <f t="shared" si="2"/>
        <v>0.82797551679283055</v>
      </c>
      <c r="O34" s="432" t="str">
        <f t="shared" si="3"/>
        <v/>
      </c>
      <c r="P34" s="429">
        <f t="shared" si="4"/>
        <v>8360.5858918949634</v>
      </c>
      <c r="Q34" s="429">
        <f t="shared" si="5"/>
        <v>641238.60006400291</v>
      </c>
      <c r="R34" s="430">
        <f t="shared" si="6"/>
        <v>0.72577523830540613</v>
      </c>
      <c r="S34" s="431">
        <f t="shared" si="7"/>
        <v>2.3787991038289401E-2</v>
      </c>
      <c r="T34" s="4">
        <f t="shared" si="8"/>
        <v>34.80644983681524</v>
      </c>
      <c r="U34" s="4">
        <f t="shared" si="9"/>
        <v>2301.3268292682928</v>
      </c>
    </row>
    <row r="35" spans="1:21" x14ac:dyDescent="0.2">
      <c r="A35">
        <f t="shared" si="10"/>
        <v>5524.48</v>
      </c>
      <c r="B35" s="4">
        <f t="shared" si="11"/>
        <v>3477.1508649284124</v>
      </c>
      <c r="C35" s="11">
        <f t="shared" si="21"/>
        <v>26</v>
      </c>
      <c r="D35" s="4">
        <f t="shared" si="0"/>
        <v>1684.2926829268292</v>
      </c>
      <c r="E35">
        <f t="shared" si="12"/>
        <v>0.11861823723647448</v>
      </c>
      <c r="F35">
        <f t="shared" si="13"/>
        <v>9.0239389202190143E-3</v>
      </c>
      <c r="G35" s="4">
        <f t="shared" si="14"/>
        <v>338.0428075880759</v>
      </c>
      <c r="H35" s="9">
        <f t="shared" si="15"/>
        <v>23974955.213681404</v>
      </c>
      <c r="I35" s="2">
        <f t="shared" si="16"/>
        <v>23.974955213681405</v>
      </c>
      <c r="J35" s="2">
        <f t="shared" si="17"/>
        <v>1.0929679557188678</v>
      </c>
      <c r="K35" s="4">
        <f t="shared" si="18"/>
        <v>1009.5924102754828</v>
      </c>
      <c r="L35" s="12">
        <f t="shared" si="19"/>
        <v>5.3274654345624979E-4</v>
      </c>
      <c r="M35" s="19">
        <f t="shared" si="1"/>
        <v>7.475098719974373E-3</v>
      </c>
      <c r="N35" s="432">
        <f t="shared" si="2"/>
        <v>0.8283631777721463</v>
      </c>
      <c r="O35" s="432" t="str">
        <f t="shared" si="3"/>
        <v/>
      </c>
      <c r="P35" s="429">
        <f t="shared" si="4"/>
        <v>8332.1635591020367</v>
      </c>
      <c r="Q35" s="429">
        <f t="shared" si="5"/>
        <v>640938.51045313384</v>
      </c>
      <c r="R35" s="430">
        <f t="shared" si="6"/>
        <v>0.72579990309863185</v>
      </c>
      <c r="S35" s="431">
        <f t="shared" si="7"/>
        <v>2.3342639973130637E-2</v>
      </c>
      <c r="T35" s="4">
        <f t="shared" si="8"/>
        <v>35.487124795038724</v>
      </c>
      <c r="U35" s="4">
        <f t="shared" si="9"/>
        <v>2393.3799024390246</v>
      </c>
    </row>
    <row r="36" spans="1:21" x14ac:dyDescent="0.2">
      <c r="A36">
        <f t="shared" si="10"/>
        <v>5736.9599999999991</v>
      </c>
      <c r="B36" s="4">
        <f t="shared" si="11"/>
        <v>3571.3162998830517</v>
      </c>
      <c r="C36" s="11">
        <f t="shared" si="21"/>
        <v>27</v>
      </c>
      <c r="D36" s="4">
        <f t="shared" si="0"/>
        <v>1749.0731707317073</v>
      </c>
      <c r="E36">
        <f t="shared" si="12"/>
        <v>0.11861823723647448</v>
      </c>
      <c r="F36">
        <f t="shared" si="13"/>
        <v>9.0239389202190143E-3</v>
      </c>
      <c r="G36" s="4">
        <f t="shared" si="14"/>
        <v>339.51881300813011</v>
      </c>
      <c r="H36" s="9">
        <f t="shared" si="15"/>
        <v>24624225.88769364</v>
      </c>
      <c r="I36" s="2">
        <f t="shared" si="16"/>
        <v>24.62422588769364</v>
      </c>
      <c r="J36" s="2">
        <f t="shared" si="17"/>
        <v>1.0978511289804291</v>
      </c>
      <c r="K36" s="4">
        <f t="shared" si="18"/>
        <v>1009.1105790734982</v>
      </c>
      <c r="L36" s="12">
        <f t="shared" si="19"/>
        <v>5.2257207842942464E-4</v>
      </c>
      <c r="M36" s="19">
        <f t="shared" si="1"/>
        <v>7.4786679381313222E-3</v>
      </c>
      <c r="N36" s="432">
        <f t="shared" si="2"/>
        <v>0.82875870551103115</v>
      </c>
      <c r="O36" s="432" t="str">
        <f t="shared" si="3"/>
        <v/>
      </c>
      <c r="P36" s="429">
        <f t="shared" si="4"/>
        <v>8304.0549914022668</v>
      </c>
      <c r="Q36" s="429">
        <f t="shared" si="5"/>
        <v>640632.62050215295</v>
      </c>
      <c r="R36" s="430">
        <f t="shared" si="6"/>
        <v>0.72582508499063403</v>
      </c>
      <c r="S36" s="431">
        <f t="shared" si="7"/>
        <v>2.2907771907656117E-2</v>
      </c>
      <c r="T36" s="4">
        <f t="shared" si="8"/>
        <v>36.178058208884458</v>
      </c>
      <c r="U36" s="4">
        <f t="shared" si="9"/>
        <v>2485.4329756097563</v>
      </c>
    </row>
    <row r="37" spans="1:21" x14ac:dyDescent="0.2">
      <c r="A37">
        <f t="shared" si="10"/>
        <v>5949.44</v>
      </c>
      <c r="B37" s="4">
        <f t="shared" si="11"/>
        <v>3665.4332941533276</v>
      </c>
      <c r="C37" s="11">
        <f t="shared" si="21"/>
        <v>28</v>
      </c>
      <c r="D37" s="4">
        <f t="shared" si="0"/>
        <v>1813.8536585365853</v>
      </c>
      <c r="E37">
        <f t="shared" si="12"/>
        <v>0.11861823723647448</v>
      </c>
      <c r="F37">
        <f t="shared" si="13"/>
        <v>9.0239389202190143E-3</v>
      </c>
      <c r="G37" s="4">
        <f t="shared" si="14"/>
        <v>340.99481842818432</v>
      </c>
      <c r="H37" s="9">
        <f t="shared" si="15"/>
        <v>25273162.563187193</v>
      </c>
      <c r="I37" s="2">
        <f t="shared" si="16"/>
        <v>25.273162563187192</v>
      </c>
      <c r="J37" s="2">
        <f t="shared" si="17"/>
        <v>1.1028358262476232</v>
      </c>
      <c r="K37" s="4">
        <f t="shared" si="18"/>
        <v>1008.6197612095161</v>
      </c>
      <c r="L37" s="12">
        <f t="shared" si="19"/>
        <v>5.1263480562250207E-4</v>
      </c>
      <c r="M37" s="19">
        <f t="shared" si="1"/>
        <v>7.4823072321090877E-3</v>
      </c>
      <c r="N37" s="432">
        <f t="shared" si="2"/>
        <v>0.82916199879680585</v>
      </c>
      <c r="O37" s="432" t="str">
        <f t="shared" si="3"/>
        <v/>
      </c>
      <c r="P37" s="429">
        <f t="shared" si="4"/>
        <v>8276.2553299965602</v>
      </c>
      <c r="Q37" s="429">
        <f t="shared" si="5"/>
        <v>640321.02537976229</v>
      </c>
      <c r="R37" s="430">
        <f t="shared" si="6"/>
        <v>0.72585077845704205</v>
      </c>
      <c r="S37" s="431">
        <f t="shared" si="7"/>
        <v>2.2483091343121014E-2</v>
      </c>
      <c r="T37" s="4">
        <f t="shared" si="8"/>
        <v>36.879359076682242</v>
      </c>
      <c r="U37" s="4">
        <f t="shared" si="9"/>
        <v>2577.4860487804881</v>
      </c>
    </row>
    <row r="38" spans="1:21" x14ac:dyDescent="0.2">
      <c r="A38">
        <f t="shared" si="10"/>
        <v>6161.92</v>
      </c>
      <c r="B38" s="4">
        <f t="shared" si="11"/>
        <v>3759.5010651047064</v>
      </c>
      <c r="C38" s="11">
        <f t="shared" si="21"/>
        <v>29</v>
      </c>
      <c r="D38" s="4">
        <f t="shared" si="0"/>
        <v>1878.6341463414635</v>
      </c>
      <c r="E38">
        <f t="shared" si="12"/>
        <v>0.11861823723647448</v>
      </c>
      <c r="F38">
        <f t="shared" si="13"/>
        <v>9.0239389202190143E-3</v>
      </c>
      <c r="G38" s="4">
        <f t="shared" si="14"/>
        <v>342.47082384823852</v>
      </c>
      <c r="H38" s="9">
        <f t="shared" si="15"/>
        <v>25921759.843896952</v>
      </c>
      <c r="I38" s="2">
        <f t="shared" si="16"/>
        <v>25.92175984389695</v>
      </c>
      <c r="J38" s="2">
        <f t="shared" si="17"/>
        <v>1.1079202582191612</v>
      </c>
      <c r="K38" s="4">
        <f t="shared" si="18"/>
        <v>1008.1201057338874</v>
      </c>
      <c r="L38" s="12">
        <f t="shared" si="19"/>
        <v>5.0292820444019864E-4</v>
      </c>
      <c r="M38" s="19">
        <f t="shared" si="1"/>
        <v>7.4860156947789587E-3</v>
      </c>
      <c r="N38" s="432">
        <f t="shared" si="2"/>
        <v>0.82957295710477508</v>
      </c>
      <c r="O38" s="432" t="str">
        <f t="shared" si="3"/>
        <v/>
      </c>
      <c r="P38" s="429">
        <f t="shared" si="4"/>
        <v>8248.7598024175659</v>
      </c>
      <c r="Q38" s="429">
        <f t="shared" si="5"/>
        <v>640003.8197103953</v>
      </c>
      <c r="R38" s="430">
        <f t="shared" si="6"/>
        <v>0.72587697801112361</v>
      </c>
      <c r="S38" s="431">
        <f t="shared" si="7"/>
        <v>2.2068312417900016E-2</v>
      </c>
      <c r="T38" s="4">
        <f t="shared" si="8"/>
        <v>37.591137074527417</v>
      </c>
      <c r="U38" s="4">
        <f t="shared" si="9"/>
        <v>2669.5391219512198</v>
      </c>
    </row>
    <row r="39" spans="1:21" x14ac:dyDescent="0.2">
      <c r="A39">
        <f t="shared" si="10"/>
        <v>6374.3999999999987</v>
      </c>
      <c r="B39" s="4">
        <f t="shared" si="11"/>
        <v>3853.5188431341207</v>
      </c>
      <c r="C39" s="11">
        <f t="shared" si="21"/>
        <v>30</v>
      </c>
      <c r="D39" s="4">
        <f t="shared" si="0"/>
        <v>1943.4146341463413</v>
      </c>
      <c r="E39">
        <f t="shared" si="12"/>
        <v>0.11861823723647448</v>
      </c>
      <c r="F39">
        <f t="shared" si="13"/>
        <v>9.0239389202190143E-3</v>
      </c>
      <c r="G39" s="4">
        <f t="shared" si="14"/>
        <v>343.94682926829273</v>
      </c>
      <c r="H39" s="9">
        <f t="shared" si="15"/>
        <v>26570012.423409764</v>
      </c>
      <c r="I39" s="2">
        <f t="shared" si="16"/>
        <v>26.570012423409764</v>
      </c>
      <c r="J39" s="2">
        <f t="shared" si="17"/>
        <v>1.113102637975145</v>
      </c>
      <c r="K39" s="4">
        <f t="shared" si="18"/>
        <v>1007.6117608170123</v>
      </c>
      <c r="L39" s="12">
        <f t="shared" si="19"/>
        <v>4.9344596055574E-4</v>
      </c>
      <c r="M39" s="19">
        <f t="shared" si="1"/>
        <v>7.4897924252361366E-3</v>
      </c>
      <c r="N39" s="432">
        <f t="shared" si="2"/>
        <v>0.82999148059995476</v>
      </c>
      <c r="O39" s="432" t="str">
        <f t="shared" si="3"/>
        <v/>
      </c>
      <c r="P39" s="429">
        <f t="shared" si="4"/>
        <v>8221.5637207654363</v>
      </c>
      <c r="Q39" s="429">
        <f t="shared" si="5"/>
        <v>639681.09755985008</v>
      </c>
      <c r="R39" s="430">
        <f t="shared" si="6"/>
        <v>0.72590367820303836</v>
      </c>
      <c r="S39" s="431">
        <f t="shared" si="7"/>
        <v>2.1663158552355628E-2</v>
      </c>
      <c r="T39" s="4">
        <f t="shared" si="8"/>
        <v>38.313502557534591</v>
      </c>
      <c r="U39" s="4">
        <f t="shared" si="9"/>
        <v>2761.5921951219516</v>
      </c>
    </row>
    <row r="40" spans="1:21" x14ac:dyDescent="0.2">
      <c r="A40">
        <f t="shared" si="10"/>
        <v>6586.88</v>
      </c>
      <c r="B40" s="4">
        <f t="shared" si="11"/>
        <v>3947.4858716012154</v>
      </c>
      <c r="C40" s="11">
        <f t="shared" si="21"/>
        <v>31</v>
      </c>
      <c r="D40" s="4">
        <f t="shared" si="0"/>
        <v>2008.1951219512196</v>
      </c>
      <c r="E40">
        <f t="shared" si="12"/>
        <v>0.11861823723647448</v>
      </c>
      <c r="F40">
        <f t="shared" si="13"/>
        <v>9.0239389202190143E-3</v>
      </c>
      <c r="G40" s="4">
        <f t="shared" si="14"/>
        <v>345.42283468834688</v>
      </c>
      <c r="H40" s="9">
        <f t="shared" si="15"/>
        <v>27217915.084690381</v>
      </c>
      <c r="I40" s="2">
        <f t="shared" si="16"/>
        <v>27.217915084690382</v>
      </c>
      <c r="J40" s="2">
        <f t="shared" si="17"/>
        <v>1.1183811811709128</v>
      </c>
      <c r="K40" s="4">
        <f t="shared" si="18"/>
        <v>1007.094873726864</v>
      </c>
      <c r="L40" s="12">
        <f t="shared" si="19"/>
        <v>4.8418195853865641E-4</v>
      </c>
      <c r="M40" s="19">
        <f t="shared" si="1"/>
        <v>7.4936365288191175E-3</v>
      </c>
      <c r="N40" s="432">
        <f t="shared" si="2"/>
        <v>0.83041747013921985</v>
      </c>
      <c r="O40" s="432" t="str">
        <f t="shared" si="3"/>
        <v/>
      </c>
      <c r="P40" s="429">
        <f t="shared" si="4"/>
        <v>8194.6624799918354</v>
      </c>
      <c r="Q40" s="429">
        <f t="shared" si="5"/>
        <v>639352.95242101944</v>
      </c>
      <c r="R40" s="430">
        <f t="shared" si="6"/>
        <v>0.72593087361915254</v>
      </c>
      <c r="S40" s="431">
        <f t="shared" si="7"/>
        <v>2.1267362108267455E-2</v>
      </c>
      <c r="T40" s="4">
        <f t="shared" si="8"/>
        <v>39.046566561087708</v>
      </c>
      <c r="U40" s="4">
        <f t="shared" si="9"/>
        <v>2853.6452682926833</v>
      </c>
    </row>
    <row r="41" spans="1:21" x14ac:dyDescent="0.2">
      <c r="A41">
        <f t="shared" si="10"/>
        <v>6799.36</v>
      </c>
      <c r="B41" s="4">
        <f t="shared" si="11"/>
        <v>4041.4014067572725</v>
      </c>
      <c r="C41" s="11">
        <f t="shared" si="21"/>
        <v>32</v>
      </c>
      <c r="D41" s="4">
        <f t="shared" ref="D41:D72" si="22">i*L/N</f>
        <v>2072.9756097560976</v>
      </c>
      <c r="E41">
        <f t="shared" si="12"/>
        <v>0.11861823723647448</v>
      </c>
      <c r="F41">
        <f t="shared" si="13"/>
        <v>9.0239389202190143E-3</v>
      </c>
      <c r="G41" s="4">
        <f t="shared" si="14"/>
        <v>346.89884010840109</v>
      </c>
      <c r="H41" s="9">
        <f t="shared" si="15"/>
        <v>27865462.699591395</v>
      </c>
      <c r="I41" s="2">
        <f t="shared" si="16"/>
        <v>27.865462699591394</v>
      </c>
      <c r="J41" s="2">
        <f t="shared" si="17"/>
        <v>1.1237541062265819</v>
      </c>
      <c r="K41" s="4">
        <f t="shared" si="18"/>
        <v>1006.5695908066673</v>
      </c>
      <c r="L41" s="12">
        <f t="shared" si="19"/>
        <v>4.7513027477609238E-4</v>
      </c>
      <c r="M41" s="19">
        <f t="shared" ref="M41:M72" si="23">(mw-ml)/rhow</f>
        <v>7.4975471171328332E-3</v>
      </c>
      <c r="N41" s="432">
        <f t="shared" ref="N41:N72" si="24">Qw/Aa</f>
        <v>0.83085082727386916</v>
      </c>
      <c r="O41" s="432" t="str">
        <f t="shared" ref="O41:O72" si="25">IF(MD&gt;=TVD,va,"")</f>
        <v/>
      </c>
      <c r="P41" s="429">
        <f t="shared" ref="P41:P72" si="26">0.1275*(L/N)*rhow^0.8*va^1.8*muw^0.2/((dci-dto)^1.2)</f>
        <v>8168.051556230711</v>
      </c>
      <c r="Q41" s="429">
        <f t="shared" ref="Q41:Q72" si="27">IF(D41&lt;TVD,rhow*g*L/N,0)</f>
        <v>639019.4771997215</v>
      </c>
      <c r="R41" s="430">
        <f t="shared" ref="R41:R72" si="28">IF(MD&lt;TVD,1-1.8*SQRT(g*DP*(rhorock-rhow)/rhow)/va,1)</f>
        <v>0.72595855888141292</v>
      </c>
      <c r="S41" s="431">
        <f t="shared" ref="S41:S72" si="29">3000*muw/(dci-dto)/rhow</f>
        <v>2.0880664062165658E-2</v>
      </c>
      <c r="T41" s="4">
        <f t="shared" ref="T41:T72" si="30">N41/S41</f>
        <v>39.790440802087055</v>
      </c>
      <c r="U41" s="4">
        <f t="shared" ref="U41:U72" si="31">9.8*0.001*MIN(D41,TVD)*145</f>
        <v>2945.6983414634151</v>
      </c>
    </row>
    <row r="42" spans="1:21" x14ac:dyDescent="0.2">
      <c r="A42">
        <f t="shared" si="10"/>
        <v>7011.8399999999992</v>
      </c>
      <c r="B42" s="4">
        <f t="shared" si="11"/>
        <v>4135.264717671841</v>
      </c>
      <c r="C42" s="11">
        <f t="shared" si="21"/>
        <v>33</v>
      </c>
      <c r="D42" s="4">
        <f t="shared" si="22"/>
        <v>2137.7560975609754</v>
      </c>
      <c r="E42">
        <f t="shared" si="12"/>
        <v>0.11861823723647448</v>
      </c>
      <c r="F42">
        <f t="shared" si="13"/>
        <v>9.0239389202190143E-3</v>
      </c>
      <c r="G42" s="4">
        <f t="shared" si="14"/>
        <v>348.3748455284553</v>
      </c>
      <c r="H42" s="9">
        <f t="shared" ref="H42:H73" si="32">H41+P41+Q41</f>
        <v>28512650.228347346</v>
      </c>
      <c r="I42" s="2">
        <f t="shared" si="16"/>
        <v>28.512650228347347</v>
      </c>
      <c r="J42" s="2">
        <f t="shared" si="17"/>
        <v>1.1292196345123033</v>
      </c>
      <c r="K42" s="4">
        <f t="shared" si="18"/>
        <v>1006.0360574527315</v>
      </c>
      <c r="L42" s="12">
        <f t="shared" si="19"/>
        <v>4.6628517067475583E-4</v>
      </c>
      <c r="M42" s="19">
        <f t="shared" si="23"/>
        <v>7.5015233080755559E-3</v>
      </c>
      <c r="N42" s="432">
        <f t="shared" si="24"/>
        <v>0.83129145425260609</v>
      </c>
      <c r="O42" s="432" t="str">
        <f t="shared" si="25"/>
        <v/>
      </c>
      <c r="P42" s="429">
        <f t="shared" si="26"/>
        <v>8141.7265051745526</v>
      </c>
      <c r="Q42" s="429">
        <f t="shared" si="27"/>
        <v>638680.76420062582</v>
      </c>
      <c r="R42" s="430">
        <f t="shared" si="28"/>
        <v>0.72598672864678249</v>
      </c>
      <c r="S42" s="431">
        <f t="shared" si="29"/>
        <v>2.0502813691944392E-2</v>
      </c>
      <c r="T42" s="4">
        <f t="shared" si="30"/>
        <v>40.54523768019326</v>
      </c>
      <c r="U42" s="4">
        <f t="shared" si="31"/>
        <v>3037.7514146341464</v>
      </c>
    </row>
    <row r="43" spans="1:21" x14ac:dyDescent="0.2">
      <c r="A43">
        <f t="shared" si="10"/>
        <v>7224.32</v>
      </c>
      <c r="B43" s="4">
        <f t="shared" si="11"/>
        <v>4229.0750861570914</v>
      </c>
      <c r="C43" s="11">
        <f t="shared" si="21"/>
        <v>34</v>
      </c>
      <c r="D43" s="4">
        <f t="shared" si="22"/>
        <v>2202.5365853658536</v>
      </c>
      <c r="E43">
        <f t="shared" si="12"/>
        <v>0.11861823723647448</v>
      </c>
      <c r="F43">
        <f t="shared" si="13"/>
        <v>9.0239389202190143E-3</v>
      </c>
      <c r="G43" s="4">
        <f t="shared" si="14"/>
        <v>349.8508509485095</v>
      </c>
      <c r="H43" s="9">
        <f t="shared" si="32"/>
        <v>29159472.719053145</v>
      </c>
      <c r="I43" s="2">
        <f t="shared" si="16"/>
        <v>29.159472719053145</v>
      </c>
      <c r="J43" s="2">
        <f t="shared" si="17"/>
        <v>1.1347759905292432</v>
      </c>
      <c r="K43" s="4">
        <f t="shared" si="18"/>
        <v>1005.4944180924377</v>
      </c>
      <c r="L43" s="12">
        <f t="shared" si="19"/>
        <v>4.576410861312471E-4</v>
      </c>
      <c r="M43" s="19">
        <f t="shared" si="23"/>
        <v>7.5055642258695333E-3</v>
      </c>
      <c r="N43" s="432">
        <f t="shared" si="24"/>
        <v>0.8317392540249342</v>
      </c>
      <c r="O43" s="432" t="str">
        <f t="shared" si="25"/>
        <v/>
      </c>
      <c r="P43" s="429">
        <f t="shared" si="26"/>
        <v>8115.6829604946734</v>
      </c>
      <c r="Q43" s="429">
        <f t="shared" si="27"/>
        <v>638336.90511327912</v>
      </c>
      <c r="R43" s="430">
        <f t="shared" si="28"/>
        <v>0.72601537760673485</v>
      </c>
      <c r="S43" s="431">
        <f t="shared" si="29"/>
        <v>2.0133568276161272E-2</v>
      </c>
      <c r="T43" s="4">
        <f t="shared" si="30"/>
        <v>41.311070279069092</v>
      </c>
      <c r="U43" s="4">
        <f t="shared" si="31"/>
        <v>3129.8044878048786</v>
      </c>
    </row>
    <row r="44" spans="1:21" x14ac:dyDescent="0.2">
      <c r="A44">
        <f t="shared" si="10"/>
        <v>7436.7999999999984</v>
      </c>
      <c r="B44" s="4">
        <f t="shared" si="11"/>
        <v>4322.8318066899092</v>
      </c>
      <c r="C44" s="11">
        <f t="shared" si="21"/>
        <v>35</v>
      </c>
      <c r="D44" s="4">
        <f t="shared" si="22"/>
        <v>2267.3170731707314</v>
      </c>
      <c r="E44">
        <f t="shared" si="12"/>
        <v>0.11861823723647448</v>
      </c>
      <c r="F44">
        <f t="shared" si="13"/>
        <v>9.0239389202190143E-3</v>
      </c>
      <c r="G44" s="4">
        <f t="shared" si="14"/>
        <v>351.32685636856371</v>
      </c>
      <c r="H44" s="9">
        <f t="shared" si="32"/>
        <v>29805925.307126921</v>
      </c>
      <c r="I44" s="2">
        <f t="shared" si="16"/>
        <v>29.80592530712692</v>
      </c>
      <c r="J44" s="2">
        <f t="shared" si="17"/>
        <v>1.1404214020863011</v>
      </c>
      <c r="K44" s="4">
        <f t="shared" si="18"/>
        <v>1004.9448161623779</v>
      </c>
      <c r="L44" s="12">
        <f t="shared" si="19"/>
        <v>4.4919263325912418E-4</v>
      </c>
      <c r="M44" s="19">
        <f t="shared" si="23"/>
        <v>7.5096690010953791E-3</v>
      </c>
      <c r="N44" s="432">
        <f t="shared" si="24"/>
        <v>0.83219413024496813</v>
      </c>
      <c r="O44" s="432" t="str">
        <f t="shared" si="25"/>
        <v/>
      </c>
      <c r="P44" s="429">
        <f t="shared" si="26"/>
        <v>8089.916632304531</v>
      </c>
      <c r="Q44" s="429">
        <f t="shared" si="27"/>
        <v>637987.99099822703</v>
      </c>
      <c r="R44" s="430">
        <f t="shared" si="28"/>
        <v>0.7260445004868088</v>
      </c>
      <c r="S44" s="431">
        <f t="shared" si="29"/>
        <v>1.9772692805459492E-2</v>
      </c>
      <c r="T44" s="4">
        <f t="shared" si="30"/>
        <v>42.08805236761625</v>
      </c>
      <c r="U44" s="4">
        <f t="shared" si="31"/>
        <v>3221.8575609756099</v>
      </c>
    </row>
    <row r="45" spans="1:21" x14ac:dyDescent="0.2">
      <c r="A45">
        <f t="shared" si="10"/>
        <v>7649.2799999999988</v>
      </c>
      <c r="B45" s="4">
        <f t="shared" si="11"/>
        <v>4416.5341863317553</v>
      </c>
      <c r="C45" s="11">
        <f t="shared" si="21"/>
        <v>36</v>
      </c>
      <c r="D45" s="4">
        <f t="shared" si="22"/>
        <v>2332.0975609756097</v>
      </c>
      <c r="E45">
        <f t="shared" si="12"/>
        <v>0.11861823723647448</v>
      </c>
      <c r="F45">
        <f t="shared" si="13"/>
        <v>9.0239389202190143E-3</v>
      </c>
      <c r="G45" s="4">
        <f t="shared" si="14"/>
        <v>352.80286178861792</v>
      </c>
      <c r="H45" s="9">
        <f t="shared" si="32"/>
        <v>30452003.214757454</v>
      </c>
      <c r="I45" s="2">
        <f t="shared" si="16"/>
        <v>30.452003214757454</v>
      </c>
      <c r="J45" s="2">
        <f t="shared" si="17"/>
        <v>1.1461541004725888</v>
      </c>
      <c r="K45" s="4">
        <f t="shared" si="18"/>
        <v>1004.3873940866466</v>
      </c>
      <c r="L45" s="12">
        <f t="shared" si="19"/>
        <v>4.4093459036154657E-4</v>
      </c>
      <c r="M45" s="19">
        <f t="shared" si="23"/>
        <v>7.5138367707301744E-3</v>
      </c>
      <c r="N45" s="432">
        <f t="shared" si="24"/>
        <v>0.83265598727565537</v>
      </c>
      <c r="O45" s="432" t="str">
        <f t="shared" si="25"/>
        <v/>
      </c>
      <c r="P45" s="429">
        <f t="shared" si="26"/>
        <v>8064.4233056644425</v>
      </c>
      <c r="Q45" s="429">
        <f t="shared" si="27"/>
        <v>637634.11227323185</v>
      </c>
      <c r="R45" s="430">
        <f t="shared" si="28"/>
        <v>0.72607409204622286</v>
      </c>
      <c r="S45" s="431">
        <f t="shared" si="29"/>
        <v>1.9419959705573264E-2</v>
      </c>
      <c r="T45" s="4">
        <f t="shared" si="30"/>
        <v>42.876298401211123</v>
      </c>
      <c r="U45" s="4">
        <f t="shared" si="31"/>
        <v>3313.9106341463416</v>
      </c>
    </row>
    <row r="46" spans="1:21" x14ac:dyDescent="0.2">
      <c r="A46">
        <f t="shared" si="10"/>
        <v>7861.76</v>
      </c>
      <c r="B46" s="4">
        <f t="shared" si="11"/>
        <v>4510.1815446463161</v>
      </c>
      <c r="C46" s="11">
        <f t="shared" si="21"/>
        <v>37</v>
      </c>
      <c r="D46" s="4">
        <f t="shared" si="22"/>
        <v>2396.8780487804879</v>
      </c>
      <c r="E46">
        <f t="shared" si="12"/>
        <v>0.11861823723647448</v>
      </c>
      <c r="F46">
        <f t="shared" si="13"/>
        <v>9.0239389202190143E-3</v>
      </c>
      <c r="G46" s="4">
        <f t="shared" si="14"/>
        <v>354.27886720867212</v>
      </c>
      <c r="H46" s="9">
        <f t="shared" si="32"/>
        <v>31097701.750336349</v>
      </c>
      <c r="I46" s="2">
        <f t="shared" si="16"/>
        <v>31.097701750336348</v>
      </c>
      <c r="J46" s="2">
        <f t="shared" si="17"/>
        <v>1.1519723206256804</v>
      </c>
      <c r="K46" s="4">
        <f t="shared" si="18"/>
        <v>1003.8222932552865</v>
      </c>
      <c r="L46" s="12">
        <f t="shared" si="19"/>
        <v>4.3286189613892998E-4</v>
      </c>
      <c r="M46" s="19">
        <f t="shared" si="23"/>
        <v>7.5180666781892672E-3</v>
      </c>
      <c r="N46" s="432">
        <f t="shared" si="24"/>
        <v>0.83312473019340882</v>
      </c>
      <c r="O46" s="432" t="str">
        <f t="shared" si="25"/>
        <v/>
      </c>
      <c r="P46" s="429">
        <f t="shared" si="26"/>
        <v>8039.1988391269097</v>
      </c>
      <c r="Q46" s="429">
        <f t="shared" si="27"/>
        <v>637275.35869959032</v>
      </c>
      <c r="R46" s="430">
        <f t="shared" si="28"/>
        <v>0.72610414707754867</v>
      </c>
      <c r="S46" s="431">
        <f t="shared" si="29"/>
        <v>1.9075148571406388E-2</v>
      </c>
      <c r="T46" s="4">
        <f t="shared" si="30"/>
        <v>43.675923522937133</v>
      </c>
      <c r="U46" s="4">
        <f t="shared" si="31"/>
        <v>3405.9637073170738</v>
      </c>
    </row>
    <row r="47" spans="1:21" x14ac:dyDescent="0.2">
      <c r="A47">
        <f t="shared" si="10"/>
        <v>8074.2400000000007</v>
      </c>
      <c r="B47" s="4">
        <f t="shared" si="11"/>
        <v>4603.773213614948</v>
      </c>
      <c r="C47" s="11">
        <f t="shared" si="21"/>
        <v>38</v>
      </c>
      <c r="D47" s="4">
        <f t="shared" si="22"/>
        <v>2461.6585365853662</v>
      </c>
      <c r="E47">
        <f t="shared" si="12"/>
        <v>0.11861823723647448</v>
      </c>
      <c r="F47">
        <f t="shared" si="13"/>
        <v>9.0239389202190143E-3</v>
      </c>
      <c r="G47" s="4">
        <f t="shared" si="14"/>
        <v>355.75487262872633</v>
      </c>
      <c r="H47" s="9">
        <f t="shared" si="32"/>
        <v>31743016.307875067</v>
      </c>
      <c r="I47" s="2">
        <f t="shared" si="16"/>
        <v>31.743016307875067</v>
      </c>
      <c r="J47" s="2">
        <f t="shared" si="17"/>
        <v>1.1578743012956607</v>
      </c>
      <c r="K47" s="4">
        <f t="shared" si="18"/>
        <v>1003.2496540028806</v>
      </c>
      <c r="L47" s="12">
        <f t="shared" si="19"/>
        <v>4.2496964412153121E-4</v>
      </c>
      <c r="M47" s="19">
        <f t="shared" si="23"/>
        <v>7.5223578733718014E-3</v>
      </c>
      <c r="N47" s="432">
        <f t="shared" si="24"/>
        <v>0.83360026479315208</v>
      </c>
      <c r="O47" s="432" t="str">
        <f t="shared" si="25"/>
        <v/>
      </c>
      <c r="P47" s="429">
        <f t="shared" si="26"/>
        <v>8014.23916332116</v>
      </c>
      <c r="Q47" s="429">
        <f t="shared" si="27"/>
        <v>636911.81936854101</v>
      </c>
      <c r="R47" s="430">
        <f t="shared" si="28"/>
        <v>0.72613466040644292</v>
      </c>
      <c r="S47" s="431">
        <f t="shared" si="29"/>
        <v>1.8738045911697664E-2</v>
      </c>
      <c r="T47" s="4">
        <f t="shared" si="30"/>
        <v>44.487043564812573</v>
      </c>
      <c r="U47" s="4">
        <f t="shared" si="31"/>
        <v>3498.016780487806</v>
      </c>
    </row>
    <row r="48" spans="1:21" x14ac:dyDescent="0.2">
      <c r="A48">
        <f t="shared" si="10"/>
        <v>8286.7199999999993</v>
      </c>
      <c r="B48" s="4">
        <f t="shared" si="11"/>
        <v>4697.3085375499531</v>
      </c>
      <c r="C48" s="11">
        <f t="shared" si="21"/>
        <v>39</v>
      </c>
      <c r="D48" s="4">
        <f t="shared" si="22"/>
        <v>2526.439024390244</v>
      </c>
      <c r="E48">
        <f t="shared" si="12"/>
        <v>0.11861823723647448</v>
      </c>
      <c r="F48">
        <f t="shared" si="13"/>
        <v>9.0239389202190143E-3</v>
      </c>
      <c r="G48" s="4">
        <f t="shared" si="14"/>
        <v>357.23087804878048</v>
      </c>
      <c r="H48" s="9">
        <f t="shared" si="32"/>
        <v>32387942.366406929</v>
      </c>
      <c r="I48" s="2">
        <f t="shared" si="16"/>
        <v>32.387942366406932</v>
      </c>
      <c r="J48" s="2">
        <f t="shared" si="17"/>
        <v>1.1638582852049872</v>
      </c>
      <c r="K48" s="4">
        <f t="shared" si="18"/>
        <v>1002.6696155872983</v>
      </c>
      <c r="L48" s="12">
        <f t="shared" si="19"/>
        <v>4.1725307731730135E-4</v>
      </c>
      <c r="M48" s="19">
        <f t="shared" si="23"/>
        <v>7.5267095127099079E-3</v>
      </c>
      <c r="N48" s="432">
        <f t="shared" si="24"/>
        <v>0.83408249759377051</v>
      </c>
      <c r="O48" s="432" t="str">
        <f t="shared" si="25"/>
        <v/>
      </c>
      <c r="P48" s="429">
        <f t="shared" si="26"/>
        <v>7989.5402795758346</v>
      </c>
      <c r="Q48" s="429">
        <f t="shared" si="27"/>
        <v>636543.58268777246</v>
      </c>
      <c r="R48" s="430">
        <f t="shared" si="28"/>
        <v>0.72616562689143904</v>
      </c>
      <c r="S48" s="431">
        <f t="shared" si="29"/>
        <v>1.8408444903807723E-2</v>
      </c>
      <c r="T48" s="4">
        <f t="shared" si="30"/>
        <v>45.309775049018043</v>
      </c>
      <c r="U48" s="4">
        <f t="shared" si="31"/>
        <v>3590.0698536585373</v>
      </c>
    </row>
    <row r="49" spans="1:21" x14ac:dyDescent="0.2">
      <c r="A49">
        <f t="shared" si="10"/>
        <v>8499.2000000000007</v>
      </c>
      <c r="B49" s="4">
        <f t="shared" si="11"/>
        <v>4790.7868730056962</v>
      </c>
      <c r="C49" s="11">
        <f t="shared" si="21"/>
        <v>40</v>
      </c>
      <c r="D49" s="4">
        <f t="shared" si="22"/>
        <v>2591.2195121951222</v>
      </c>
      <c r="E49">
        <f t="shared" si="12"/>
        <v>0.11861823723647448</v>
      </c>
      <c r="F49">
        <f t="shared" si="13"/>
        <v>9.0239389202190143E-3</v>
      </c>
      <c r="G49" s="4">
        <f t="shared" si="14"/>
        <v>358.70688346883469</v>
      </c>
      <c r="H49" s="9">
        <f t="shared" si="32"/>
        <v>33032475.489374276</v>
      </c>
      <c r="I49" s="2">
        <f t="shared" si="16"/>
        <v>33.032475489374278</v>
      </c>
      <c r="J49" s="2">
        <f t="shared" si="17"/>
        <v>1.1699225192041947</v>
      </c>
      <c r="K49" s="4">
        <f t="shared" si="18"/>
        <v>1002.0823161685889</v>
      </c>
      <c r="L49" s="12">
        <f t="shared" si="19"/>
        <v>4.0970758306588094E-4</v>
      </c>
      <c r="M49" s="19">
        <f t="shared" si="23"/>
        <v>7.5311207592215811E-3</v>
      </c>
      <c r="N49" s="432">
        <f t="shared" si="24"/>
        <v>0.8345713358439707</v>
      </c>
      <c r="O49" s="432" t="str">
        <f t="shared" si="25"/>
        <v/>
      </c>
      <c r="P49" s="429">
        <f t="shared" si="26"/>
        <v>7965.0982585787506</v>
      </c>
      <c r="Q49" s="429">
        <f t="shared" si="27"/>
        <v>636170.73636802367</v>
      </c>
      <c r="R49" s="430">
        <f t="shared" si="28"/>
        <v>0.72619704142379615</v>
      </c>
      <c r="S49" s="431">
        <f t="shared" si="29"/>
        <v>1.8086145158188009E-2</v>
      </c>
      <c r="T49" s="4">
        <f t="shared" si="30"/>
        <v>46.144235189118852</v>
      </c>
      <c r="U49" s="4">
        <f t="shared" si="31"/>
        <v>3682.1229268292691</v>
      </c>
    </row>
    <row r="50" spans="1:21" x14ac:dyDescent="0.2">
      <c r="A50">
        <f t="shared" si="10"/>
        <v>8711.68</v>
      </c>
      <c r="B50" s="4">
        <f t="shared" si="11"/>
        <v>4884.2075886875828</v>
      </c>
      <c r="C50" s="11">
        <f t="shared" si="21"/>
        <v>41</v>
      </c>
      <c r="D50" s="4">
        <f t="shared" si="22"/>
        <v>2656</v>
      </c>
      <c r="E50">
        <f t="shared" si="12"/>
        <v>0.11861823723647448</v>
      </c>
      <c r="F50">
        <f t="shared" si="13"/>
        <v>9.0239389202190143E-3</v>
      </c>
      <c r="G50" s="4">
        <f t="shared" si="14"/>
        <v>360.1828888888889</v>
      </c>
      <c r="H50" s="9">
        <f t="shared" si="32"/>
        <v>33676611.32400088</v>
      </c>
      <c r="I50" s="2">
        <f t="shared" si="16"/>
        <v>33.676611324000881</v>
      </c>
      <c r="J50" s="2">
        <f t="shared" si="17"/>
        <v>1.1760652544234622</v>
      </c>
      <c r="K50" s="4">
        <f t="shared" si="18"/>
        <v>1001.4878927880225</v>
      </c>
      <c r="L50" s="12">
        <f t="shared" si="19"/>
        <v>4.0232868808996969E-4</v>
      </c>
      <c r="M50" s="19">
        <f t="shared" si="23"/>
        <v>7.5355907825672332E-3</v>
      </c>
      <c r="N50" s="432">
        <f t="shared" si="24"/>
        <v>0.83506668752854785</v>
      </c>
      <c r="O50" s="432" t="str">
        <f t="shared" si="25"/>
        <v/>
      </c>
      <c r="P50" s="429">
        <f t="shared" si="26"/>
        <v>7940.9092390728201</v>
      </c>
      <c r="Q50" s="429">
        <f t="shared" si="27"/>
        <v>635793.36740977759</v>
      </c>
      <c r="R50" s="430">
        <f t="shared" si="28"/>
        <v>0.72622889892740594</v>
      </c>
      <c r="S50" s="431">
        <f t="shared" si="29"/>
        <v>1.7770952492110366E-2</v>
      </c>
      <c r="T50" s="4">
        <f t="shared" si="30"/>
        <v>46.990541891285005</v>
      </c>
      <c r="U50" s="4">
        <f t="shared" si="31"/>
        <v>3774.1760000000004</v>
      </c>
    </row>
    <row r="51" spans="1:21" x14ac:dyDescent="0.2">
      <c r="A51">
        <f t="shared" si="10"/>
        <v>8924.159999999998</v>
      </c>
      <c r="B51" s="4">
        <f t="shared" si="11"/>
        <v>4977.5700653589174</v>
      </c>
      <c r="C51" s="11">
        <f t="shared" si="21"/>
        <v>42</v>
      </c>
      <c r="D51" s="4">
        <f t="shared" si="22"/>
        <v>2720.7804878048778</v>
      </c>
      <c r="E51">
        <f t="shared" si="12"/>
        <v>0.11861823723647448</v>
      </c>
      <c r="F51">
        <f t="shared" si="13"/>
        <v>9.0239389202190143E-3</v>
      </c>
      <c r="G51" s="4">
        <f t="shared" si="14"/>
        <v>361.6588943089431</v>
      </c>
      <c r="H51" s="9">
        <f t="shared" si="32"/>
        <v>34320345.600649737</v>
      </c>
      <c r="I51" s="2">
        <f t="shared" si="16"/>
        <v>34.320345600649738</v>
      </c>
      <c r="J51" s="2">
        <f t="shared" si="17"/>
        <v>1.1822847464200716</v>
      </c>
      <c r="K51" s="4">
        <f t="shared" si="18"/>
        <v>1000.8864813472787</v>
      </c>
      <c r="L51" s="12">
        <f t="shared" si="19"/>
        <v>3.9511205373572229E-4</v>
      </c>
      <c r="M51" s="19">
        <f t="shared" si="23"/>
        <v>7.5401187591098862E-3</v>
      </c>
      <c r="N51" s="432">
        <f t="shared" si="24"/>
        <v>0.83556846137505603</v>
      </c>
      <c r="O51" s="432" t="str">
        <f t="shared" si="25"/>
        <v/>
      </c>
      <c r="P51" s="429">
        <f t="shared" si="26"/>
        <v>7916.9694265868538</v>
      </c>
      <c r="Q51" s="429">
        <f t="shared" si="27"/>
        <v>635411.56209004996</v>
      </c>
      <c r="R51" s="430">
        <f t="shared" si="28"/>
        <v>0.72626119435875858</v>
      </c>
      <c r="S51" s="431">
        <f t="shared" si="29"/>
        <v>1.7462678712256364E-2</v>
      </c>
      <c r="T51" s="4">
        <f t="shared" si="30"/>
        <v>47.848813755509546</v>
      </c>
      <c r="U51" s="4">
        <f t="shared" si="31"/>
        <v>3866.2290731707321</v>
      </c>
    </row>
    <row r="52" spans="1:21" x14ac:dyDescent="0.2">
      <c r="A52">
        <f t="shared" si="10"/>
        <v>9136.64</v>
      </c>
      <c r="B52" s="4">
        <f t="shared" si="11"/>
        <v>5070.8736957456667</v>
      </c>
      <c r="C52" s="11">
        <f t="shared" si="21"/>
        <v>43</v>
      </c>
      <c r="D52" s="4">
        <f t="shared" si="22"/>
        <v>2785.560975609756</v>
      </c>
      <c r="E52">
        <f t="shared" si="12"/>
        <v>0.11861823723647448</v>
      </c>
      <c r="F52">
        <f t="shared" si="13"/>
        <v>9.0239389202190143E-3</v>
      </c>
      <c r="G52" s="4">
        <f t="shared" si="14"/>
        <v>363.13489972899731</v>
      </c>
      <c r="H52" s="9">
        <f t="shared" si="32"/>
        <v>34963674.132166371</v>
      </c>
      <c r="I52" s="2">
        <f t="shared" si="16"/>
        <v>34.963674132166368</v>
      </c>
      <c r="J52" s="2">
        <f t="shared" si="17"/>
        <v>1.188579255321782</v>
      </c>
      <c r="K52" s="4">
        <f t="shared" si="18"/>
        <v>1000.2782165877819</v>
      </c>
      <c r="L52" s="12">
        <f t="shared" si="19"/>
        <v>3.8805347139424397E-4</v>
      </c>
      <c r="M52" s="19">
        <f t="shared" si="23"/>
        <v>7.5447038719790166E-3</v>
      </c>
      <c r="N52" s="432">
        <f t="shared" si="24"/>
        <v>0.83607656686088294</v>
      </c>
      <c r="O52" s="432" t="str">
        <f t="shared" si="25"/>
        <v/>
      </c>
      <c r="P52" s="429">
        <f t="shared" si="26"/>
        <v>7893.2750922004871</v>
      </c>
      <c r="Q52" s="429">
        <f t="shared" si="27"/>
        <v>635025.40594926977</v>
      </c>
      <c r="R52" s="430">
        <f t="shared" si="28"/>
        <v>0.72629392270696336</v>
      </c>
      <c r="S52" s="431">
        <f t="shared" si="29"/>
        <v>1.7161141405785962E-2</v>
      </c>
      <c r="T52" s="4">
        <f t="shared" si="30"/>
        <v>48.719170076822259</v>
      </c>
      <c r="U52" s="4">
        <f t="shared" si="31"/>
        <v>3958.2821463414639</v>
      </c>
    </row>
    <row r="53" spans="1:21" x14ac:dyDescent="0.2">
      <c r="A53">
        <f t="shared" si="10"/>
        <v>9349.1200000000008</v>
      </c>
      <c r="B53" s="4">
        <f t="shared" si="11"/>
        <v>5164.1178844391361</v>
      </c>
      <c r="C53" s="11">
        <f t="shared" si="21"/>
        <v>44</v>
      </c>
      <c r="D53" s="4">
        <f t="shared" si="22"/>
        <v>2850.3414634146343</v>
      </c>
      <c r="E53">
        <f t="shared" si="12"/>
        <v>0.11861823723647448</v>
      </c>
      <c r="F53">
        <f t="shared" si="13"/>
        <v>9.0239389202190143E-3</v>
      </c>
      <c r="G53" s="4">
        <f t="shared" si="14"/>
        <v>364.61090514905152</v>
      </c>
      <c r="H53" s="9">
        <f t="shared" si="32"/>
        <v>35606592.813207842</v>
      </c>
      <c r="I53" s="2">
        <f t="shared" si="16"/>
        <v>35.60659281320784</v>
      </c>
      <c r="J53" s="2">
        <f t="shared" si="17"/>
        <v>1.1949470459661555</v>
      </c>
      <c r="K53" s="4">
        <f t="shared" si="18"/>
        <v>999.66323207017911</v>
      </c>
      <c r="L53" s="12">
        <f t="shared" si="19"/>
        <v>3.8114885809657095E-4</v>
      </c>
      <c r="M53" s="19">
        <f t="shared" si="23"/>
        <v>7.5493453111380388E-3</v>
      </c>
      <c r="N53" s="432">
        <f t="shared" si="24"/>
        <v>0.83659091422072851</v>
      </c>
      <c r="O53" s="432" t="str">
        <f t="shared" si="25"/>
        <v/>
      </c>
      <c r="P53" s="429">
        <f t="shared" si="26"/>
        <v>7869.8225713422589</v>
      </c>
      <c r="Q53" s="429">
        <f t="shared" si="27"/>
        <v>634634.98377825075</v>
      </c>
      <c r="R53" s="430">
        <f t="shared" si="28"/>
        <v>0.72632707899382853</v>
      </c>
      <c r="S53" s="431">
        <f t="shared" si="29"/>
        <v>1.6866163739520736E-2</v>
      </c>
      <c r="T53" s="4">
        <f t="shared" si="30"/>
        <v>49.601730846501361</v>
      </c>
      <c r="U53" s="4">
        <f t="shared" si="31"/>
        <v>4050.3352195121956</v>
      </c>
    </row>
    <row r="54" spans="1:21" x14ac:dyDescent="0.2">
      <c r="A54">
        <f t="shared" si="10"/>
        <v>9561.5999999999985</v>
      </c>
      <c r="B54" s="4">
        <f t="shared" si="11"/>
        <v>5257.3020477965829</v>
      </c>
      <c r="C54" s="11">
        <f t="shared" si="21"/>
        <v>45</v>
      </c>
      <c r="D54" s="4">
        <f t="shared" si="22"/>
        <v>2915.1219512195121</v>
      </c>
      <c r="E54">
        <f t="shared" si="12"/>
        <v>0.11861823723647448</v>
      </c>
      <c r="F54">
        <f t="shared" si="13"/>
        <v>9.0239389202190143E-3</v>
      </c>
      <c r="G54" s="4">
        <f t="shared" si="14"/>
        <v>366.08691056910573</v>
      </c>
      <c r="H54" s="9">
        <f t="shared" si="32"/>
        <v>36249097.61955744</v>
      </c>
      <c r="I54" s="2">
        <f t="shared" si="16"/>
        <v>36.249097619557439</v>
      </c>
      <c r="J54" s="2">
        <f t="shared" si="17"/>
        <v>1.2013863880358551</v>
      </c>
      <c r="K54" s="4">
        <f t="shared" si="18"/>
        <v>999.04166015396333</v>
      </c>
      <c r="L54" s="12">
        <f t="shared" si="19"/>
        <v>3.7439425227489884E-4</v>
      </c>
      <c r="M54" s="19">
        <f t="shared" si="23"/>
        <v>7.5540422734554019E-3</v>
      </c>
      <c r="N54" s="432">
        <f t="shared" si="24"/>
        <v>0.83711141445448334</v>
      </c>
      <c r="O54" s="432" t="str">
        <f t="shared" si="25"/>
        <v/>
      </c>
      <c r="P54" s="429">
        <f t="shared" si="26"/>
        <v>7846.6082626197785</v>
      </c>
      <c r="Q54" s="429">
        <f t="shared" si="27"/>
        <v>634240.37960525567</v>
      </c>
      <c r="R54" s="430">
        <f t="shared" si="28"/>
        <v>0.72636065827399587</v>
      </c>
      <c r="S54" s="431">
        <f t="shared" si="29"/>
        <v>1.6577574266895056E-2</v>
      </c>
      <c r="T54" s="4">
        <f t="shared" si="30"/>
        <v>50.496616753282836</v>
      </c>
      <c r="U54" s="4">
        <f t="shared" si="31"/>
        <v>4142.3882926829274</v>
      </c>
    </row>
    <row r="55" spans="1:21" x14ac:dyDescent="0.2">
      <c r="A55">
        <f t="shared" si="10"/>
        <v>9774.08</v>
      </c>
      <c r="B55" s="4">
        <f t="shared" si="11"/>
        <v>5350.425613839785</v>
      </c>
      <c r="C55" s="11">
        <f t="shared" si="21"/>
        <v>46</v>
      </c>
      <c r="D55" s="4">
        <f t="shared" si="22"/>
        <v>2979.9024390243903</v>
      </c>
      <c r="E55">
        <f t="shared" si="12"/>
        <v>0.11861823723647448</v>
      </c>
      <c r="F55">
        <f t="shared" si="13"/>
        <v>9.0239389202190143E-3</v>
      </c>
      <c r="G55" s="4">
        <f t="shared" si="14"/>
        <v>367.56291598915993</v>
      </c>
      <c r="H55" s="9">
        <f t="shared" si="32"/>
        <v>36891184.607425317</v>
      </c>
      <c r="I55" s="2">
        <f t="shared" si="16"/>
        <v>36.891184607425316</v>
      </c>
      <c r="J55" s="2">
        <f t="shared" si="17"/>
        <v>1.2078955561899543</v>
      </c>
      <c r="K55" s="4">
        <f t="shared" si="18"/>
        <v>998.41363197723922</v>
      </c>
      <c r="L55" s="12">
        <f t="shared" si="19"/>
        <v>3.6778580968315974E-4</v>
      </c>
      <c r="M55" s="19">
        <f t="shared" si="23"/>
        <v>7.5587939627792941E-3</v>
      </c>
      <c r="N55" s="432">
        <f t="shared" si="24"/>
        <v>0.83763797933550721</v>
      </c>
      <c r="O55" s="432" t="str">
        <f t="shared" si="25"/>
        <v/>
      </c>
      <c r="P55" s="429">
        <f t="shared" si="26"/>
        <v>7823.6286266812594</v>
      </c>
      <c r="Q55" s="429">
        <f t="shared" si="27"/>
        <v>633841.67668315046</v>
      </c>
      <c r="R55" s="430">
        <f t="shared" si="28"/>
        <v>0.72639465563513173</v>
      </c>
      <c r="S55" s="431">
        <f t="shared" si="29"/>
        <v>1.6295206742345275E-2</v>
      </c>
      <c r="T55" s="4">
        <f t="shared" si="30"/>
        <v>51.403949184565597</v>
      </c>
      <c r="U55" s="4">
        <f t="shared" si="31"/>
        <v>4234.4413658536596</v>
      </c>
    </row>
    <row r="56" spans="1:21" x14ac:dyDescent="0.2">
      <c r="A56">
        <f t="shared" si="10"/>
        <v>9986.56</v>
      </c>
      <c r="B56" s="4">
        <f t="shared" si="11"/>
        <v>5443.4880221515805</v>
      </c>
      <c r="C56" s="11">
        <f t="shared" si="21"/>
        <v>47</v>
      </c>
      <c r="D56" s="4">
        <f t="shared" si="22"/>
        <v>3044.6829268292681</v>
      </c>
      <c r="E56">
        <f t="shared" si="12"/>
        <v>0.11861823723647448</v>
      </c>
      <c r="F56">
        <f t="shared" si="13"/>
        <v>9.0239389202190143E-3</v>
      </c>
      <c r="G56" s="4">
        <f t="shared" si="14"/>
        <v>369.03892140921414</v>
      </c>
      <c r="H56" s="9">
        <f t="shared" si="32"/>
        <v>37532849.912735149</v>
      </c>
      <c r="I56" s="2">
        <f t="shared" si="16"/>
        <v>37.532849912735152</v>
      </c>
      <c r="J56" s="2">
        <f t="shared" si="17"/>
        <v>1.2144728301912893</v>
      </c>
      <c r="K56" s="4">
        <f t="shared" si="18"/>
        <v>997.77927743662804</v>
      </c>
      <c r="L56" s="12">
        <f t="shared" si="19"/>
        <v>3.6131979947032824E-4</v>
      </c>
      <c r="M56" s="19">
        <f t="shared" si="23"/>
        <v>7.563599590015963E-3</v>
      </c>
      <c r="N56" s="432">
        <f t="shared" si="24"/>
        <v>0.83817052141930848</v>
      </c>
      <c r="O56" s="432" t="str">
        <f t="shared" si="25"/>
        <v/>
      </c>
      <c r="P56" s="429">
        <f t="shared" si="26"/>
        <v>7800.8801851075295</v>
      </c>
      <c r="Q56" s="429">
        <f t="shared" si="27"/>
        <v>633438.95747664652</v>
      </c>
      <c r="R56" s="430">
        <f t="shared" si="28"/>
        <v>0.72642906619817293</v>
      </c>
      <c r="S56" s="431">
        <f t="shared" si="29"/>
        <v>1.6018899942820752E-2</v>
      </c>
      <c r="T56" s="4">
        <f t="shared" si="30"/>
        <v>52.32385022761531</v>
      </c>
      <c r="U56" s="4">
        <f t="shared" si="31"/>
        <v>4326.4944390243909</v>
      </c>
    </row>
    <row r="57" spans="1:21" x14ac:dyDescent="0.2">
      <c r="A57">
        <f t="shared" si="10"/>
        <v>10199.039999999997</v>
      </c>
      <c r="B57" s="4">
        <f t="shared" si="11"/>
        <v>5536.4887237703988</v>
      </c>
      <c r="C57" s="11">
        <f t="shared" si="21"/>
        <v>48</v>
      </c>
      <c r="D57" s="4">
        <f t="shared" si="22"/>
        <v>3109.4634146341459</v>
      </c>
      <c r="E57">
        <f t="shared" si="12"/>
        <v>0.11861823723647448</v>
      </c>
      <c r="F57">
        <f t="shared" si="13"/>
        <v>9.0239389202190143E-3</v>
      </c>
      <c r="G57" s="4">
        <f t="shared" si="14"/>
        <v>370.51492682926829</v>
      </c>
      <c r="H57" s="9">
        <f t="shared" si="32"/>
        <v>38174089.7503969</v>
      </c>
      <c r="I57" s="2">
        <f t="shared" si="16"/>
        <v>38.174089750396902</v>
      </c>
      <c r="J57" s="2">
        <f t="shared" si="17"/>
        <v>1.2211164950298863</v>
      </c>
      <c r="K57" s="4">
        <f t="shared" si="18"/>
        <v>997.13872516731283</v>
      </c>
      <c r="L57" s="12">
        <f t="shared" si="19"/>
        <v>3.5499260040017136E-4</v>
      </c>
      <c r="M57" s="19">
        <f t="shared" si="23"/>
        <v>7.5684583732116145E-3</v>
      </c>
      <c r="N57" s="432">
        <f t="shared" si="24"/>
        <v>0.83870895405261958</v>
      </c>
      <c r="O57" s="432" t="str">
        <f t="shared" si="25"/>
        <v/>
      </c>
      <c r="P57" s="429">
        <f t="shared" si="26"/>
        <v>7778.3595193335341</v>
      </c>
      <c r="Q57" s="429">
        <f t="shared" si="27"/>
        <v>633032.30364963308</v>
      </c>
      <c r="R57" s="430">
        <f t="shared" si="28"/>
        <v>0.72646388511762972</v>
      </c>
      <c r="S57" s="431">
        <f t="shared" si="29"/>
        <v>1.5748497496116641E-2</v>
      </c>
      <c r="T57" s="4">
        <f t="shared" si="30"/>
        <v>53.256442670764841</v>
      </c>
      <c r="U57" s="4">
        <f t="shared" si="31"/>
        <v>4418.5475121951222</v>
      </c>
    </row>
    <row r="58" spans="1:21" x14ac:dyDescent="0.2">
      <c r="A58">
        <f t="shared" si="10"/>
        <v>10411.52</v>
      </c>
      <c r="B58" s="4">
        <f t="shared" si="11"/>
        <v>5629.427181082794</v>
      </c>
      <c r="C58" s="11">
        <f t="shared" si="21"/>
        <v>49</v>
      </c>
      <c r="D58" s="4">
        <f t="shared" si="22"/>
        <v>3174.2439024390246</v>
      </c>
      <c r="E58">
        <f t="shared" si="12"/>
        <v>0.11861823723647448</v>
      </c>
      <c r="F58">
        <f t="shared" si="13"/>
        <v>9.0239389202190143E-3</v>
      </c>
      <c r="G58" s="4">
        <f t="shared" si="14"/>
        <v>371.99093224932255</v>
      </c>
      <c r="H58" s="9">
        <f t="shared" si="32"/>
        <v>38814900.413565867</v>
      </c>
      <c r="I58" s="2">
        <f t="shared" si="16"/>
        <v>38.814900413565866</v>
      </c>
      <c r="J58" s="2">
        <f t="shared" si="17"/>
        <v>1.2278248410425001</v>
      </c>
      <c r="K58" s="4">
        <f t="shared" si="18"/>
        <v>996.49210252322382</v>
      </c>
      <c r="L58" s="12">
        <f t="shared" si="19"/>
        <v>3.4880069721142463E-4</v>
      </c>
      <c r="M58" s="19">
        <f t="shared" si="23"/>
        <v>7.5733695376378777E-3</v>
      </c>
      <c r="N58" s="432">
        <f t="shared" si="24"/>
        <v>0.8392531913828678</v>
      </c>
      <c r="O58" s="432" t="str">
        <f t="shared" si="25"/>
        <v/>
      </c>
      <c r="P58" s="429">
        <f t="shared" si="26"/>
        <v>7756.0632695987279</v>
      </c>
      <c r="Q58" s="429">
        <f t="shared" si="27"/>
        <v>632621.79605259735</v>
      </c>
      <c r="R58" s="430">
        <f t="shared" si="28"/>
        <v>0.72649910758193958</v>
      </c>
      <c r="S58" s="431">
        <f t="shared" si="29"/>
        <v>1.5483847715741584E-2</v>
      </c>
      <c r="T58" s="4">
        <f t="shared" si="30"/>
        <v>54.201850004611245</v>
      </c>
      <c r="U58" s="4">
        <f t="shared" si="31"/>
        <v>4510.6005853658544</v>
      </c>
    </row>
    <row r="59" spans="1:21" x14ac:dyDescent="0.2">
      <c r="A59">
        <f t="shared" si="10"/>
        <v>10624</v>
      </c>
      <c r="B59" s="4">
        <f t="shared" si="11"/>
        <v>5722.3028677140046</v>
      </c>
      <c r="C59" s="11">
        <f t="shared" si="21"/>
        <v>50</v>
      </c>
      <c r="D59" s="4">
        <f t="shared" si="22"/>
        <v>3239.0243902439024</v>
      </c>
      <c r="E59">
        <f t="shared" si="12"/>
        <v>0.11861823723647448</v>
      </c>
      <c r="F59">
        <f t="shared" si="13"/>
        <v>9.0239389202190143E-3</v>
      </c>
      <c r="G59" s="4">
        <f t="shared" si="14"/>
        <v>373.4669376693767</v>
      </c>
      <c r="H59" s="9">
        <f t="shared" si="32"/>
        <v>39455278.272888064</v>
      </c>
      <c r="I59" s="2">
        <f t="shared" si="16"/>
        <v>39.455278272888066</v>
      </c>
      <c r="J59" s="2">
        <f t="shared" si="17"/>
        <v>1.2345961640283023</v>
      </c>
      <c r="K59" s="4">
        <f t="shared" si="18"/>
        <v>995.83953555735729</v>
      </c>
      <c r="L59" s="12">
        <f t="shared" si="19"/>
        <v>3.4274067711263594E-4</v>
      </c>
      <c r="M59" s="19">
        <f t="shared" si="23"/>
        <v>7.5783323158808563E-3</v>
      </c>
      <c r="N59" s="432">
        <f t="shared" si="24"/>
        <v>0.83980314836804404</v>
      </c>
      <c r="O59" s="432" t="str">
        <f t="shared" si="25"/>
        <v/>
      </c>
      <c r="P59" s="429">
        <f t="shared" si="26"/>
        <v>7733.9881339254398</v>
      </c>
      <c r="Q59" s="429">
        <f t="shared" si="27"/>
        <v>632207.5147101304</v>
      </c>
      <c r="R59" s="430">
        <f t="shared" si="28"/>
        <v>0.72653472881387804</v>
      </c>
      <c r="S59" s="431">
        <f t="shared" si="29"/>
        <v>1.5224803442046044E-2</v>
      </c>
      <c r="T59" s="4">
        <f t="shared" si="30"/>
        <v>55.160196423211346</v>
      </c>
      <c r="U59" s="4">
        <f t="shared" si="31"/>
        <v>4602.6536585365857</v>
      </c>
    </row>
    <row r="60" spans="1:21" x14ac:dyDescent="0.2">
      <c r="A60">
        <f t="shared" si="10"/>
        <v>10836.479999999998</v>
      </c>
      <c r="B60" s="4">
        <f t="shared" si="11"/>
        <v>5815.11526841655</v>
      </c>
      <c r="C60" s="11">
        <f t="shared" si="21"/>
        <v>51</v>
      </c>
      <c r="D60" s="4">
        <f t="shared" si="22"/>
        <v>3303.8048780487802</v>
      </c>
      <c r="E60">
        <f t="shared" si="12"/>
        <v>0.11861823723647448</v>
      </c>
      <c r="F60">
        <f t="shared" si="13"/>
        <v>9.0239389202190143E-3</v>
      </c>
      <c r="G60" s="4">
        <f t="shared" si="14"/>
        <v>374.94294308943091</v>
      </c>
      <c r="H60" s="9">
        <f t="shared" si="32"/>
        <v>40095219.775732115</v>
      </c>
      <c r="I60" s="2">
        <f t="shared" si="16"/>
        <v>40.095219775732112</v>
      </c>
      <c r="J60" s="2">
        <f t="shared" si="17"/>
        <v>1.2414287653607561</v>
      </c>
      <c r="K60" s="4">
        <f t="shared" si="18"/>
        <v>995.18114900223225</v>
      </c>
      <c r="L60" s="12">
        <f t="shared" si="19"/>
        <v>3.3680922640620236E-4</v>
      </c>
      <c r="M60" s="19">
        <f t="shared" si="23"/>
        <v>7.5833459479337229E-3</v>
      </c>
      <c r="N60" s="432">
        <f t="shared" si="24"/>
        <v>0.8403587407869636</v>
      </c>
      <c r="O60" s="432" t="str">
        <f t="shared" si="25"/>
        <v/>
      </c>
      <c r="P60" s="429">
        <f t="shared" si="26"/>
        <v>7712.1308671245451</v>
      </c>
      <c r="Q60" s="429">
        <f t="shared" si="27"/>
        <v>631789.5388085196</v>
      </c>
      <c r="R60" s="430">
        <f t="shared" si="28"/>
        <v>0.72657074407102196</v>
      </c>
      <c r="S60" s="431">
        <f t="shared" si="29"/>
        <v>1.4971221889350746E-2</v>
      </c>
      <c r="T60" s="4">
        <f t="shared" si="30"/>
        <v>56.131606825273451</v>
      </c>
      <c r="U60" s="4">
        <f t="shared" si="31"/>
        <v>4694.7067317073179</v>
      </c>
    </row>
    <row r="61" spans="1:21" x14ac:dyDescent="0.2">
      <c r="A61">
        <f t="shared" si="10"/>
        <v>11048.96</v>
      </c>
      <c r="B61" s="4">
        <f t="shared" si="11"/>
        <v>5907.8638789568895</v>
      </c>
      <c r="C61" s="11">
        <f t="shared" si="21"/>
        <v>52</v>
      </c>
      <c r="D61" s="4">
        <f t="shared" si="22"/>
        <v>3368.5853658536585</v>
      </c>
      <c r="E61">
        <f t="shared" si="12"/>
        <v>0.11861823723647448</v>
      </c>
      <c r="F61">
        <f t="shared" si="13"/>
        <v>9.0239389202190143E-3</v>
      </c>
      <c r="G61" s="4">
        <f t="shared" si="14"/>
        <v>376.41894850948512</v>
      </c>
      <c r="H61" s="9">
        <f t="shared" si="32"/>
        <v>40734721.445407756</v>
      </c>
      <c r="I61" s="2">
        <f t="shared" si="16"/>
        <v>40.734721445407757</v>
      </c>
      <c r="J61" s="2">
        <f t="shared" si="17"/>
        <v>1.2483209520957153</v>
      </c>
      <c r="K61" s="4">
        <f t="shared" si="18"/>
        <v>994.51706625047939</v>
      </c>
      <c r="L61" s="12">
        <f t="shared" si="19"/>
        <v>3.310031272363404E-4</v>
      </c>
      <c r="M61" s="19">
        <f t="shared" si="23"/>
        <v>7.5884096812928537E-3</v>
      </c>
      <c r="N61" s="432">
        <f t="shared" si="24"/>
        <v>0.84091988524991923</v>
      </c>
      <c r="O61" s="432" t="str">
        <f t="shared" si="25"/>
        <v/>
      </c>
      <c r="P61" s="429">
        <f t="shared" si="26"/>
        <v>7690.4882798275758</v>
      </c>
      <c r="Q61" s="429">
        <f t="shared" si="27"/>
        <v>631367.94668342639</v>
      </c>
      <c r="R61" s="430">
        <f t="shared" si="28"/>
        <v>0.72660714864626519</v>
      </c>
      <c r="S61" s="431">
        <f t="shared" si="29"/>
        <v>1.4722964498825312E-2</v>
      </c>
      <c r="T61" s="4">
        <f t="shared" si="30"/>
        <v>57.11620681534707</v>
      </c>
      <c r="U61" s="4">
        <f t="shared" si="31"/>
        <v>4786.7598048780492</v>
      </c>
    </row>
    <row r="62" spans="1:21" x14ac:dyDescent="0.2">
      <c r="A62">
        <f t="shared" si="10"/>
        <v>11261.44</v>
      </c>
      <c r="B62" s="4">
        <f t="shared" si="11"/>
        <v>6000.5482060001468</v>
      </c>
      <c r="C62" s="11">
        <f t="shared" si="21"/>
        <v>53</v>
      </c>
      <c r="D62" s="4">
        <f t="shared" si="22"/>
        <v>3433.3658536585367</v>
      </c>
      <c r="E62">
        <f t="shared" si="12"/>
        <v>0.11861823723647448</v>
      </c>
      <c r="F62">
        <f t="shared" si="13"/>
        <v>9.0239389202190143E-3</v>
      </c>
      <c r="G62" s="4">
        <f t="shared" si="14"/>
        <v>376.70833333333337</v>
      </c>
      <c r="H62" s="9">
        <f t="shared" si="32"/>
        <v>41373779.880371012</v>
      </c>
      <c r="I62" s="2">
        <f t="shared" si="16"/>
        <v>41.373779880371011</v>
      </c>
      <c r="J62" s="2">
        <f t="shared" si="17"/>
        <v>1.2552710370757909</v>
      </c>
      <c r="K62" s="4">
        <f t="shared" si="18"/>
        <v>994.6320040263347</v>
      </c>
      <c r="L62" s="12">
        <f t="shared" si="19"/>
        <v>3.2987921417246621E-4</v>
      </c>
      <c r="M62" s="19">
        <f t="shared" si="23"/>
        <v>7.5875327791546593E-3</v>
      </c>
      <c r="N62" s="432">
        <f t="shared" si="24"/>
        <v>0.84082271015310761</v>
      </c>
      <c r="O62" s="432">
        <f t="shared" si="25"/>
        <v>0.84082271015310761</v>
      </c>
      <c r="P62" s="429">
        <f t="shared" si="26"/>
        <v>7684.3705051172356</v>
      </c>
      <c r="Q62" s="429">
        <f t="shared" si="27"/>
        <v>0</v>
      </c>
      <c r="R62" s="430">
        <f t="shared" si="28"/>
        <v>1</v>
      </c>
      <c r="S62" s="431">
        <f t="shared" si="29"/>
        <v>1.46712774503833E-2</v>
      </c>
      <c r="T62" s="4">
        <f t="shared" si="30"/>
        <v>57.310804256594601</v>
      </c>
      <c r="U62" s="4">
        <f t="shared" si="31"/>
        <v>4804.8076805851879</v>
      </c>
    </row>
    <row r="63" spans="1:21" x14ac:dyDescent="0.2">
      <c r="A63">
        <f t="shared" si="10"/>
        <v>11473.919999999998</v>
      </c>
      <c r="B63" s="4">
        <f t="shared" si="11"/>
        <v>6001.662690482397</v>
      </c>
      <c r="C63" s="11">
        <f t="shared" si="21"/>
        <v>54</v>
      </c>
      <c r="D63" s="4">
        <f t="shared" si="22"/>
        <v>3498.1463414634145</v>
      </c>
      <c r="E63">
        <f t="shared" si="12"/>
        <v>0.11861823723647448</v>
      </c>
      <c r="F63">
        <f t="shared" si="13"/>
        <v>9.0239389202190143E-3</v>
      </c>
      <c r="G63" s="4">
        <f t="shared" si="14"/>
        <v>376.70833333333337</v>
      </c>
      <c r="H63" s="9">
        <f t="shared" si="32"/>
        <v>41381464.250876129</v>
      </c>
      <c r="I63" s="2">
        <f t="shared" si="16"/>
        <v>41.381464250876128</v>
      </c>
      <c r="J63" s="2">
        <f t="shared" si="17"/>
        <v>1.2553549835374673</v>
      </c>
      <c r="K63" s="4">
        <f t="shared" si="18"/>
        <v>994.63568062485274</v>
      </c>
      <c r="L63" s="12">
        <f t="shared" si="19"/>
        <v>3.2987921417246621E-4</v>
      </c>
      <c r="M63" s="19">
        <f t="shared" si="23"/>
        <v>7.5875047323910915E-3</v>
      </c>
      <c r="N63" s="432">
        <f t="shared" si="24"/>
        <v>0.84081960211305817</v>
      </c>
      <c r="O63" s="432">
        <f t="shared" si="25"/>
        <v>0.84081960211305817</v>
      </c>
      <c r="P63" s="429">
        <f t="shared" si="26"/>
        <v>7684.3421004000556</v>
      </c>
      <c r="Q63" s="429">
        <f t="shared" si="27"/>
        <v>0</v>
      </c>
      <c r="R63" s="430">
        <f t="shared" si="28"/>
        <v>1</v>
      </c>
      <c r="S63" s="431">
        <f t="shared" si="29"/>
        <v>1.4671223219072297E-2</v>
      </c>
      <c r="T63" s="4">
        <f t="shared" si="30"/>
        <v>57.310804256594601</v>
      </c>
      <c r="U63" s="4">
        <f t="shared" si="31"/>
        <v>4804.8076805851879</v>
      </c>
    </row>
    <row r="64" spans="1:21" x14ac:dyDescent="0.2">
      <c r="A64">
        <f t="shared" si="10"/>
        <v>11686.4</v>
      </c>
      <c r="B64" s="4">
        <f t="shared" si="11"/>
        <v>6002.7771708450364</v>
      </c>
      <c r="C64" s="11">
        <f t="shared" si="21"/>
        <v>55</v>
      </c>
      <c r="D64" s="4">
        <f t="shared" si="22"/>
        <v>3562.9268292682927</v>
      </c>
      <c r="E64">
        <f t="shared" si="12"/>
        <v>0.11861823723647448</v>
      </c>
      <c r="F64">
        <f t="shared" si="13"/>
        <v>9.0239389202190143E-3</v>
      </c>
      <c r="G64" s="4">
        <f t="shared" si="14"/>
        <v>376.70833333333337</v>
      </c>
      <c r="H64" s="9">
        <f t="shared" si="32"/>
        <v>41389148.592976525</v>
      </c>
      <c r="I64" s="2">
        <f t="shared" si="16"/>
        <v>41.389148592976525</v>
      </c>
      <c r="J64" s="2">
        <f t="shared" si="17"/>
        <v>1.255438938525939</v>
      </c>
      <c r="K64" s="4">
        <f t="shared" si="18"/>
        <v>994.63935720978043</v>
      </c>
      <c r="L64" s="12">
        <f t="shared" si="19"/>
        <v>3.2987921417246621E-4</v>
      </c>
      <c r="M64" s="19">
        <f t="shared" si="23"/>
        <v>7.5874766859385396E-3</v>
      </c>
      <c r="N64" s="432">
        <f t="shared" si="24"/>
        <v>0.84081649410747439</v>
      </c>
      <c r="O64" s="432">
        <f t="shared" si="25"/>
        <v>0.84081649410747439</v>
      </c>
      <c r="P64" s="429">
        <f t="shared" si="26"/>
        <v>7684.3136959978501</v>
      </c>
      <c r="Q64" s="429">
        <f t="shared" si="27"/>
        <v>0</v>
      </c>
      <c r="R64" s="430">
        <f t="shared" si="28"/>
        <v>1</v>
      </c>
      <c r="S64" s="431">
        <f t="shared" si="29"/>
        <v>1.4671168988362676E-2</v>
      </c>
      <c r="T64" s="4">
        <f t="shared" si="30"/>
        <v>57.310804256594601</v>
      </c>
      <c r="U64" s="4">
        <f t="shared" si="31"/>
        <v>4804.8076805851879</v>
      </c>
    </row>
    <row r="65" spans="1:21" x14ac:dyDescent="0.2">
      <c r="A65">
        <f t="shared" si="10"/>
        <v>11898.88</v>
      </c>
      <c r="B65" s="4">
        <f t="shared" si="11"/>
        <v>6003.8916470881104</v>
      </c>
      <c r="C65" s="11">
        <f t="shared" si="21"/>
        <v>56</v>
      </c>
      <c r="D65" s="4">
        <f t="shared" si="22"/>
        <v>3627.7073170731705</v>
      </c>
      <c r="E65">
        <f t="shared" si="12"/>
        <v>0.11861823723647448</v>
      </c>
      <c r="F65">
        <f t="shared" si="13"/>
        <v>9.0239389202190143E-3</v>
      </c>
      <c r="G65" s="4">
        <f t="shared" si="14"/>
        <v>376.70833333333337</v>
      </c>
      <c r="H65" s="9">
        <f t="shared" si="32"/>
        <v>41396832.906672522</v>
      </c>
      <c r="I65" s="2">
        <f t="shared" si="16"/>
        <v>41.396832906672522</v>
      </c>
      <c r="J65" s="2">
        <f t="shared" si="17"/>
        <v>1.2555229020384764</v>
      </c>
      <c r="K65" s="4">
        <f t="shared" si="18"/>
        <v>994.64303378111822</v>
      </c>
      <c r="L65" s="12">
        <f t="shared" si="19"/>
        <v>3.2987921417246621E-4</v>
      </c>
      <c r="M65" s="19">
        <f t="shared" si="23"/>
        <v>7.5874486397969967E-3</v>
      </c>
      <c r="N65" s="432">
        <f t="shared" si="24"/>
        <v>0.84081338613635548</v>
      </c>
      <c r="O65" s="432">
        <f t="shared" si="25"/>
        <v>0.84081338613635548</v>
      </c>
      <c r="P65" s="429">
        <f t="shared" si="26"/>
        <v>7684.2852919106326</v>
      </c>
      <c r="Q65" s="429">
        <f t="shared" si="27"/>
        <v>0</v>
      </c>
      <c r="R65" s="430">
        <f t="shared" si="28"/>
        <v>1</v>
      </c>
      <c r="S65" s="431">
        <f t="shared" si="29"/>
        <v>1.4671114758254424E-2</v>
      </c>
      <c r="T65" s="4">
        <f t="shared" si="30"/>
        <v>57.310804256594601</v>
      </c>
      <c r="U65" s="4">
        <f t="shared" si="31"/>
        <v>4804.8076805851879</v>
      </c>
    </row>
    <row r="66" spans="1:21" x14ac:dyDescent="0.2">
      <c r="A66">
        <f t="shared" si="10"/>
        <v>12111.359999999997</v>
      </c>
      <c r="B66" s="4">
        <f t="shared" si="11"/>
        <v>6005.0061192116655</v>
      </c>
      <c r="C66" s="11">
        <f t="shared" si="21"/>
        <v>57</v>
      </c>
      <c r="D66" s="4">
        <f t="shared" si="22"/>
        <v>3692.4878048780483</v>
      </c>
      <c r="E66">
        <f t="shared" si="12"/>
        <v>0.11861823723647448</v>
      </c>
      <c r="F66">
        <f t="shared" si="13"/>
        <v>9.0239389202190143E-3</v>
      </c>
      <c r="G66" s="4">
        <f t="shared" si="14"/>
        <v>376.70833333333337</v>
      </c>
      <c r="H66" s="9">
        <f t="shared" si="32"/>
        <v>41404517.191964433</v>
      </c>
      <c r="I66" s="2">
        <f t="shared" si="16"/>
        <v>41.40451719196443</v>
      </c>
      <c r="J66" s="2">
        <f t="shared" si="17"/>
        <v>1.2556068740723489</v>
      </c>
      <c r="K66" s="4">
        <f t="shared" si="18"/>
        <v>994.64671033886589</v>
      </c>
      <c r="L66" s="12">
        <f t="shared" si="19"/>
        <v>3.2987921417246621E-4</v>
      </c>
      <c r="M66" s="19">
        <f t="shared" si="23"/>
        <v>7.5874205939664603E-3</v>
      </c>
      <c r="N66" s="432">
        <f t="shared" si="24"/>
        <v>0.84081027819970111</v>
      </c>
      <c r="O66" s="432">
        <f t="shared" si="25"/>
        <v>0.84081027819970111</v>
      </c>
      <c r="P66" s="429">
        <f t="shared" si="26"/>
        <v>7684.2568881383868</v>
      </c>
      <c r="Q66" s="429">
        <f t="shared" si="27"/>
        <v>0</v>
      </c>
      <c r="R66" s="430">
        <f t="shared" si="28"/>
        <v>1</v>
      </c>
      <c r="S66" s="431">
        <f t="shared" si="29"/>
        <v>1.4671060528747533E-2</v>
      </c>
      <c r="T66" s="4">
        <f t="shared" si="30"/>
        <v>57.310804256594594</v>
      </c>
      <c r="U66" s="4">
        <f t="shared" si="31"/>
        <v>4804.8076805851879</v>
      </c>
    </row>
    <row r="67" spans="1:21" x14ac:dyDescent="0.2">
      <c r="A67">
        <f t="shared" si="10"/>
        <v>12323.84</v>
      </c>
      <c r="B67" s="4">
        <f t="shared" si="11"/>
        <v>6006.1205872157461</v>
      </c>
      <c r="C67" s="11">
        <f t="shared" si="21"/>
        <v>58</v>
      </c>
      <c r="D67" s="4">
        <f t="shared" si="22"/>
        <v>3757.268292682927</v>
      </c>
      <c r="E67">
        <f t="shared" si="12"/>
        <v>0.11861823723647448</v>
      </c>
      <c r="F67">
        <f t="shared" si="13"/>
        <v>9.0239389202190143E-3</v>
      </c>
      <c r="G67" s="4">
        <f t="shared" si="14"/>
        <v>376.70833333333337</v>
      </c>
      <c r="H67" s="9">
        <f t="shared" si="32"/>
        <v>41412201.448852569</v>
      </c>
      <c r="I67" s="2">
        <f t="shared" si="16"/>
        <v>41.412201448852571</v>
      </c>
      <c r="J67" s="2">
        <f t="shared" si="17"/>
        <v>1.2556908546248273</v>
      </c>
      <c r="K67" s="4">
        <f t="shared" si="18"/>
        <v>994.65038688302354</v>
      </c>
      <c r="L67" s="12">
        <f t="shared" si="19"/>
        <v>3.2987921417246621E-4</v>
      </c>
      <c r="M67" s="19">
        <f t="shared" si="23"/>
        <v>7.5873925484469251E-3</v>
      </c>
      <c r="N67" s="432">
        <f t="shared" si="24"/>
        <v>0.84080717029751084</v>
      </c>
      <c r="O67" s="432">
        <f t="shared" si="25"/>
        <v>0.84080717029751084</v>
      </c>
      <c r="P67" s="429">
        <f t="shared" si="26"/>
        <v>7684.2284846811135</v>
      </c>
      <c r="Q67" s="429">
        <f t="shared" si="27"/>
        <v>0</v>
      </c>
      <c r="R67" s="430">
        <f t="shared" si="28"/>
        <v>1</v>
      </c>
      <c r="S67" s="431">
        <f t="shared" si="29"/>
        <v>1.4671006299841995E-2</v>
      </c>
      <c r="T67" s="4">
        <f t="shared" si="30"/>
        <v>57.310804256594601</v>
      </c>
      <c r="U67" s="4">
        <f t="shared" si="31"/>
        <v>4804.8076805851879</v>
      </c>
    </row>
    <row r="68" spans="1:21" x14ac:dyDescent="0.2">
      <c r="A68">
        <f t="shared" si="10"/>
        <v>12536.32</v>
      </c>
      <c r="B68" s="4">
        <f t="shared" si="11"/>
        <v>6007.2350511003988</v>
      </c>
      <c r="C68" s="11">
        <f t="shared" si="21"/>
        <v>59</v>
      </c>
      <c r="D68" s="4">
        <f t="shared" si="22"/>
        <v>3822.0487804878048</v>
      </c>
      <c r="E68">
        <f t="shared" si="12"/>
        <v>0.11861823723647448</v>
      </c>
      <c r="F68">
        <f t="shared" si="13"/>
        <v>9.0239389202190143E-3</v>
      </c>
      <c r="G68" s="4">
        <f t="shared" si="14"/>
        <v>376.70833333333337</v>
      </c>
      <c r="H68" s="9">
        <f t="shared" si="32"/>
        <v>41419885.677337252</v>
      </c>
      <c r="I68" s="2">
        <f t="shared" si="16"/>
        <v>41.419885677337248</v>
      </c>
      <c r="J68" s="2">
        <f t="shared" si="17"/>
        <v>1.2557748436931819</v>
      </c>
      <c r="K68" s="4">
        <f t="shared" si="18"/>
        <v>994.65406341359187</v>
      </c>
      <c r="L68" s="12">
        <f t="shared" si="19"/>
        <v>3.2987921417246621E-4</v>
      </c>
      <c r="M68" s="19">
        <f t="shared" si="23"/>
        <v>7.5873645032383807E-3</v>
      </c>
      <c r="N68" s="432">
        <f t="shared" si="24"/>
        <v>0.84080406242978345</v>
      </c>
      <c r="O68" s="432">
        <f t="shared" si="25"/>
        <v>0.84080406242978345</v>
      </c>
      <c r="P68" s="429">
        <f t="shared" si="26"/>
        <v>7684.2000815388019</v>
      </c>
      <c r="Q68" s="429">
        <f t="shared" si="27"/>
        <v>0</v>
      </c>
      <c r="R68" s="430">
        <f t="shared" si="28"/>
        <v>1</v>
      </c>
      <c r="S68" s="431">
        <f t="shared" si="29"/>
        <v>1.4670952071537791E-2</v>
      </c>
      <c r="T68" s="4">
        <f t="shared" si="30"/>
        <v>57.310804256594608</v>
      </c>
      <c r="U68" s="4">
        <f t="shared" si="31"/>
        <v>4804.8076805851879</v>
      </c>
    </row>
    <row r="69" spans="1:21" x14ac:dyDescent="0.2">
      <c r="A69">
        <f t="shared" si="10"/>
        <v>12748.799999999997</v>
      </c>
      <c r="B69" s="4">
        <f t="shared" si="11"/>
        <v>6008.3495108656698</v>
      </c>
      <c r="C69" s="11">
        <f t="shared" si="21"/>
        <v>60</v>
      </c>
      <c r="D69" s="4">
        <f t="shared" si="22"/>
        <v>3886.8292682926826</v>
      </c>
      <c r="E69">
        <f t="shared" si="12"/>
        <v>0.11861823723647448</v>
      </c>
      <c r="F69">
        <f t="shared" si="13"/>
        <v>9.0239389202190143E-3</v>
      </c>
      <c r="G69" s="4">
        <f t="shared" si="14"/>
        <v>376.70833333333337</v>
      </c>
      <c r="H69" s="9">
        <f t="shared" si="32"/>
        <v>41427569.877418794</v>
      </c>
      <c r="I69" s="2">
        <f t="shared" si="16"/>
        <v>41.427569877418797</v>
      </c>
      <c r="J69" s="2">
        <f t="shared" si="17"/>
        <v>1.2558588412746825</v>
      </c>
      <c r="K69" s="4">
        <f t="shared" si="18"/>
        <v>994.65773993057064</v>
      </c>
      <c r="L69" s="12">
        <f t="shared" si="19"/>
        <v>3.2987921417246621E-4</v>
      </c>
      <c r="M69" s="19">
        <f t="shared" si="23"/>
        <v>7.5873364583408237E-3</v>
      </c>
      <c r="N69" s="432">
        <f t="shared" si="24"/>
        <v>0.84080095459651849</v>
      </c>
      <c r="O69" s="432">
        <f t="shared" si="25"/>
        <v>0.84080095459651849</v>
      </c>
      <c r="P69" s="429">
        <f t="shared" si="26"/>
        <v>7684.171678711441</v>
      </c>
      <c r="Q69" s="429">
        <f t="shared" si="27"/>
        <v>0</v>
      </c>
      <c r="R69" s="430">
        <f t="shared" si="28"/>
        <v>1</v>
      </c>
      <c r="S69" s="431">
        <f t="shared" si="29"/>
        <v>1.4670897843834914E-2</v>
      </c>
      <c r="T69" s="4">
        <f t="shared" si="30"/>
        <v>57.310804256594601</v>
      </c>
      <c r="U69" s="4">
        <f t="shared" si="31"/>
        <v>4804.8076805851879</v>
      </c>
    </row>
    <row r="70" spans="1:21" x14ac:dyDescent="0.2">
      <c r="A70">
        <f t="shared" si="10"/>
        <v>12961.279999999999</v>
      </c>
      <c r="B70" s="4">
        <f t="shared" si="11"/>
        <v>6009.4639665116038</v>
      </c>
      <c r="C70" s="11">
        <f t="shared" si="21"/>
        <v>61</v>
      </c>
      <c r="D70" s="4">
        <f t="shared" si="22"/>
        <v>3951.6097560975609</v>
      </c>
      <c r="E70">
        <f t="shared" si="12"/>
        <v>0.11861823723647448</v>
      </c>
      <c r="F70">
        <f t="shared" si="13"/>
        <v>9.0239389202190143E-3</v>
      </c>
      <c r="G70" s="4">
        <f t="shared" si="14"/>
        <v>376.70833333333337</v>
      </c>
      <c r="H70" s="9">
        <f t="shared" si="32"/>
        <v>41435254.049097508</v>
      </c>
      <c r="I70" s="2">
        <f t="shared" si="16"/>
        <v>41.435254049097509</v>
      </c>
      <c r="J70" s="2">
        <f t="shared" si="17"/>
        <v>1.2559428473666001</v>
      </c>
      <c r="K70" s="4">
        <f t="shared" si="18"/>
        <v>994.66141643395986</v>
      </c>
      <c r="L70" s="12">
        <f t="shared" si="19"/>
        <v>3.2987921417246621E-4</v>
      </c>
      <c r="M70" s="19">
        <f t="shared" si="23"/>
        <v>7.5873084137542506E-3</v>
      </c>
      <c r="N70" s="432">
        <f t="shared" si="24"/>
        <v>0.84079784679771563</v>
      </c>
      <c r="O70" s="432">
        <f t="shared" si="25"/>
        <v>0.84079784679771563</v>
      </c>
      <c r="P70" s="429">
        <f t="shared" si="26"/>
        <v>7684.1432761990309</v>
      </c>
      <c r="Q70" s="429">
        <f t="shared" si="27"/>
        <v>0</v>
      </c>
      <c r="R70" s="430">
        <f t="shared" si="28"/>
        <v>1</v>
      </c>
      <c r="S70" s="431">
        <f t="shared" si="29"/>
        <v>1.4670843616733355E-2</v>
      </c>
      <c r="T70" s="4">
        <f t="shared" si="30"/>
        <v>57.310804256594601</v>
      </c>
      <c r="U70" s="4">
        <f t="shared" si="31"/>
        <v>4804.8076805851879</v>
      </c>
    </row>
    <row r="71" spans="1:21" x14ac:dyDescent="0.2">
      <c r="A71">
        <f t="shared" si="10"/>
        <v>13173.76</v>
      </c>
      <c r="B71" s="4">
        <f t="shared" si="11"/>
        <v>6010.5784180382461</v>
      </c>
      <c r="C71" s="11">
        <f t="shared" si="21"/>
        <v>62</v>
      </c>
      <c r="D71" s="4">
        <f t="shared" si="22"/>
        <v>4016.3902439024391</v>
      </c>
      <c r="E71">
        <f t="shared" si="12"/>
        <v>0.11861823723647448</v>
      </c>
      <c r="F71">
        <f t="shared" si="13"/>
        <v>9.0239389202190143E-3</v>
      </c>
      <c r="G71" s="4">
        <f t="shared" si="14"/>
        <v>376.70833333333337</v>
      </c>
      <c r="H71" s="9">
        <f t="shared" si="32"/>
        <v>41442938.192373708</v>
      </c>
      <c r="I71" s="2">
        <f t="shared" si="16"/>
        <v>41.44293819237371</v>
      </c>
      <c r="J71" s="2">
        <f t="shared" si="17"/>
        <v>1.2560268619662043</v>
      </c>
      <c r="K71" s="4">
        <f t="shared" si="18"/>
        <v>994.66509292375997</v>
      </c>
      <c r="L71" s="12">
        <f t="shared" si="19"/>
        <v>3.2987921417246621E-4</v>
      </c>
      <c r="M71" s="19">
        <f t="shared" si="23"/>
        <v>7.5872803694786526E-3</v>
      </c>
      <c r="N71" s="432">
        <f t="shared" si="24"/>
        <v>0.84079473903337398</v>
      </c>
      <c r="O71" s="432">
        <f t="shared" si="25"/>
        <v>0.84079473903337398</v>
      </c>
      <c r="P71" s="429">
        <f t="shared" si="26"/>
        <v>7684.1148740015633</v>
      </c>
      <c r="Q71" s="429">
        <f t="shared" si="27"/>
        <v>0</v>
      </c>
      <c r="R71" s="430">
        <f t="shared" si="28"/>
        <v>1</v>
      </c>
      <c r="S71" s="431">
        <f t="shared" si="29"/>
        <v>1.4670789390233098E-2</v>
      </c>
      <c r="T71" s="4">
        <f t="shared" si="30"/>
        <v>57.310804256594608</v>
      </c>
      <c r="U71" s="4">
        <f t="shared" si="31"/>
        <v>4804.8076805851879</v>
      </c>
    </row>
    <row r="72" spans="1:21" x14ac:dyDescent="0.2">
      <c r="A72">
        <f t="shared" si="10"/>
        <v>13386.24</v>
      </c>
      <c r="B72" s="4">
        <f t="shared" si="11"/>
        <v>6011.6928654456424</v>
      </c>
      <c r="C72" s="11">
        <f t="shared" si="21"/>
        <v>63</v>
      </c>
      <c r="D72" s="4">
        <f t="shared" si="22"/>
        <v>4081.1707317073174</v>
      </c>
      <c r="E72">
        <f t="shared" si="12"/>
        <v>0.11861823723647448</v>
      </c>
      <c r="F72">
        <f t="shared" si="13"/>
        <v>9.0239389202190143E-3</v>
      </c>
      <c r="G72" s="4">
        <f t="shared" si="14"/>
        <v>376.70833333333337</v>
      </c>
      <c r="H72" s="9">
        <f t="shared" si="32"/>
        <v>41450622.307247706</v>
      </c>
      <c r="I72" s="2">
        <f t="shared" si="16"/>
        <v>41.450622307247706</v>
      </c>
      <c r="J72" s="2">
        <f t="shared" si="17"/>
        <v>1.2561108850707663</v>
      </c>
      <c r="K72" s="4">
        <f t="shared" si="18"/>
        <v>994.6687693999711</v>
      </c>
      <c r="L72" s="12">
        <f t="shared" si="19"/>
        <v>3.2987921417246621E-4</v>
      </c>
      <c r="M72" s="19">
        <f t="shared" si="23"/>
        <v>7.5872523255140246E-3</v>
      </c>
      <c r="N72" s="432">
        <f t="shared" si="24"/>
        <v>0.84079163130349288</v>
      </c>
      <c r="O72" s="432">
        <f t="shared" si="25"/>
        <v>0.84079163130349288</v>
      </c>
      <c r="P72" s="429">
        <f t="shared" si="26"/>
        <v>7684.0864721190501</v>
      </c>
      <c r="Q72" s="429">
        <f t="shared" si="27"/>
        <v>0</v>
      </c>
      <c r="R72" s="430">
        <f t="shared" si="28"/>
        <v>1</v>
      </c>
      <c r="S72" s="431">
        <f t="shared" si="29"/>
        <v>1.4670735164334136E-2</v>
      </c>
      <c r="T72" s="4">
        <f t="shared" si="30"/>
        <v>57.310804256594601</v>
      </c>
      <c r="U72" s="4">
        <f t="shared" si="31"/>
        <v>4804.8076805851879</v>
      </c>
    </row>
    <row r="73" spans="1:21" x14ac:dyDescent="0.2">
      <c r="A73">
        <f t="shared" si="10"/>
        <v>13598.72</v>
      </c>
      <c r="B73" s="4">
        <f t="shared" si="11"/>
        <v>6012.8073087338389</v>
      </c>
      <c r="C73" s="11">
        <f t="shared" si="21"/>
        <v>64</v>
      </c>
      <c r="D73" s="4">
        <f t="shared" ref="D73:D109" si="33">i*L/N</f>
        <v>4145.9512195121952</v>
      </c>
      <c r="E73">
        <f t="shared" si="12"/>
        <v>0.11861823723647448</v>
      </c>
      <c r="F73">
        <f t="shared" si="13"/>
        <v>9.0239389202190143E-3</v>
      </c>
      <c r="G73" s="4">
        <f t="shared" si="14"/>
        <v>376.70833333333337</v>
      </c>
      <c r="H73" s="9">
        <f t="shared" si="32"/>
        <v>41458306.393719822</v>
      </c>
      <c r="I73" s="2">
        <f t="shared" si="16"/>
        <v>41.458306393719823</v>
      </c>
      <c r="J73" s="2">
        <f t="shared" si="17"/>
        <v>1.2561949166775563</v>
      </c>
      <c r="K73" s="4">
        <f t="shared" si="18"/>
        <v>994.67244586259312</v>
      </c>
      <c r="L73" s="12">
        <f t="shared" si="19"/>
        <v>3.2987921417246621E-4</v>
      </c>
      <c r="M73" s="19">
        <f t="shared" ref="M73:M109" si="34">(mw-ml)/rhow</f>
        <v>7.5872242818603632E-3</v>
      </c>
      <c r="N73" s="432">
        <f t="shared" ref="N73:N109" si="35">Qw/Aa</f>
        <v>0.84078852360807188</v>
      </c>
      <c r="O73" s="432">
        <f t="shared" ref="O73:O109" si="36">IF(MD&gt;=TVD,va,"")</f>
        <v>0.84078852360807188</v>
      </c>
      <c r="P73" s="429">
        <f t="shared" ref="P73:P109" si="37">0.1275*(L/N)*rhow^0.8*va^1.8*muw^0.2/((dci-dto)^1.2)</f>
        <v>7684.0580705514585</v>
      </c>
      <c r="Q73" s="429">
        <f t="shared" ref="Q73:Q109" si="38">IF(D73&lt;TVD,rhow*g*L/N,0)</f>
        <v>0</v>
      </c>
      <c r="R73" s="430">
        <f t="shared" ref="R73:R109" si="39">IF(MD&lt;TVD,1-1.8*SQRT(g*DP*(rhorock-rhow)/rhow)/va,1)</f>
        <v>1</v>
      </c>
      <c r="S73" s="431">
        <f t="shared" ref="S73:S109" si="40">3000*muw/(dci-dto)/rhow</f>
        <v>1.4670680939036456E-2</v>
      </c>
      <c r="T73" s="4">
        <f t="shared" ref="T73:T104" si="41">N73/S73</f>
        <v>57.310804256594608</v>
      </c>
      <c r="U73" s="4">
        <f t="shared" ref="U73:U107" si="42">9.8*0.001*MIN(D73,TVD)*145</f>
        <v>4804.8076805851879</v>
      </c>
    </row>
    <row r="74" spans="1:21" x14ac:dyDescent="0.2">
      <c r="A74">
        <f t="shared" ref="A74:A139" si="43">D74*3.28</f>
        <v>13811.2</v>
      </c>
      <c r="B74" s="4">
        <f t="shared" ref="B74:B139" si="44">H74/6895</f>
        <v>6013.9217479028821</v>
      </c>
      <c r="C74" s="11">
        <f t="shared" si="21"/>
        <v>65</v>
      </c>
      <c r="D74" s="4">
        <f t="shared" si="33"/>
        <v>4210.7317073170734</v>
      </c>
      <c r="E74">
        <f t="shared" ref="E74:E109" si="45">IF(MD&lt;TVD,dcase,dhor)</f>
        <v>0.11861823723647448</v>
      </c>
      <c r="F74">
        <f t="shared" ref="F74:F109" si="46">0.25*PI()*(E74^2-dto^2)</f>
        <v>9.0239389202190143E-3</v>
      </c>
      <c r="G74" s="4">
        <f t="shared" ref="G74:G109" si="47">T0+MIN(D74,TVD)*dT</f>
        <v>376.70833333333337</v>
      </c>
      <c r="H74" s="9">
        <f t="shared" ref="H74:H109" si="48">H73+P73+Q73</f>
        <v>41465990.45179037</v>
      </c>
      <c r="I74" s="2">
        <f t="shared" ref="I74:I139" si="49">Pi/1000000</f>
        <v>41.465990451790368</v>
      </c>
      <c r="J74" s="2">
        <f t="shared" ref="J74:J109" si="50">1+BB*H74+CCC*H74^2+DD*H74^3</f>
        <v>1.256278956783845</v>
      </c>
      <c r="K74" s="4">
        <f t="shared" ref="K74:K139" si="51">(-0.002516*(T-273)^2-0.1853*(T-273)+1002)*(1+Pi/1000000*(0.00000002*(T-273)^2-0.00000224*(T-273)+0.000508))*(1+Cbrine)</f>
        <v>994.6761223116265</v>
      </c>
      <c r="L74" s="12">
        <f t="shared" ref="L74:L108" si="52">0.001*(83080000000*T^-4.4259)</f>
        <v>3.2987921417246621E-4</v>
      </c>
      <c r="M74" s="19">
        <f t="shared" si="34"/>
        <v>7.5871962385176597E-3</v>
      </c>
      <c r="N74" s="432">
        <f t="shared" si="35"/>
        <v>0.84078541594711009</v>
      </c>
      <c r="O74" s="432">
        <f t="shared" si="36"/>
        <v>0.84078541594711009</v>
      </c>
      <c r="P74" s="429">
        <f t="shared" si="37"/>
        <v>7684.0296692987986</v>
      </c>
      <c r="Q74" s="429">
        <f t="shared" si="38"/>
        <v>0</v>
      </c>
      <c r="R74" s="430">
        <f t="shared" si="39"/>
        <v>1</v>
      </c>
      <c r="S74" s="431">
        <f t="shared" si="40"/>
        <v>1.4670626714340048E-2</v>
      </c>
      <c r="T74" s="4">
        <f t="shared" si="41"/>
        <v>57.310804256594601</v>
      </c>
      <c r="U74" s="4">
        <f t="shared" si="42"/>
        <v>4804.8076805851879</v>
      </c>
    </row>
    <row r="75" spans="1:21" x14ac:dyDescent="0.2">
      <c r="A75">
        <f t="shared" si="43"/>
        <v>14023.679999999998</v>
      </c>
      <c r="B75" s="4">
        <f t="shared" si="44"/>
        <v>6015.0361829528165</v>
      </c>
      <c r="C75" s="11">
        <f t="shared" si="21"/>
        <v>66</v>
      </c>
      <c r="D75" s="4">
        <f t="shared" si="33"/>
        <v>4275.5121951219508</v>
      </c>
      <c r="E75">
        <f t="shared" si="45"/>
        <v>0.11861823723647448</v>
      </c>
      <c r="F75">
        <f t="shared" si="46"/>
        <v>9.0239389202190143E-3</v>
      </c>
      <c r="G75" s="4">
        <f t="shared" si="47"/>
        <v>376.70833333333337</v>
      </c>
      <c r="H75" s="9">
        <f t="shared" si="48"/>
        <v>41473674.48145967</v>
      </c>
      <c r="I75" s="2">
        <f t="shared" si="49"/>
        <v>41.473674481459668</v>
      </c>
      <c r="J75" s="2">
        <f t="shared" si="50"/>
        <v>1.2563630053869028</v>
      </c>
      <c r="K75" s="4">
        <f t="shared" si="51"/>
        <v>994.679798747071</v>
      </c>
      <c r="L75" s="12">
        <f t="shared" si="52"/>
        <v>3.2987921417246621E-4</v>
      </c>
      <c r="M75" s="19">
        <f t="shared" si="34"/>
        <v>7.5871681954859113E-3</v>
      </c>
      <c r="N75" s="432">
        <f t="shared" si="35"/>
        <v>0.8407823083206073</v>
      </c>
      <c r="O75" s="432">
        <f t="shared" si="36"/>
        <v>0.8407823083206073</v>
      </c>
      <c r="P75" s="429">
        <f t="shared" si="37"/>
        <v>7684.0012683610612</v>
      </c>
      <c r="Q75" s="429">
        <f t="shared" si="38"/>
        <v>0</v>
      </c>
      <c r="R75" s="430">
        <f t="shared" si="39"/>
        <v>1</v>
      </c>
      <c r="S75" s="431">
        <f t="shared" si="40"/>
        <v>1.4670572490244903E-2</v>
      </c>
      <c r="T75" s="4">
        <f t="shared" si="41"/>
        <v>57.310804256594601</v>
      </c>
      <c r="U75" s="4">
        <f t="shared" si="42"/>
        <v>4804.8076805851879</v>
      </c>
    </row>
    <row r="76" spans="1:21" x14ac:dyDescent="0.2">
      <c r="A76">
        <f t="shared" si="43"/>
        <v>14236.159999999998</v>
      </c>
      <c r="B76" s="4">
        <f t="shared" si="44"/>
        <v>6016.1506138836885</v>
      </c>
      <c r="C76" s="11">
        <f t="shared" si="21"/>
        <v>67</v>
      </c>
      <c r="D76" s="4">
        <f t="shared" si="33"/>
        <v>4340.292682926829</v>
      </c>
      <c r="E76">
        <f t="shared" si="45"/>
        <v>0.11861823723647448</v>
      </c>
      <c r="F76">
        <f t="shared" si="46"/>
        <v>9.0239389202190143E-3</v>
      </c>
      <c r="G76" s="4">
        <f t="shared" si="47"/>
        <v>376.70833333333337</v>
      </c>
      <c r="H76" s="9">
        <f t="shared" si="48"/>
        <v>41481358.482728034</v>
      </c>
      <c r="I76" s="2">
        <f t="shared" si="49"/>
        <v>41.481358482728034</v>
      </c>
      <c r="J76" s="2">
        <f t="shared" si="50"/>
        <v>1.256447062484001</v>
      </c>
      <c r="K76" s="4">
        <f t="shared" si="51"/>
        <v>994.6834751689272</v>
      </c>
      <c r="L76" s="12">
        <f t="shared" si="52"/>
        <v>3.2987921417246621E-4</v>
      </c>
      <c r="M76" s="19">
        <f t="shared" si="34"/>
        <v>7.5871401527651088E-3</v>
      </c>
      <c r="N76" s="432">
        <f t="shared" si="35"/>
        <v>0.84077920072856238</v>
      </c>
      <c r="O76" s="432">
        <f t="shared" si="36"/>
        <v>0.84077920072856238</v>
      </c>
      <c r="P76" s="429">
        <f t="shared" si="37"/>
        <v>7683.9728677382318</v>
      </c>
      <c r="Q76" s="429">
        <f t="shared" si="38"/>
        <v>0</v>
      </c>
      <c r="R76" s="430">
        <f t="shared" si="39"/>
        <v>1</v>
      </c>
      <c r="S76" s="431">
        <f t="shared" si="40"/>
        <v>1.4670518266751005E-2</v>
      </c>
      <c r="T76" s="4">
        <f t="shared" si="41"/>
        <v>57.310804256594601</v>
      </c>
      <c r="U76" s="4">
        <f t="shared" si="42"/>
        <v>4804.8076805851879</v>
      </c>
    </row>
    <row r="77" spans="1:21" x14ac:dyDescent="0.2">
      <c r="A77">
        <f t="shared" si="43"/>
        <v>14448.64</v>
      </c>
      <c r="B77" s="4">
        <f t="shared" si="44"/>
        <v>6017.2650406955427</v>
      </c>
      <c r="C77" s="11">
        <f t="shared" si="21"/>
        <v>68</v>
      </c>
      <c r="D77" s="4">
        <f t="shared" si="33"/>
        <v>4405.0731707317073</v>
      </c>
      <c r="E77">
        <f t="shared" si="45"/>
        <v>0.11861823723647448</v>
      </c>
      <c r="F77">
        <f t="shared" si="46"/>
        <v>9.0239389202190143E-3</v>
      </c>
      <c r="G77" s="4">
        <f t="shared" si="47"/>
        <v>376.70833333333337</v>
      </c>
      <c r="H77" s="9">
        <f t="shared" si="48"/>
        <v>41489042.455595769</v>
      </c>
      <c r="I77" s="2">
        <f t="shared" si="49"/>
        <v>41.489042455595772</v>
      </c>
      <c r="J77" s="2">
        <f t="shared" si="50"/>
        <v>1.2565311280724099</v>
      </c>
      <c r="K77" s="4">
        <f t="shared" si="51"/>
        <v>994.6871515771951</v>
      </c>
      <c r="L77" s="12">
        <f t="shared" si="52"/>
        <v>3.2987921417246621E-4</v>
      </c>
      <c r="M77" s="19">
        <f t="shared" si="34"/>
        <v>7.5871121103552493E-3</v>
      </c>
      <c r="N77" s="432">
        <f t="shared" si="35"/>
        <v>0.84077609317097501</v>
      </c>
      <c r="O77" s="432">
        <f t="shared" si="36"/>
        <v>0.84077609317097501</v>
      </c>
      <c r="P77" s="429">
        <f t="shared" si="37"/>
        <v>7683.9444674303259</v>
      </c>
      <c r="Q77" s="429">
        <f t="shared" si="38"/>
        <v>0</v>
      </c>
      <c r="R77" s="430">
        <f t="shared" si="39"/>
        <v>1</v>
      </c>
      <c r="S77" s="431">
        <f t="shared" si="40"/>
        <v>1.4670464043858345E-2</v>
      </c>
      <c r="T77" s="4">
        <f t="shared" si="41"/>
        <v>57.310804256594608</v>
      </c>
      <c r="U77" s="4">
        <f t="shared" si="42"/>
        <v>4804.8076805851879</v>
      </c>
    </row>
    <row r="78" spans="1:21" x14ac:dyDescent="0.2">
      <c r="A78">
        <f t="shared" si="43"/>
        <v>14661.119999999999</v>
      </c>
      <c r="B78" s="4">
        <f t="shared" si="44"/>
        <v>6018.3794633884263</v>
      </c>
      <c r="C78" s="11">
        <f t="shared" si="21"/>
        <v>69</v>
      </c>
      <c r="D78" s="4">
        <f t="shared" si="33"/>
        <v>4469.8536585365855</v>
      </c>
      <c r="E78">
        <f t="shared" si="45"/>
        <v>0.11861823723647448</v>
      </c>
      <c r="F78">
        <f t="shared" si="46"/>
        <v>9.0239389202190143E-3</v>
      </c>
      <c r="G78" s="4">
        <f t="shared" si="47"/>
        <v>376.70833333333337</v>
      </c>
      <c r="H78" s="9">
        <f t="shared" si="48"/>
        <v>41496726.400063202</v>
      </c>
      <c r="I78" s="2">
        <f t="shared" si="49"/>
        <v>41.496726400063203</v>
      </c>
      <c r="J78" s="2">
        <f t="shared" si="50"/>
        <v>1.2566152021494004</v>
      </c>
      <c r="K78" s="4">
        <f t="shared" si="51"/>
        <v>994.6908279718748</v>
      </c>
      <c r="L78" s="12">
        <f t="shared" si="52"/>
        <v>3.2987921417246621E-4</v>
      </c>
      <c r="M78" s="19">
        <f t="shared" si="34"/>
        <v>7.5870840682563251E-3</v>
      </c>
      <c r="N78" s="432">
        <f t="shared" si="35"/>
        <v>0.84077298564784431</v>
      </c>
      <c r="O78" s="432">
        <f t="shared" si="36"/>
        <v>0.84077298564784431</v>
      </c>
      <c r="P78" s="429">
        <f t="shared" si="37"/>
        <v>7683.9160674373206</v>
      </c>
      <c r="Q78" s="429">
        <f t="shared" si="38"/>
        <v>0</v>
      </c>
      <c r="R78" s="430">
        <f t="shared" si="39"/>
        <v>1</v>
      </c>
      <c r="S78" s="431">
        <f t="shared" si="40"/>
        <v>1.4670409821566912E-2</v>
      </c>
      <c r="T78" s="4">
        <f t="shared" si="41"/>
        <v>57.310804256594608</v>
      </c>
      <c r="U78" s="4">
        <f t="shared" si="42"/>
        <v>4804.8076805851879</v>
      </c>
    </row>
    <row r="79" spans="1:21" x14ac:dyDescent="0.2">
      <c r="A79">
        <f t="shared" si="43"/>
        <v>14873.599999999997</v>
      </c>
      <c r="B79" s="4">
        <f t="shared" si="44"/>
        <v>6019.493881962384</v>
      </c>
      <c r="C79" s="11">
        <f t="shared" si="21"/>
        <v>70</v>
      </c>
      <c r="D79" s="4">
        <f t="shared" si="33"/>
        <v>4534.6341463414628</v>
      </c>
      <c r="E79">
        <f t="shared" si="45"/>
        <v>0.11861823723647448</v>
      </c>
      <c r="F79">
        <f t="shared" si="46"/>
        <v>9.0239389202190143E-3</v>
      </c>
      <c r="G79" s="4">
        <f t="shared" si="47"/>
        <v>376.70833333333337</v>
      </c>
      <c r="H79" s="9">
        <f t="shared" si="48"/>
        <v>41504410.316130638</v>
      </c>
      <c r="I79" s="2">
        <f t="shared" si="49"/>
        <v>41.504410316130638</v>
      </c>
      <c r="J79" s="2">
        <f t="shared" si="50"/>
        <v>1.2566992847122436</v>
      </c>
      <c r="K79" s="4">
        <f t="shared" si="51"/>
        <v>994.69450435296642</v>
      </c>
      <c r="L79" s="12">
        <f t="shared" si="52"/>
        <v>3.2987921417246621E-4</v>
      </c>
      <c r="M79" s="19">
        <f t="shared" si="34"/>
        <v>7.5870560264683319E-3</v>
      </c>
      <c r="N79" s="432">
        <f t="shared" si="35"/>
        <v>0.84076987815916993</v>
      </c>
      <c r="O79" s="432">
        <f t="shared" si="36"/>
        <v>0.84076987815916993</v>
      </c>
      <c r="P79" s="429">
        <f t="shared" si="37"/>
        <v>7683.8876677592089</v>
      </c>
      <c r="Q79" s="429">
        <f t="shared" si="38"/>
        <v>0</v>
      </c>
      <c r="R79" s="430">
        <f t="shared" si="39"/>
        <v>1</v>
      </c>
      <c r="S79" s="431">
        <f t="shared" si="40"/>
        <v>1.4670355599876696E-2</v>
      </c>
      <c r="T79" s="4">
        <f t="shared" si="41"/>
        <v>57.310804256594608</v>
      </c>
      <c r="U79" s="4">
        <f t="shared" si="42"/>
        <v>4804.8076805851879</v>
      </c>
    </row>
    <row r="80" spans="1:21" x14ac:dyDescent="0.2">
      <c r="A80">
        <f t="shared" si="43"/>
        <v>15086.080000000002</v>
      </c>
      <c r="B80" s="4">
        <f t="shared" si="44"/>
        <v>6020.608296417462</v>
      </c>
      <c r="C80" s="11">
        <f t="shared" si="21"/>
        <v>71</v>
      </c>
      <c r="D80" s="4">
        <f t="shared" si="33"/>
        <v>4599.414634146342</v>
      </c>
      <c r="E80">
        <f t="shared" si="45"/>
        <v>0.11861823723647448</v>
      </c>
      <c r="F80">
        <f t="shared" si="46"/>
        <v>9.0239389202190143E-3</v>
      </c>
      <c r="G80" s="4">
        <f t="shared" si="47"/>
        <v>376.70833333333337</v>
      </c>
      <c r="H80" s="9">
        <f t="shared" si="48"/>
        <v>41512094.203798398</v>
      </c>
      <c r="I80" s="2">
        <f t="shared" si="49"/>
        <v>41.512094203798398</v>
      </c>
      <c r="J80" s="2">
        <f t="shared" si="50"/>
        <v>1.2567833757582103</v>
      </c>
      <c r="K80" s="4">
        <f t="shared" si="51"/>
        <v>994.69818072047019</v>
      </c>
      <c r="L80" s="12">
        <f t="shared" si="52"/>
        <v>3.2987921417246621E-4</v>
      </c>
      <c r="M80" s="19">
        <f t="shared" si="34"/>
        <v>7.5870279849912627E-3</v>
      </c>
      <c r="N80" s="432">
        <f t="shared" si="35"/>
        <v>0.84076677070495098</v>
      </c>
      <c r="O80" s="432">
        <f t="shared" si="36"/>
        <v>0.84076677070495098</v>
      </c>
      <c r="P80" s="429">
        <f t="shared" si="37"/>
        <v>7683.8592683959887</v>
      </c>
      <c r="Q80" s="429">
        <f t="shared" si="38"/>
        <v>0</v>
      </c>
      <c r="R80" s="430">
        <f t="shared" si="39"/>
        <v>1</v>
      </c>
      <c r="S80" s="431">
        <f t="shared" si="40"/>
        <v>1.4670301378787685E-2</v>
      </c>
      <c r="T80" s="4">
        <f t="shared" si="41"/>
        <v>57.310804256594608</v>
      </c>
      <c r="U80" s="4">
        <f t="shared" si="42"/>
        <v>4804.8076805851879</v>
      </c>
    </row>
    <row r="81" spans="1:21" x14ac:dyDescent="0.2">
      <c r="A81">
        <f t="shared" si="43"/>
        <v>15298.559999999998</v>
      </c>
      <c r="B81" s="4">
        <f t="shared" si="44"/>
        <v>6021.7227067537051</v>
      </c>
      <c r="C81" s="11">
        <f t="shared" si="21"/>
        <v>72</v>
      </c>
      <c r="D81" s="4">
        <f t="shared" si="33"/>
        <v>4664.1951219512193</v>
      </c>
      <c r="E81">
        <f t="shared" si="45"/>
        <v>0.11861823723647448</v>
      </c>
      <c r="F81">
        <f t="shared" si="46"/>
        <v>9.0239389202190143E-3</v>
      </c>
      <c r="G81" s="4">
        <f t="shared" si="47"/>
        <v>376.70833333333337</v>
      </c>
      <c r="H81" s="9">
        <f t="shared" si="48"/>
        <v>41519778.063066795</v>
      </c>
      <c r="I81" s="2">
        <f t="shared" si="49"/>
        <v>41.519778063066795</v>
      </c>
      <c r="J81" s="2">
        <f t="shared" si="50"/>
        <v>1.2568674752845714</v>
      </c>
      <c r="K81" s="4">
        <f t="shared" si="51"/>
        <v>994.70185707438645</v>
      </c>
      <c r="L81" s="12">
        <f t="shared" si="52"/>
        <v>3.2987921417246621E-4</v>
      </c>
      <c r="M81" s="19">
        <f t="shared" si="34"/>
        <v>7.5869999438251115E-3</v>
      </c>
      <c r="N81" s="432">
        <f t="shared" si="35"/>
        <v>0.84076366328518681</v>
      </c>
      <c r="O81" s="432">
        <f t="shared" si="36"/>
        <v>0.84076366328518681</v>
      </c>
      <c r="P81" s="429">
        <f t="shared" si="37"/>
        <v>7683.8308693476665</v>
      </c>
      <c r="Q81" s="429">
        <f t="shared" si="38"/>
        <v>0</v>
      </c>
      <c r="R81" s="430">
        <f t="shared" si="39"/>
        <v>1</v>
      </c>
      <c r="S81" s="431">
        <f t="shared" si="40"/>
        <v>1.4670247158299865E-2</v>
      </c>
      <c r="T81" s="4">
        <f t="shared" si="41"/>
        <v>57.310804256594601</v>
      </c>
      <c r="U81" s="4">
        <f t="shared" si="42"/>
        <v>4804.8076805851879</v>
      </c>
    </row>
    <row r="82" spans="1:21" x14ac:dyDescent="0.2">
      <c r="A82">
        <f t="shared" si="43"/>
        <v>15511.039999999999</v>
      </c>
      <c r="B82" s="4">
        <f t="shared" si="44"/>
        <v>6022.8371129711595</v>
      </c>
      <c r="C82" s="11">
        <f t="shared" si="21"/>
        <v>73</v>
      </c>
      <c r="D82" s="4">
        <f t="shared" si="33"/>
        <v>4728.9756097560976</v>
      </c>
      <c r="E82">
        <f t="shared" si="45"/>
        <v>0.11861823723647448</v>
      </c>
      <c r="F82">
        <f t="shared" si="46"/>
        <v>9.0239389202190143E-3</v>
      </c>
      <c r="G82" s="4">
        <f t="shared" si="47"/>
        <v>376.70833333333337</v>
      </c>
      <c r="H82" s="9">
        <f t="shared" si="48"/>
        <v>41527461.893936142</v>
      </c>
      <c r="I82" s="2">
        <f t="shared" si="49"/>
        <v>41.527461893936142</v>
      </c>
      <c r="J82" s="2">
        <f t="shared" si="50"/>
        <v>1.2569515832885982</v>
      </c>
      <c r="K82" s="4">
        <f t="shared" si="51"/>
        <v>994.70553341471498</v>
      </c>
      <c r="L82" s="12">
        <f t="shared" si="52"/>
        <v>3.2987921417246621E-4</v>
      </c>
      <c r="M82" s="19">
        <f t="shared" si="34"/>
        <v>7.5869719029698747E-3</v>
      </c>
      <c r="N82" s="432">
        <f t="shared" si="35"/>
        <v>0.84076055589987708</v>
      </c>
      <c r="O82" s="432">
        <f t="shared" si="36"/>
        <v>0.84076055589987708</v>
      </c>
      <c r="P82" s="429">
        <f t="shared" si="37"/>
        <v>7683.8024706142123</v>
      </c>
      <c r="Q82" s="429">
        <f t="shared" si="38"/>
        <v>0</v>
      </c>
      <c r="R82" s="430">
        <f t="shared" si="39"/>
        <v>1</v>
      </c>
      <c r="S82" s="431">
        <f t="shared" si="40"/>
        <v>1.4670192938413229E-2</v>
      </c>
      <c r="T82" s="4">
        <f t="shared" si="41"/>
        <v>57.310804256594608</v>
      </c>
      <c r="U82" s="4">
        <f t="shared" si="42"/>
        <v>4804.8076805851879</v>
      </c>
    </row>
    <row r="83" spans="1:21" x14ac:dyDescent="0.2">
      <c r="A83">
        <f t="shared" si="43"/>
        <v>15723.52</v>
      </c>
      <c r="B83" s="4">
        <f t="shared" si="44"/>
        <v>6023.9515150698708</v>
      </c>
      <c r="C83" s="11">
        <f t="shared" si="21"/>
        <v>74</v>
      </c>
      <c r="D83" s="4">
        <f t="shared" si="33"/>
        <v>4793.7560975609758</v>
      </c>
      <c r="E83">
        <f t="shared" si="45"/>
        <v>0.11861823723647448</v>
      </c>
      <c r="F83">
        <f t="shared" si="46"/>
        <v>9.0239389202190143E-3</v>
      </c>
      <c r="G83" s="4">
        <f t="shared" si="47"/>
        <v>376.70833333333337</v>
      </c>
      <c r="H83" s="9">
        <f t="shared" si="48"/>
        <v>41535145.696406759</v>
      </c>
      <c r="I83" s="2">
        <f t="shared" si="49"/>
        <v>41.535145696406758</v>
      </c>
      <c r="J83" s="2">
        <f t="shared" si="50"/>
        <v>1.2570356997675622</v>
      </c>
      <c r="K83" s="4">
        <f t="shared" si="51"/>
        <v>994.70920974145622</v>
      </c>
      <c r="L83" s="12">
        <f t="shared" si="52"/>
        <v>3.2987921417246621E-4</v>
      </c>
      <c r="M83" s="19">
        <f t="shared" si="34"/>
        <v>7.5869438624255438E-3</v>
      </c>
      <c r="N83" s="432">
        <f t="shared" si="35"/>
        <v>0.84075744854902079</v>
      </c>
      <c r="O83" s="432">
        <f t="shared" si="36"/>
        <v>0.84075744854902079</v>
      </c>
      <c r="P83" s="429">
        <f t="shared" si="37"/>
        <v>7683.774072195637</v>
      </c>
      <c r="Q83" s="429">
        <f t="shared" si="38"/>
        <v>0</v>
      </c>
      <c r="R83" s="430">
        <f t="shared" si="39"/>
        <v>1</v>
      </c>
      <c r="S83" s="431">
        <f t="shared" si="40"/>
        <v>1.4670138719127764E-2</v>
      </c>
      <c r="T83" s="4">
        <f t="shared" si="41"/>
        <v>57.310804256594608</v>
      </c>
      <c r="U83" s="4">
        <f t="shared" si="42"/>
        <v>4804.8076805851879</v>
      </c>
    </row>
    <row r="84" spans="1:21" x14ac:dyDescent="0.2">
      <c r="A84">
        <f t="shared" si="43"/>
        <v>15935.999999999998</v>
      </c>
      <c r="B84" s="4">
        <f t="shared" si="44"/>
        <v>6025.0659130498843</v>
      </c>
      <c r="C84" s="11">
        <f t="shared" ref="C84:C109" si="53">1+C83</f>
        <v>75</v>
      </c>
      <c r="D84" s="4">
        <f t="shared" si="33"/>
        <v>4858.5365853658532</v>
      </c>
      <c r="E84">
        <f t="shared" si="45"/>
        <v>0.11861823723647448</v>
      </c>
      <c r="F84">
        <f t="shared" si="46"/>
        <v>9.0239389202190143E-3</v>
      </c>
      <c r="G84" s="4">
        <f t="shared" si="47"/>
        <v>376.70833333333337</v>
      </c>
      <c r="H84" s="9">
        <f t="shared" si="48"/>
        <v>41542829.470478952</v>
      </c>
      <c r="I84" s="2">
        <f t="shared" si="49"/>
        <v>41.542829470478949</v>
      </c>
      <c r="J84" s="2">
        <f t="shared" si="50"/>
        <v>1.2571198247187336</v>
      </c>
      <c r="K84" s="4">
        <f t="shared" si="51"/>
        <v>994.71288605461007</v>
      </c>
      <c r="L84" s="12">
        <f t="shared" si="52"/>
        <v>3.2987921417246621E-4</v>
      </c>
      <c r="M84" s="19">
        <f t="shared" si="34"/>
        <v>7.5869158221921152E-3</v>
      </c>
      <c r="N84" s="432">
        <f t="shared" si="35"/>
        <v>0.8407543412326175</v>
      </c>
      <c r="O84" s="432">
        <f t="shared" si="36"/>
        <v>0.8407543412326175</v>
      </c>
      <c r="P84" s="429">
        <f t="shared" si="37"/>
        <v>7683.7456740919324</v>
      </c>
      <c r="Q84" s="429">
        <f t="shared" si="38"/>
        <v>0</v>
      </c>
      <c r="R84" s="430">
        <f t="shared" si="39"/>
        <v>1</v>
      </c>
      <c r="S84" s="431">
        <f t="shared" si="40"/>
        <v>1.4670084500443461E-2</v>
      </c>
      <c r="T84" s="4">
        <f t="shared" si="41"/>
        <v>57.310804256594594</v>
      </c>
      <c r="U84" s="4">
        <f t="shared" si="42"/>
        <v>4804.8076805851879</v>
      </c>
    </row>
    <row r="85" spans="1:21" x14ac:dyDescent="0.2">
      <c r="A85">
        <f t="shared" si="43"/>
        <v>16148.480000000001</v>
      </c>
      <c r="B85" s="4">
        <f t="shared" si="44"/>
        <v>6026.1803069112457</v>
      </c>
      <c r="C85" s="11">
        <f t="shared" si="53"/>
        <v>76</v>
      </c>
      <c r="D85" s="4">
        <f t="shared" si="33"/>
        <v>4923.3170731707323</v>
      </c>
      <c r="E85">
        <f t="shared" si="45"/>
        <v>0.11861823723647448</v>
      </c>
      <c r="F85">
        <f t="shared" si="46"/>
        <v>9.0239389202190143E-3</v>
      </c>
      <c r="G85" s="4">
        <f t="shared" si="47"/>
        <v>376.70833333333337</v>
      </c>
      <c r="H85" s="9">
        <f t="shared" si="48"/>
        <v>41550513.216153041</v>
      </c>
      <c r="I85" s="2">
        <f t="shared" si="49"/>
        <v>41.550513216153043</v>
      </c>
      <c r="J85" s="2">
        <f t="shared" si="50"/>
        <v>1.2572039581393843</v>
      </c>
      <c r="K85" s="4">
        <f t="shared" si="51"/>
        <v>994.71656235417674</v>
      </c>
      <c r="L85" s="12">
        <f t="shared" si="52"/>
        <v>3.2987921417246621E-4</v>
      </c>
      <c r="M85" s="19">
        <f t="shared" si="34"/>
        <v>7.5868877822695838E-3</v>
      </c>
      <c r="N85" s="432">
        <f t="shared" si="35"/>
        <v>0.84075123395066675</v>
      </c>
      <c r="O85" s="432">
        <f t="shared" si="36"/>
        <v>0.84075123395066675</v>
      </c>
      <c r="P85" s="429">
        <f t="shared" si="37"/>
        <v>7683.7172763031031</v>
      </c>
      <c r="Q85" s="429">
        <f t="shared" si="38"/>
        <v>0</v>
      </c>
      <c r="R85" s="430">
        <f t="shared" si="39"/>
        <v>1</v>
      </c>
      <c r="S85" s="431">
        <f t="shared" si="40"/>
        <v>1.4670030282360306E-2</v>
      </c>
      <c r="T85" s="4">
        <f t="shared" si="41"/>
        <v>57.310804256594601</v>
      </c>
      <c r="U85" s="4">
        <f t="shared" si="42"/>
        <v>4804.8076805851879</v>
      </c>
    </row>
    <row r="86" spans="1:21" x14ac:dyDescent="0.2">
      <c r="A86">
        <f t="shared" si="43"/>
        <v>16360.96</v>
      </c>
      <c r="B86" s="4">
        <f t="shared" si="44"/>
        <v>6027.2946966540021</v>
      </c>
      <c r="C86" s="11">
        <f t="shared" si="53"/>
        <v>77</v>
      </c>
      <c r="D86" s="4">
        <f t="shared" si="33"/>
        <v>4988.0975609756097</v>
      </c>
      <c r="E86">
        <f t="shared" si="45"/>
        <v>0.11861823723647448</v>
      </c>
      <c r="F86">
        <f t="shared" si="46"/>
        <v>9.0239389202190143E-3</v>
      </c>
      <c r="G86" s="4">
        <f t="shared" si="47"/>
        <v>376.70833333333337</v>
      </c>
      <c r="H86" s="9">
        <f t="shared" si="48"/>
        <v>41558196.933429345</v>
      </c>
      <c r="I86" s="2">
        <f t="shared" si="49"/>
        <v>41.558196933429343</v>
      </c>
      <c r="J86" s="2">
        <f t="shared" si="50"/>
        <v>1.2572881000267859</v>
      </c>
      <c r="K86" s="4">
        <f t="shared" si="51"/>
        <v>994.72023864015659</v>
      </c>
      <c r="L86" s="12">
        <f t="shared" si="52"/>
        <v>3.2987921417246621E-4</v>
      </c>
      <c r="M86" s="19">
        <f t="shared" si="34"/>
        <v>7.5868597426579408E-3</v>
      </c>
      <c r="N86" s="432">
        <f t="shared" si="35"/>
        <v>0.84074812670316756</v>
      </c>
      <c r="O86" s="432">
        <f t="shared" si="36"/>
        <v>0.84074812670316756</v>
      </c>
      <c r="P86" s="429">
        <f t="shared" si="37"/>
        <v>7683.688878829118</v>
      </c>
      <c r="Q86" s="429">
        <f t="shared" si="38"/>
        <v>0</v>
      </c>
      <c r="R86" s="430">
        <f t="shared" si="39"/>
        <v>1</v>
      </c>
      <c r="S86" s="431">
        <f t="shared" si="40"/>
        <v>1.4669976064878288E-2</v>
      </c>
      <c r="T86" s="4">
        <f t="shared" si="41"/>
        <v>57.310804256594608</v>
      </c>
      <c r="U86" s="4">
        <f t="shared" si="42"/>
        <v>4804.8076805851879</v>
      </c>
    </row>
    <row r="87" spans="1:21" x14ac:dyDescent="0.2">
      <c r="A87">
        <f t="shared" si="43"/>
        <v>16573.439999999999</v>
      </c>
      <c r="B87" s="4">
        <f t="shared" si="44"/>
        <v>6028.4090822781973</v>
      </c>
      <c r="C87" s="11">
        <f t="shared" si="53"/>
        <v>78</v>
      </c>
      <c r="D87" s="4">
        <f t="shared" si="33"/>
        <v>5052.8780487804879</v>
      </c>
      <c r="E87">
        <f t="shared" si="45"/>
        <v>0.11861823723647448</v>
      </c>
      <c r="F87">
        <f t="shared" si="46"/>
        <v>9.0239389202190143E-3</v>
      </c>
      <c r="G87" s="4">
        <f t="shared" si="47"/>
        <v>376.70833333333337</v>
      </c>
      <c r="H87" s="9">
        <f t="shared" si="48"/>
        <v>41565880.622308172</v>
      </c>
      <c r="I87" s="2">
        <f t="shared" si="49"/>
        <v>41.565880622308171</v>
      </c>
      <c r="J87" s="2">
        <f t="shared" si="50"/>
        <v>1.2573722503782094</v>
      </c>
      <c r="K87" s="4">
        <f t="shared" si="51"/>
        <v>994.7239149125495</v>
      </c>
      <c r="L87" s="12">
        <f t="shared" si="52"/>
        <v>3.2987921417246621E-4</v>
      </c>
      <c r="M87" s="19">
        <f t="shared" si="34"/>
        <v>7.5868317033571837E-3</v>
      </c>
      <c r="N87" s="432">
        <f t="shared" si="35"/>
        <v>0.84074501949011959</v>
      </c>
      <c r="O87" s="432">
        <f t="shared" si="36"/>
        <v>0.84074501949011959</v>
      </c>
      <c r="P87" s="429">
        <f t="shared" si="37"/>
        <v>7683.6604816699873</v>
      </c>
      <c r="Q87" s="429">
        <f t="shared" si="38"/>
        <v>0</v>
      </c>
      <c r="R87" s="430">
        <f t="shared" si="39"/>
        <v>1</v>
      </c>
      <c r="S87" s="431">
        <f t="shared" si="40"/>
        <v>1.46699218479974E-2</v>
      </c>
      <c r="T87" s="4">
        <f t="shared" si="41"/>
        <v>57.310804256594601</v>
      </c>
      <c r="U87" s="4">
        <f t="shared" si="42"/>
        <v>4804.8076805851879</v>
      </c>
    </row>
    <row r="88" spans="1:21" x14ac:dyDescent="0.2">
      <c r="A88">
        <f t="shared" si="43"/>
        <v>16785.919999999998</v>
      </c>
      <c r="B88" s="4">
        <f t="shared" si="44"/>
        <v>6029.5234637838785</v>
      </c>
      <c r="C88" s="11">
        <f t="shared" si="53"/>
        <v>79</v>
      </c>
      <c r="D88" s="4">
        <f t="shared" si="33"/>
        <v>5117.6585365853653</v>
      </c>
      <c r="E88">
        <f t="shared" si="45"/>
        <v>0.11861823723647448</v>
      </c>
      <c r="F88">
        <f t="shared" si="46"/>
        <v>9.0239389202190143E-3</v>
      </c>
      <c r="G88" s="4">
        <f t="shared" si="47"/>
        <v>376.70833333333337</v>
      </c>
      <c r="H88" s="9">
        <f t="shared" si="48"/>
        <v>41573564.282789841</v>
      </c>
      <c r="I88" s="2">
        <f t="shared" si="49"/>
        <v>41.573564282789839</v>
      </c>
      <c r="J88" s="2">
        <f t="shared" si="50"/>
        <v>1.2574564091909259</v>
      </c>
      <c r="K88" s="4">
        <f t="shared" si="51"/>
        <v>994.72759117135581</v>
      </c>
      <c r="L88" s="12">
        <f t="shared" si="52"/>
        <v>3.2987921417246621E-4</v>
      </c>
      <c r="M88" s="19">
        <f t="shared" si="34"/>
        <v>7.5868036643673038E-3</v>
      </c>
      <c r="N88" s="432">
        <f t="shared" si="35"/>
        <v>0.84074191231152184</v>
      </c>
      <c r="O88" s="432">
        <f t="shared" si="36"/>
        <v>0.84074191231152184</v>
      </c>
      <c r="P88" s="429">
        <f t="shared" si="37"/>
        <v>7683.6320848257055</v>
      </c>
      <c r="Q88" s="429">
        <f t="shared" si="38"/>
        <v>0</v>
      </c>
      <c r="R88" s="430">
        <f t="shared" si="39"/>
        <v>1</v>
      </c>
      <c r="S88" s="431">
        <f t="shared" si="40"/>
        <v>1.4669867631717626E-2</v>
      </c>
      <c r="T88" s="4">
        <f t="shared" si="41"/>
        <v>57.310804256594601</v>
      </c>
      <c r="U88" s="4">
        <f t="shared" si="42"/>
        <v>4804.8076805851879</v>
      </c>
    </row>
    <row r="89" spans="1:21" x14ac:dyDescent="0.2">
      <c r="A89">
        <f t="shared" si="43"/>
        <v>16998.400000000001</v>
      </c>
      <c r="B89" s="4">
        <f t="shared" si="44"/>
        <v>6030.6378411710903</v>
      </c>
      <c r="C89" s="11">
        <f t="shared" si="53"/>
        <v>80</v>
      </c>
      <c r="D89" s="4">
        <f t="shared" si="33"/>
        <v>5182.4390243902444</v>
      </c>
      <c r="E89">
        <f t="shared" si="45"/>
        <v>0.11861823723647448</v>
      </c>
      <c r="F89">
        <f t="shared" si="46"/>
        <v>9.0239389202190143E-3</v>
      </c>
      <c r="G89" s="4">
        <f t="shared" si="47"/>
        <v>376.70833333333337</v>
      </c>
      <c r="H89" s="9">
        <f t="shared" si="48"/>
        <v>41581247.914874665</v>
      </c>
      <c r="I89" s="2">
        <f t="shared" si="49"/>
        <v>41.581247914874666</v>
      </c>
      <c r="J89" s="2">
        <f t="shared" si="50"/>
        <v>1.2575405764622076</v>
      </c>
      <c r="K89" s="4">
        <f t="shared" si="51"/>
        <v>994.73126741657563</v>
      </c>
      <c r="L89" s="12">
        <f t="shared" si="52"/>
        <v>3.2987921417246621E-4</v>
      </c>
      <c r="M89" s="19">
        <f t="shared" si="34"/>
        <v>7.5867756256882976E-3</v>
      </c>
      <c r="N89" s="432">
        <f t="shared" si="35"/>
        <v>0.84073880516737409</v>
      </c>
      <c r="O89" s="432">
        <f t="shared" si="36"/>
        <v>0.84073880516737409</v>
      </c>
      <c r="P89" s="429">
        <f t="shared" si="37"/>
        <v>7683.6036882962571</v>
      </c>
      <c r="Q89" s="429">
        <f t="shared" si="38"/>
        <v>0</v>
      </c>
      <c r="R89" s="430">
        <f t="shared" si="39"/>
        <v>1</v>
      </c>
      <c r="S89" s="431">
        <f t="shared" si="40"/>
        <v>1.4669813416038957E-2</v>
      </c>
      <c r="T89" s="4">
        <f t="shared" si="41"/>
        <v>57.310804256594601</v>
      </c>
      <c r="U89" s="4">
        <f t="shared" si="42"/>
        <v>4804.8076805851879</v>
      </c>
    </row>
    <row r="90" spans="1:21" x14ac:dyDescent="0.2">
      <c r="A90">
        <f t="shared" si="43"/>
        <v>17210.879999999997</v>
      </c>
      <c r="B90" s="4">
        <f t="shared" si="44"/>
        <v>6031.752214439879</v>
      </c>
      <c r="C90" s="11">
        <f t="shared" si="53"/>
        <v>81</v>
      </c>
      <c r="D90" s="4">
        <f t="shared" si="33"/>
        <v>5247.2195121951218</v>
      </c>
      <c r="E90">
        <f t="shared" si="45"/>
        <v>0.11861823723647448</v>
      </c>
      <c r="F90">
        <f t="shared" si="46"/>
        <v>9.0239389202190143E-3</v>
      </c>
      <c r="G90" s="4">
        <f t="shared" si="47"/>
        <v>376.70833333333337</v>
      </c>
      <c r="H90" s="9">
        <f t="shared" si="48"/>
        <v>41588931.518562965</v>
      </c>
      <c r="I90" s="2">
        <f t="shared" si="49"/>
        <v>41.588931518562966</v>
      </c>
      <c r="J90" s="2">
        <f t="shared" si="50"/>
        <v>1.2576247521893258</v>
      </c>
      <c r="K90" s="4">
        <f t="shared" si="51"/>
        <v>994.73494364820908</v>
      </c>
      <c r="L90" s="12">
        <f t="shared" si="52"/>
        <v>3.2987921417246621E-4</v>
      </c>
      <c r="M90" s="19">
        <f t="shared" si="34"/>
        <v>7.5867475873201582E-3</v>
      </c>
      <c r="N90" s="432">
        <f t="shared" si="35"/>
        <v>0.84073569805767534</v>
      </c>
      <c r="O90" s="432">
        <f t="shared" si="36"/>
        <v>0.84073569805767534</v>
      </c>
      <c r="P90" s="429">
        <f t="shared" si="37"/>
        <v>7683.5752920816567</v>
      </c>
      <c r="Q90" s="429">
        <f t="shared" si="38"/>
        <v>0</v>
      </c>
      <c r="R90" s="430">
        <f t="shared" si="39"/>
        <v>1</v>
      </c>
      <c r="S90" s="431">
        <f t="shared" si="40"/>
        <v>1.4669759200961382E-2</v>
      </c>
      <c r="T90" s="4">
        <f t="shared" si="41"/>
        <v>57.310804256594601</v>
      </c>
      <c r="U90" s="4">
        <f t="shared" si="42"/>
        <v>4804.8076805851879</v>
      </c>
    </row>
    <row r="91" spans="1:21" x14ac:dyDescent="0.2">
      <c r="A91">
        <f t="shared" si="43"/>
        <v>17423.36</v>
      </c>
      <c r="B91" s="4">
        <f t="shared" si="44"/>
        <v>6032.8665835902893</v>
      </c>
      <c r="C91" s="11">
        <f t="shared" si="53"/>
        <v>82</v>
      </c>
      <c r="D91" s="4">
        <f t="shared" si="33"/>
        <v>5312</v>
      </c>
      <c r="E91">
        <f t="shared" si="45"/>
        <v>0.11861823723647448</v>
      </c>
      <c r="F91">
        <f t="shared" si="46"/>
        <v>9.0239389202190143E-3</v>
      </c>
      <c r="G91" s="4">
        <f t="shared" si="47"/>
        <v>376.70833333333337</v>
      </c>
      <c r="H91" s="9">
        <f t="shared" si="48"/>
        <v>41596615.093855046</v>
      </c>
      <c r="I91" s="2">
        <f t="shared" si="49"/>
        <v>41.596615093855043</v>
      </c>
      <c r="J91" s="2">
        <f t="shared" si="50"/>
        <v>1.2577089363695519</v>
      </c>
      <c r="K91" s="4">
        <f t="shared" si="51"/>
        <v>994.73861986625627</v>
      </c>
      <c r="L91" s="12">
        <f t="shared" si="52"/>
        <v>3.2987921417246621E-4</v>
      </c>
      <c r="M91" s="19">
        <f t="shared" si="34"/>
        <v>7.5867195492628813E-3</v>
      </c>
      <c r="N91" s="432">
        <f t="shared" si="35"/>
        <v>0.84073259098242537</v>
      </c>
      <c r="O91" s="432">
        <f t="shared" si="36"/>
        <v>0.84073259098242537</v>
      </c>
      <c r="P91" s="429">
        <f t="shared" si="37"/>
        <v>7683.5468961818806</v>
      </c>
      <c r="Q91" s="429">
        <f t="shared" si="38"/>
        <v>0</v>
      </c>
      <c r="R91" s="430">
        <f t="shared" si="39"/>
        <v>1</v>
      </c>
      <c r="S91" s="431">
        <f t="shared" si="40"/>
        <v>1.4669704986484889E-2</v>
      </c>
      <c r="T91" s="4">
        <f t="shared" si="41"/>
        <v>57.310804256594608</v>
      </c>
      <c r="U91" s="4">
        <f t="shared" si="42"/>
        <v>4804.8076805851879</v>
      </c>
    </row>
    <row r="92" spans="1:21" x14ac:dyDescent="0.2">
      <c r="A92">
        <f t="shared" si="43"/>
        <v>17635.84</v>
      </c>
      <c r="B92" s="4">
        <f t="shared" si="44"/>
        <v>6033.9809486223685</v>
      </c>
      <c r="C92" s="11">
        <f t="shared" si="53"/>
        <v>83</v>
      </c>
      <c r="D92" s="4">
        <f t="shared" si="33"/>
        <v>5376.7804878048782</v>
      </c>
      <c r="E92">
        <f t="shared" si="45"/>
        <v>0.11861823723647448</v>
      </c>
      <c r="F92">
        <f t="shared" si="46"/>
        <v>9.0239389202190143E-3</v>
      </c>
      <c r="G92" s="4">
        <f t="shared" si="47"/>
        <v>376.70833333333337</v>
      </c>
      <c r="H92" s="9">
        <f t="shared" si="48"/>
        <v>41604298.640751228</v>
      </c>
      <c r="I92" s="2">
        <f t="shared" si="49"/>
        <v>41.604298640751225</v>
      </c>
      <c r="J92" s="2">
        <f t="shared" si="50"/>
        <v>1.257793129000158</v>
      </c>
      <c r="K92" s="4">
        <f t="shared" si="51"/>
        <v>994.74229607071732</v>
      </c>
      <c r="L92" s="12">
        <f t="shared" si="52"/>
        <v>3.2987921417246621E-4</v>
      </c>
      <c r="M92" s="19">
        <f t="shared" si="34"/>
        <v>7.5866915115164598E-3</v>
      </c>
      <c r="N92" s="432">
        <f t="shared" si="35"/>
        <v>0.84072948394162317</v>
      </c>
      <c r="O92" s="432">
        <f t="shared" si="36"/>
        <v>0.84072948394162317</v>
      </c>
      <c r="P92" s="429">
        <f t="shared" si="37"/>
        <v>7683.5185005969261</v>
      </c>
      <c r="Q92" s="429">
        <f t="shared" si="38"/>
        <v>0</v>
      </c>
      <c r="R92" s="430">
        <f t="shared" si="39"/>
        <v>1</v>
      </c>
      <c r="S92" s="431">
        <f t="shared" si="40"/>
        <v>1.4669650772609471E-2</v>
      </c>
      <c r="T92" s="4">
        <f t="shared" si="41"/>
        <v>57.310804256594601</v>
      </c>
      <c r="U92" s="4">
        <f t="shared" si="42"/>
        <v>4804.8076805851879</v>
      </c>
    </row>
    <row r="93" spans="1:21" x14ac:dyDescent="0.2">
      <c r="A93">
        <f t="shared" si="43"/>
        <v>17848.319999999996</v>
      </c>
      <c r="B93" s="4">
        <f t="shared" si="44"/>
        <v>6035.0953095361601</v>
      </c>
      <c r="C93" s="11">
        <f t="shared" si="53"/>
        <v>84</v>
      </c>
      <c r="D93" s="4">
        <f t="shared" si="33"/>
        <v>5441.5609756097556</v>
      </c>
      <c r="E93">
        <f t="shared" si="45"/>
        <v>0.11861823723647448</v>
      </c>
      <c r="F93">
        <f t="shared" si="46"/>
        <v>9.0239389202190143E-3</v>
      </c>
      <c r="G93" s="4">
        <f t="shared" si="47"/>
        <v>376.70833333333337</v>
      </c>
      <c r="H93" s="9">
        <f t="shared" si="48"/>
        <v>41611982.159251824</v>
      </c>
      <c r="I93" s="2">
        <f t="shared" si="49"/>
        <v>41.611982159251824</v>
      </c>
      <c r="J93" s="2">
        <f t="shared" si="50"/>
        <v>1.2578773300784154</v>
      </c>
      <c r="K93" s="4">
        <f t="shared" si="51"/>
        <v>994.74597226159256</v>
      </c>
      <c r="L93" s="12">
        <f t="shared" si="52"/>
        <v>3.2987921417246621E-4</v>
      </c>
      <c r="M93" s="19">
        <f t="shared" si="34"/>
        <v>7.5866634740808878E-3</v>
      </c>
      <c r="N93" s="432">
        <f t="shared" si="35"/>
        <v>0.84072637693526819</v>
      </c>
      <c r="O93" s="432">
        <f t="shared" si="36"/>
        <v>0.84072637693526819</v>
      </c>
      <c r="P93" s="429">
        <f t="shared" si="37"/>
        <v>7683.490105326784</v>
      </c>
      <c r="Q93" s="429">
        <f t="shared" si="38"/>
        <v>0</v>
      </c>
      <c r="R93" s="430">
        <f t="shared" si="39"/>
        <v>1</v>
      </c>
      <c r="S93" s="431">
        <f t="shared" si="40"/>
        <v>1.466959655933511E-2</v>
      </c>
      <c r="T93" s="4">
        <f t="shared" si="41"/>
        <v>57.310804256594608</v>
      </c>
      <c r="U93" s="4">
        <f t="shared" si="42"/>
        <v>4804.8076805851879</v>
      </c>
    </row>
    <row r="94" spans="1:21" x14ac:dyDescent="0.2">
      <c r="A94">
        <f t="shared" si="43"/>
        <v>18060.8</v>
      </c>
      <c r="B94" s="4">
        <f t="shared" si="44"/>
        <v>6036.2096663317107</v>
      </c>
      <c r="C94" s="11">
        <f t="shared" si="53"/>
        <v>85</v>
      </c>
      <c r="D94" s="4">
        <f t="shared" si="33"/>
        <v>5506.3414634146347</v>
      </c>
      <c r="E94">
        <f t="shared" si="45"/>
        <v>0.11861823723647448</v>
      </c>
      <c r="F94">
        <f t="shared" si="46"/>
        <v>9.0239389202190143E-3</v>
      </c>
      <c r="G94" s="4">
        <f t="shared" si="47"/>
        <v>376.70833333333337</v>
      </c>
      <c r="H94" s="9">
        <f t="shared" si="48"/>
        <v>41619665.649357148</v>
      </c>
      <c r="I94" s="2">
        <f t="shared" si="49"/>
        <v>41.619665649357145</v>
      </c>
      <c r="J94" s="2">
        <f t="shared" si="50"/>
        <v>1.257961539601596</v>
      </c>
      <c r="K94" s="4">
        <f t="shared" si="51"/>
        <v>994.74964843888199</v>
      </c>
      <c r="L94" s="12">
        <f t="shared" si="52"/>
        <v>3.2987921417246621E-4</v>
      </c>
      <c r="M94" s="19">
        <f t="shared" si="34"/>
        <v>7.5866354369561601E-3</v>
      </c>
      <c r="N94" s="432">
        <f t="shared" si="35"/>
        <v>0.84072326996335978</v>
      </c>
      <c r="O94" s="432">
        <f t="shared" si="36"/>
        <v>0.84072326996335978</v>
      </c>
      <c r="P94" s="429">
        <f t="shared" si="37"/>
        <v>7683.4617103714527</v>
      </c>
      <c r="Q94" s="429">
        <f t="shared" si="38"/>
        <v>0</v>
      </c>
      <c r="R94" s="430">
        <f t="shared" si="39"/>
        <v>1</v>
      </c>
      <c r="S94" s="431">
        <f t="shared" si="40"/>
        <v>1.4669542346661799E-2</v>
      </c>
      <c r="T94" s="4">
        <f t="shared" si="41"/>
        <v>57.310804256594601</v>
      </c>
      <c r="U94" s="4">
        <f t="shared" si="42"/>
        <v>4804.8076805851879</v>
      </c>
    </row>
    <row r="95" spans="1:21" x14ac:dyDescent="0.2">
      <c r="A95">
        <f t="shared" si="43"/>
        <v>18273.28</v>
      </c>
      <c r="B95" s="4">
        <f t="shared" si="44"/>
        <v>6037.3240190090673</v>
      </c>
      <c r="C95" s="11">
        <f t="shared" si="53"/>
        <v>86</v>
      </c>
      <c r="D95" s="4">
        <f t="shared" si="33"/>
        <v>5571.1219512195121</v>
      </c>
      <c r="E95">
        <f t="shared" si="45"/>
        <v>0.11861823723647448</v>
      </c>
      <c r="F95">
        <f t="shared" si="46"/>
        <v>9.0239389202190143E-3</v>
      </c>
      <c r="G95" s="4">
        <f t="shared" si="47"/>
        <v>376.70833333333337</v>
      </c>
      <c r="H95" s="9">
        <f t="shared" si="48"/>
        <v>41627349.111067519</v>
      </c>
      <c r="I95" s="2">
        <f t="shared" si="49"/>
        <v>41.627349111067517</v>
      </c>
      <c r="J95" s="2">
        <f t="shared" si="50"/>
        <v>1.2580457575669721</v>
      </c>
      <c r="K95" s="4">
        <f t="shared" si="51"/>
        <v>994.75332460258596</v>
      </c>
      <c r="L95" s="12">
        <f t="shared" si="52"/>
        <v>3.2987921417246621E-4</v>
      </c>
      <c r="M95" s="19">
        <f t="shared" si="34"/>
        <v>7.5866074001422696E-3</v>
      </c>
      <c r="N95" s="432">
        <f t="shared" si="35"/>
        <v>0.84072016302589736</v>
      </c>
      <c r="O95" s="432">
        <f t="shared" si="36"/>
        <v>0.84072016302589736</v>
      </c>
      <c r="P95" s="429">
        <f t="shared" si="37"/>
        <v>7683.4333157309347</v>
      </c>
      <c r="Q95" s="429">
        <f t="shared" si="38"/>
        <v>0</v>
      </c>
      <c r="R95" s="430">
        <f t="shared" si="39"/>
        <v>1</v>
      </c>
      <c r="S95" s="431">
        <f t="shared" si="40"/>
        <v>1.4669488134589525E-2</v>
      </c>
      <c r="T95" s="4">
        <f t="shared" si="41"/>
        <v>57.310804256594601</v>
      </c>
      <c r="U95" s="4">
        <f t="shared" si="42"/>
        <v>4804.8076805851879</v>
      </c>
    </row>
    <row r="96" spans="1:21" x14ac:dyDescent="0.2">
      <c r="A96">
        <f t="shared" si="43"/>
        <v>18485.759999999998</v>
      </c>
      <c r="B96" s="4">
        <f t="shared" si="44"/>
        <v>6038.4383675682739</v>
      </c>
      <c r="C96" s="11">
        <f t="shared" si="53"/>
        <v>87</v>
      </c>
      <c r="D96" s="4">
        <f t="shared" si="33"/>
        <v>5635.9024390243903</v>
      </c>
      <c r="E96">
        <f t="shared" si="45"/>
        <v>0.11861823723647448</v>
      </c>
      <c r="F96">
        <f t="shared" si="46"/>
        <v>9.0239389202190143E-3</v>
      </c>
      <c r="G96" s="4">
        <f t="shared" si="47"/>
        <v>376.70833333333337</v>
      </c>
      <c r="H96" s="9">
        <f t="shared" si="48"/>
        <v>41635032.54438325</v>
      </c>
      <c r="I96" s="2">
        <f t="shared" si="49"/>
        <v>41.63503254438325</v>
      </c>
      <c r="J96" s="2">
        <f t="shared" si="50"/>
        <v>1.2581299839718154</v>
      </c>
      <c r="K96" s="4">
        <f t="shared" si="51"/>
        <v>994.75700075270436</v>
      </c>
      <c r="L96" s="12">
        <f t="shared" si="52"/>
        <v>3.2987921417246621E-4</v>
      </c>
      <c r="M96" s="19">
        <f t="shared" si="34"/>
        <v>7.5865793636392129E-3</v>
      </c>
      <c r="N96" s="432">
        <f t="shared" si="35"/>
        <v>0.84071705612288028</v>
      </c>
      <c r="O96" s="432">
        <f t="shared" si="36"/>
        <v>0.84071705612288028</v>
      </c>
      <c r="P96" s="429">
        <f t="shared" si="37"/>
        <v>7683.4049214052093</v>
      </c>
      <c r="Q96" s="429">
        <f t="shared" si="38"/>
        <v>0</v>
      </c>
      <c r="R96" s="430">
        <f t="shared" si="39"/>
        <v>1</v>
      </c>
      <c r="S96" s="431">
        <f t="shared" si="40"/>
        <v>1.4669433923118279E-2</v>
      </c>
      <c r="T96" s="4">
        <f t="shared" si="41"/>
        <v>57.310804256594601</v>
      </c>
      <c r="U96" s="4">
        <f t="shared" si="42"/>
        <v>4804.8076805851879</v>
      </c>
    </row>
    <row r="97" spans="1:21" x14ac:dyDescent="0.2">
      <c r="A97">
        <f t="shared" si="43"/>
        <v>18698.240000000002</v>
      </c>
      <c r="B97" s="4">
        <f t="shared" si="44"/>
        <v>6039.5527120093775</v>
      </c>
      <c r="C97" s="11">
        <f t="shared" si="53"/>
        <v>88</v>
      </c>
      <c r="D97" s="4">
        <f t="shared" si="33"/>
        <v>5700.6829268292686</v>
      </c>
      <c r="E97">
        <f t="shared" si="45"/>
        <v>0.11861823723647448</v>
      </c>
      <c r="F97">
        <f t="shared" si="46"/>
        <v>9.0239389202190143E-3</v>
      </c>
      <c r="G97" s="4">
        <f t="shared" si="47"/>
        <v>376.70833333333337</v>
      </c>
      <c r="H97" s="9">
        <f t="shared" si="48"/>
        <v>41642715.949304655</v>
      </c>
      <c r="I97" s="2">
        <f t="shared" si="49"/>
        <v>41.642715949304652</v>
      </c>
      <c r="J97" s="2">
        <f t="shared" si="50"/>
        <v>1.2582142188133973</v>
      </c>
      <c r="K97" s="4">
        <f t="shared" si="51"/>
        <v>994.76067688923763</v>
      </c>
      <c r="L97" s="12">
        <f t="shared" si="52"/>
        <v>3.2987921417246621E-4</v>
      </c>
      <c r="M97" s="19">
        <f t="shared" si="34"/>
        <v>7.5865513274469823E-3</v>
      </c>
      <c r="N97" s="432">
        <f t="shared" si="35"/>
        <v>0.84071394925430787</v>
      </c>
      <c r="O97" s="432">
        <f t="shared" si="36"/>
        <v>0.84071394925430787</v>
      </c>
      <c r="P97" s="429">
        <f t="shared" si="37"/>
        <v>7683.3765273942881</v>
      </c>
      <c r="Q97" s="429">
        <f t="shared" si="38"/>
        <v>0</v>
      </c>
      <c r="R97" s="430">
        <f t="shared" si="39"/>
        <v>1</v>
      </c>
      <c r="S97" s="431">
        <f t="shared" si="40"/>
        <v>1.4669379712248047E-2</v>
      </c>
      <c r="T97" s="4">
        <f t="shared" si="41"/>
        <v>57.310804256594601</v>
      </c>
      <c r="U97" s="4">
        <f t="shared" si="42"/>
        <v>4804.8076805851879</v>
      </c>
    </row>
    <row r="98" spans="1:21" x14ac:dyDescent="0.2">
      <c r="A98">
        <f t="shared" si="43"/>
        <v>18910.719999999998</v>
      </c>
      <c r="B98" s="4">
        <f t="shared" si="44"/>
        <v>6040.6670523324219</v>
      </c>
      <c r="C98" s="11">
        <f t="shared" si="53"/>
        <v>89</v>
      </c>
      <c r="D98" s="4">
        <f t="shared" si="33"/>
        <v>5765.4634146341459</v>
      </c>
      <c r="E98">
        <f t="shared" si="45"/>
        <v>0.11861823723647448</v>
      </c>
      <c r="F98">
        <f t="shared" si="46"/>
        <v>9.0239389202190143E-3</v>
      </c>
      <c r="G98" s="4">
        <f t="shared" si="47"/>
        <v>376.70833333333337</v>
      </c>
      <c r="H98" s="9">
        <f t="shared" si="48"/>
        <v>41650399.325832047</v>
      </c>
      <c r="I98" s="2">
        <f t="shared" si="49"/>
        <v>41.650399325832048</v>
      </c>
      <c r="J98" s="2">
        <f t="shared" si="50"/>
        <v>1.2582984620889905</v>
      </c>
      <c r="K98" s="4">
        <f t="shared" si="51"/>
        <v>994.76435301218544</v>
      </c>
      <c r="L98" s="12">
        <f t="shared" si="52"/>
        <v>3.2987921417246621E-4</v>
      </c>
      <c r="M98" s="19">
        <f t="shared" si="34"/>
        <v>7.5865232915655742E-3</v>
      </c>
      <c r="N98" s="432">
        <f t="shared" si="35"/>
        <v>0.84071084242017968</v>
      </c>
      <c r="O98" s="432">
        <f t="shared" si="36"/>
        <v>0.84071084242017968</v>
      </c>
      <c r="P98" s="429">
        <f t="shared" si="37"/>
        <v>7683.3481336981467</v>
      </c>
      <c r="Q98" s="429">
        <f t="shared" si="38"/>
        <v>0</v>
      </c>
      <c r="R98" s="430">
        <f t="shared" si="39"/>
        <v>1</v>
      </c>
      <c r="S98" s="431">
        <f t="shared" si="40"/>
        <v>1.4669325501978824E-2</v>
      </c>
      <c r="T98" s="4">
        <f t="shared" si="41"/>
        <v>57.310804256594601</v>
      </c>
      <c r="U98" s="4">
        <f t="shared" si="42"/>
        <v>4804.8076805851879</v>
      </c>
    </row>
    <row r="99" spans="1:21" x14ac:dyDescent="0.2">
      <c r="A99">
        <f t="shared" si="43"/>
        <v>19123.199999999997</v>
      </c>
      <c r="B99" s="4">
        <f t="shared" si="44"/>
        <v>6041.7813885374535</v>
      </c>
      <c r="C99" s="11">
        <f t="shared" si="53"/>
        <v>90</v>
      </c>
      <c r="D99" s="4">
        <f t="shared" si="33"/>
        <v>5830.2439024390242</v>
      </c>
      <c r="E99">
        <f t="shared" si="45"/>
        <v>0.11861823723647448</v>
      </c>
      <c r="F99">
        <f t="shared" si="46"/>
        <v>9.0239389202190143E-3</v>
      </c>
      <c r="G99" s="4">
        <f t="shared" si="47"/>
        <v>376.70833333333337</v>
      </c>
      <c r="H99" s="9">
        <f t="shared" si="48"/>
        <v>41658082.673965745</v>
      </c>
      <c r="I99" s="2">
        <f t="shared" si="49"/>
        <v>41.658082673965744</v>
      </c>
      <c r="J99" s="2">
        <f t="shared" si="50"/>
        <v>1.258382713795867</v>
      </c>
      <c r="K99" s="4">
        <f t="shared" si="51"/>
        <v>994.76802912154835</v>
      </c>
      <c r="L99" s="12">
        <f t="shared" si="52"/>
        <v>3.2987921417246621E-4</v>
      </c>
      <c r="M99" s="19">
        <f t="shared" si="34"/>
        <v>7.5864952559949817E-3</v>
      </c>
      <c r="N99" s="432">
        <f t="shared" si="35"/>
        <v>0.84070773562049494</v>
      </c>
      <c r="O99" s="432">
        <f t="shared" si="36"/>
        <v>0.84070773562049494</v>
      </c>
      <c r="P99" s="429">
        <f t="shared" si="37"/>
        <v>7683.3197403167851</v>
      </c>
      <c r="Q99" s="429">
        <f t="shared" si="38"/>
        <v>0</v>
      </c>
      <c r="R99" s="430">
        <f t="shared" si="39"/>
        <v>1</v>
      </c>
      <c r="S99" s="431">
        <f t="shared" si="40"/>
        <v>1.4669271292310592E-2</v>
      </c>
      <c r="T99" s="4">
        <f t="shared" si="41"/>
        <v>57.310804256594608</v>
      </c>
      <c r="U99" s="4">
        <f t="shared" si="42"/>
        <v>4804.8076805851879</v>
      </c>
    </row>
    <row r="100" spans="1:21" x14ac:dyDescent="0.2">
      <c r="A100">
        <f t="shared" si="43"/>
        <v>19335.679999999997</v>
      </c>
      <c r="B100" s="4">
        <f t="shared" si="44"/>
        <v>6042.8957206245195</v>
      </c>
      <c r="C100" s="11">
        <f t="shared" si="53"/>
        <v>91</v>
      </c>
      <c r="D100" s="4">
        <f t="shared" si="33"/>
        <v>5895.0243902439015</v>
      </c>
      <c r="E100">
        <f t="shared" si="45"/>
        <v>0.11861823723647448</v>
      </c>
      <c r="F100">
        <f t="shared" si="46"/>
        <v>9.0239389202190143E-3</v>
      </c>
      <c r="G100" s="4">
        <f t="shared" si="47"/>
        <v>376.70833333333337</v>
      </c>
      <c r="H100" s="9">
        <f t="shared" si="48"/>
        <v>41665765.993706062</v>
      </c>
      <c r="I100" s="2">
        <f t="shared" si="49"/>
        <v>41.66576599370606</v>
      </c>
      <c r="J100" s="2">
        <f t="shared" si="50"/>
        <v>1.258466973931299</v>
      </c>
      <c r="K100" s="4">
        <f t="shared" si="51"/>
        <v>994.7717052173266</v>
      </c>
      <c r="L100" s="12">
        <f t="shared" si="52"/>
        <v>3.2987921417246621E-4</v>
      </c>
      <c r="M100" s="19">
        <f t="shared" si="34"/>
        <v>7.586467220735197E-3</v>
      </c>
      <c r="N100" s="432">
        <f t="shared" si="35"/>
        <v>0.84070462885525277</v>
      </c>
      <c r="O100" s="432">
        <f t="shared" si="36"/>
        <v>0.84070462885525277</v>
      </c>
      <c r="P100" s="429">
        <f t="shared" si="37"/>
        <v>7683.2913472502069</v>
      </c>
      <c r="Q100" s="429">
        <f t="shared" si="38"/>
        <v>0</v>
      </c>
      <c r="R100" s="430">
        <f t="shared" si="39"/>
        <v>1</v>
      </c>
      <c r="S100" s="431">
        <f t="shared" si="40"/>
        <v>1.4669217083243341E-2</v>
      </c>
      <c r="T100" s="4">
        <f t="shared" si="41"/>
        <v>57.310804256594608</v>
      </c>
      <c r="U100" s="4">
        <f t="shared" si="42"/>
        <v>4804.8076805851879</v>
      </c>
    </row>
    <row r="101" spans="1:21" x14ac:dyDescent="0.2">
      <c r="A101">
        <f t="shared" si="43"/>
        <v>19548.16</v>
      </c>
      <c r="B101" s="4">
        <f t="shared" si="44"/>
        <v>6044.0100485936637</v>
      </c>
      <c r="C101" s="11">
        <f t="shared" si="53"/>
        <v>92</v>
      </c>
      <c r="D101" s="4">
        <f t="shared" si="33"/>
        <v>5959.8048780487807</v>
      </c>
      <c r="E101">
        <f t="shared" si="45"/>
        <v>0.11861823723647448</v>
      </c>
      <c r="F101">
        <f t="shared" si="46"/>
        <v>9.0239389202190143E-3</v>
      </c>
      <c r="G101" s="4">
        <f t="shared" si="47"/>
        <v>376.70833333333337</v>
      </c>
      <c r="H101" s="9">
        <f t="shared" si="48"/>
        <v>41673449.285053313</v>
      </c>
      <c r="I101" s="2">
        <f t="shared" si="49"/>
        <v>41.673449285053316</v>
      </c>
      <c r="J101" s="2">
        <f t="shared" si="50"/>
        <v>1.2585512424925585</v>
      </c>
      <c r="K101" s="4">
        <f t="shared" si="51"/>
        <v>994.77538129951984</v>
      </c>
      <c r="L101" s="12">
        <f t="shared" si="52"/>
        <v>3.2987921417246621E-4</v>
      </c>
      <c r="M101" s="19">
        <f t="shared" si="34"/>
        <v>7.5864391857862184E-3</v>
      </c>
      <c r="N101" s="432">
        <f t="shared" si="35"/>
        <v>0.84070152212445304</v>
      </c>
      <c r="O101" s="432">
        <f t="shared" si="36"/>
        <v>0.84070152212445304</v>
      </c>
      <c r="P101" s="429">
        <f t="shared" si="37"/>
        <v>7683.2629544983947</v>
      </c>
      <c r="Q101" s="429">
        <f t="shared" si="38"/>
        <v>0</v>
      </c>
      <c r="R101" s="430">
        <f t="shared" si="39"/>
        <v>1</v>
      </c>
      <c r="S101" s="431">
        <f t="shared" si="40"/>
        <v>1.4669162874777066E-2</v>
      </c>
      <c r="T101" s="4">
        <f t="shared" si="41"/>
        <v>57.310804256594608</v>
      </c>
      <c r="U101" s="4">
        <f t="shared" si="42"/>
        <v>4804.8076805851879</v>
      </c>
    </row>
    <row r="102" spans="1:21" x14ac:dyDescent="0.2">
      <c r="A102">
        <f t="shared" si="43"/>
        <v>19760.64</v>
      </c>
      <c r="B102" s="4">
        <f t="shared" si="44"/>
        <v>6045.1243724449323</v>
      </c>
      <c r="C102" s="11">
        <f t="shared" si="53"/>
        <v>93</v>
      </c>
      <c r="D102" s="4">
        <f t="shared" si="33"/>
        <v>6024.5853658536589</v>
      </c>
      <c r="E102">
        <f t="shared" si="45"/>
        <v>0.11861823723647448</v>
      </c>
      <c r="F102">
        <f t="shared" si="46"/>
        <v>9.0239389202190143E-3</v>
      </c>
      <c r="G102" s="4">
        <f t="shared" si="47"/>
        <v>376.70833333333337</v>
      </c>
      <c r="H102" s="9">
        <f t="shared" si="48"/>
        <v>41681132.548007809</v>
      </c>
      <c r="I102" s="2">
        <f t="shared" si="49"/>
        <v>41.68113254800781</v>
      </c>
      <c r="J102" s="2">
        <f t="shared" si="50"/>
        <v>1.2586355194769177</v>
      </c>
      <c r="K102" s="4">
        <f t="shared" si="51"/>
        <v>994.77905736812886</v>
      </c>
      <c r="L102" s="12">
        <f t="shared" si="52"/>
        <v>3.2987921417246621E-4</v>
      </c>
      <c r="M102" s="19">
        <f t="shared" si="34"/>
        <v>7.5864111511480354E-3</v>
      </c>
      <c r="N102" s="432">
        <f t="shared" si="35"/>
        <v>0.84069841542809454</v>
      </c>
      <c r="O102" s="432">
        <f t="shared" si="36"/>
        <v>0.84069841542809454</v>
      </c>
      <c r="P102" s="429">
        <f t="shared" si="37"/>
        <v>7683.2345620613523</v>
      </c>
      <c r="Q102" s="429">
        <f t="shared" si="38"/>
        <v>0</v>
      </c>
      <c r="R102" s="430">
        <f t="shared" si="39"/>
        <v>1</v>
      </c>
      <c r="S102" s="431">
        <f t="shared" si="40"/>
        <v>1.4669108666911746E-2</v>
      </c>
      <c r="T102" s="4">
        <f t="shared" si="41"/>
        <v>57.310804256594608</v>
      </c>
      <c r="U102" s="4">
        <f t="shared" si="42"/>
        <v>4804.8076805851879</v>
      </c>
    </row>
    <row r="103" spans="1:21" x14ac:dyDescent="0.2">
      <c r="A103">
        <f t="shared" si="43"/>
        <v>19973.12</v>
      </c>
      <c r="B103" s="4">
        <f t="shared" si="44"/>
        <v>6046.2386921783709</v>
      </c>
      <c r="C103" s="11">
        <f t="shared" si="53"/>
        <v>94</v>
      </c>
      <c r="D103" s="4">
        <f t="shared" si="33"/>
        <v>6089.3658536585363</v>
      </c>
      <c r="E103">
        <f t="shared" si="45"/>
        <v>0.11861823723647448</v>
      </c>
      <c r="F103">
        <f t="shared" si="46"/>
        <v>9.0239389202190143E-3</v>
      </c>
      <c r="G103" s="4">
        <f t="shared" si="47"/>
        <v>376.70833333333337</v>
      </c>
      <c r="H103" s="9">
        <f t="shared" si="48"/>
        <v>41688815.78256987</v>
      </c>
      <c r="I103" s="2">
        <f t="shared" si="49"/>
        <v>41.688815782569868</v>
      </c>
      <c r="J103" s="2">
        <f t="shared" si="50"/>
        <v>1.2587198048816495</v>
      </c>
      <c r="K103" s="4">
        <f t="shared" si="51"/>
        <v>994.78273342315322</v>
      </c>
      <c r="L103" s="12">
        <f t="shared" si="52"/>
        <v>3.2987921417246621E-4</v>
      </c>
      <c r="M103" s="19">
        <f t="shared" si="34"/>
        <v>7.5863831168206473E-3</v>
      </c>
      <c r="N103" s="432">
        <f t="shared" si="35"/>
        <v>0.84069530876617715</v>
      </c>
      <c r="O103" s="432">
        <f t="shared" si="36"/>
        <v>0.84069530876617715</v>
      </c>
      <c r="P103" s="429">
        <f t="shared" si="37"/>
        <v>7683.2061699390642</v>
      </c>
      <c r="Q103" s="429">
        <f t="shared" si="38"/>
        <v>0</v>
      </c>
      <c r="R103" s="430">
        <f t="shared" si="39"/>
        <v>1</v>
      </c>
      <c r="S103" s="431">
        <f t="shared" si="40"/>
        <v>1.466905445964738E-2</v>
      </c>
      <c r="T103" s="4">
        <f t="shared" si="41"/>
        <v>57.310804256594608</v>
      </c>
      <c r="U103" s="4">
        <f t="shared" si="42"/>
        <v>4804.8076805851879</v>
      </c>
    </row>
    <row r="104" spans="1:21" x14ac:dyDescent="0.2">
      <c r="A104">
        <f t="shared" si="43"/>
        <v>20185.599999999999</v>
      </c>
      <c r="B104" s="4">
        <f t="shared" si="44"/>
        <v>6047.3530077940259</v>
      </c>
      <c r="C104" s="11">
        <f t="shared" si="53"/>
        <v>95</v>
      </c>
      <c r="D104" s="4">
        <f t="shared" si="33"/>
        <v>6154.1463414634145</v>
      </c>
      <c r="E104">
        <f t="shared" si="45"/>
        <v>0.11861823723647448</v>
      </c>
      <c r="F104">
        <f t="shared" si="46"/>
        <v>9.0239389202190143E-3</v>
      </c>
      <c r="G104" s="4">
        <f t="shared" si="47"/>
        <v>376.70833333333337</v>
      </c>
      <c r="H104" s="9">
        <f t="shared" si="48"/>
        <v>41696498.988739811</v>
      </c>
      <c r="I104" s="2">
        <f t="shared" si="49"/>
        <v>41.696498988739812</v>
      </c>
      <c r="J104" s="2">
        <f t="shared" si="50"/>
        <v>1.2588040987040259</v>
      </c>
      <c r="K104" s="4">
        <f t="shared" si="51"/>
        <v>994.78640946459348</v>
      </c>
      <c r="L104" s="12">
        <f t="shared" si="52"/>
        <v>3.2987921417246621E-4</v>
      </c>
      <c r="M104" s="19">
        <f t="shared" si="34"/>
        <v>7.5863550828040444E-3</v>
      </c>
      <c r="N104" s="432">
        <f t="shared" si="35"/>
        <v>0.84069220213869988</v>
      </c>
      <c r="O104" s="432">
        <f t="shared" si="36"/>
        <v>0.84069220213869988</v>
      </c>
      <c r="P104" s="429">
        <f t="shared" si="37"/>
        <v>7683.1777781315295</v>
      </c>
      <c r="Q104" s="429">
        <f t="shared" si="38"/>
        <v>0</v>
      </c>
      <c r="R104" s="430">
        <f t="shared" si="39"/>
        <v>1</v>
      </c>
      <c r="S104" s="431">
        <f t="shared" si="40"/>
        <v>1.466900025298395E-2</v>
      </c>
      <c r="T104" s="4">
        <f t="shared" si="41"/>
        <v>57.310804256594608</v>
      </c>
      <c r="U104" s="4">
        <f t="shared" si="42"/>
        <v>4804.8076805851879</v>
      </c>
    </row>
    <row r="105" spans="1:21" x14ac:dyDescent="0.2">
      <c r="A105">
        <f t="shared" si="43"/>
        <v>20398.079999999994</v>
      </c>
      <c r="B105" s="4">
        <f t="shared" si="44"/>
        <v>6048.4673192919427</v>
      </c>
      <c r="C105" s="11">
        <f t="shared" si="53"/>
        <v>96</v>
      </c>
      <c r="D105" s="4">
        <f t="shared" si="33"/>
        <v>6218.9268292682918</v>
      </c>
      <c r="E105">
        <f t="shared" si="45"/>
        <v>0.11861823723647448</v>
      </c>
      <c r="F105">
        <f t="shared" si="46"/>
        <v>9.0239389202190143E-3</v>
      </c>
      <c r="G105" s="4">
        <f t="shared" si="47"/>
        <v>376.70833333333337</v>
      </c>
      <c r="H105" s="9">
        <f t="shared" si="48"/>
        <v>41704182.166517943</v>
      </c>
      <c r="I105" s="2">
        <f t="shared" si="49"/>
        <v>41.704182166517946</v>
      </c>
      <c r="J105" s="2">
        <f t="shared" si="50"/>
        <v>1.2588884009413193</v>
      </c>
      <c r="K105" s="4">
        <f t="shared" si="51"/>
        <v>994.79008549244952</v>
      </c>
      <c r="L105" s="12">
        <f t="shared" si="52"/>
        <v>3.2987921417246621E-4</v>
      </c>
      <c r="M105" s="19">
        <f t="shared" si="34"/>
        <v>7.5863270490982232E-3</v>
      </c>
      <c r="N105" s="432">
        <f t="shared" si="35"/>
        <v>0.84068909554566229</v>
      </c>
      <c r="O105" s="432">
        <f t="shared" si="36"/>
        <v>0.84068909554566229</v>
      </c>
      <c r="P105" s="429">
        <f t="shared" si="37"/>
        <v>7683.14938663874</v>
      </c>
      <c r="Q105" s="429">
        <f t="shared" si="38"/>
        <v>0</v>
      </c>
      <c r="R105" s="430">
        <f t="shared" si="39"/>
        <v>1</v>
      </c>
      <c r="S105" s="431">
        <f t="shared" si="40"/>
        <v>1.4668946046921448E-2</v>
      </c>
      <c r="T105" s="4">
        <f>N105/S105</f>
        <v>57.310804256594601</v>
      </c>
      <c r="U105" s="4">
        <f t="shared" si="42"/>
        <v>4804.8076805851879</v>
      </c>
    </row>
    <row r="106" spans="1:21" x14ac:dyDescent="0.2">
      <c r="A106">
        <f t="shared" si="43"/>
        <v>20610.560000000001</v>
      </c>
      <c r="B106" s="4">
        <f t="shared" si="44"/>
        <v>6049.5816266721649</v>
      </c>
      <c r="C106" s="11">
        <f t="shared" si="53"/>
        <v>97</v>
      </c>
      <c r="D106" s="4">
        <f t="shared" si="33"/>
        <v>6283.707317073171</v>
      </c>
      <c r="E106">
        <f t="shared" si="45"/>
        <v>0.11861823723647448</v>
      </c>
      <c r="F106">
        <f t="shared" si="46"/>
        <v>9.0239389202190143E-3</v>
      </c>
      <c r="G106" s="4">
        <f t="shared" si="47"/>
        <v>376.70833333333337</v>
      </c>
      <c r="H106" s="9">
        <f t="shared" si="48"/>
        <v>41711865.31590458</v>
      </c>
      <c r="I106" s="2">
        <f t="shared" si="49"/>
        <v>41.711865315904582</v>
      </c>
      <c r="J106" s="2">
        <f t="shared" si="50"/>
        <v>1.2589727115908023</v>
      </c>
      <c r="K106" s="4">
        <f t="shared" si="51"/>
        <v>994.79376150672158</v>
      </c>
      <c r="L106" s="12">
        <f t="shared" si="52"/>
        <v>3.2987921417246621E-4</v>
      </c>
      <c r="M106" s="19">
        <f t="shared" si="34"/>
        <v>7.5862990157031778E-3</v>
      </c>
      <c r="N106" s="432">
        <f t="shared" si="35"/>
        <v>0.8406859889870637</v>
      </c>
      <c r="O106" s="432">
        <f t="shared" si="36"/>
        <v>0.8406859889870637</v>
      </c>
      <c r="P106" s="429">
        <f t="shared" si="37"/>
        <v>7683.1209954606984</v>
      </c>
      <c r="Q106" s="429">
        <f t="shared" si="38"/>
        <v>0</v>
      </c>
      <c r="R106" s="430">
        <f t="shared" si="39"/>
        <v>1</v>
      </c>
      <c r="S106" s="431">
        <f t="shared" si="40"/>
        <v>1.4668891841459863E-2</v>
      </c>
      <c r="T106" s="4">
        <f>N106/S106</f>
        <v>57.310804256594601</v>
      </c>
      <c r="U106" s="4">
        <f t="shared" si="42"/>
        <v>4804.8076805851879</v>
      </c>
    </row>
    <row r="107" spans="1:21" x14ac:dyDescent="0.2">
      <c r="A107">
        <f t="shared" si="43"/>
        <v>20823.04</v>
      </c>
      <c r="B107" s="4">
        <f t="shared" si="44"/>
        <v>6050.6959299347418</v>
      </c>
      <c r="C107" s="11">
        <f t="shared" si="53"/>
        <v>98</v>
      </c>
      <c r="D107" s="4">
        <f t="shared" si="33"/>
        <v>6348.4878048780492</v>
      </c>
      <c r="E107">
        <f t="shared" si="45"/>
        <v>0.11861823723647448</v>
      </c>
      <c r="F107">
        <f t="shared" si="46"/>
        <v>9.0239389202190143E-3</v>
      </c>
      <c r="G107" s="4">
        <f t="shared" si="47"/>
        <v>376.70833333333337</v>
      </c>
      <c r="H107" s="9">
        <f t="shared" si="48"/>
        <v>41719548.436900042</v>
      </c>
      <c r="I107" s="2">
        <f t="shared" si="49"/>
        <v>41.719548436900041</v>
      </c>
      <c r="J107" s="2">
        <f t="shared" si="50"/>
        <v>1.2590570306497475</v>
      </c>
      <c r="K107" s="4">
        <f t="shared" si="51"/>
        <v>994.79743750740988</v>
      </c>
      <c r="L107" s="12">
        <f t="shared" si="52"/>
        <v>3.2987921417246621E-4</v>
      </c>
      <c r="M107" s="19">
        <f t="shared" si="34"/>
        <v>7.586270982618902E-3</v>
      </c>
      <c r="N107" s="432">
        <f t="shared" si="35"/>
        <v>0.84068288246290357</v>
      </c>
      <c r="O107" s="432">
        <f t="shared" si="36"/>
        <v>0.84068288246290357</v>
      </c>
      <c r="P107" s="429">
        <f t="shared" si="37"/>
        <v>7683.0926045973938</v>
      </c>
      <c r="Q107" s="429">
        <f t="shared" si="38"/>
        <v>0</v>
      </c>
      <c r="R107" s="430">
        <f t="shared" si="39"/>
        <v>1</v>
      </c>
      <c r="S107" s="431">
        <f t="shared" si="40"/>
        <v>1.4668837636599182E-2</v>
      </c>
      <c r="T107" s="4">
        <f>N107/S107</f>
        <v>57.310804256594608</v>
      </c>
      <c r="U107" s="4">
        <f t="shared" si="42"/>
        <v>4804.8076805851879</v>
      </c>
    </row>
    <row r="108" spans="1:21" x14ac:dyDescent="0.2">
      <c r="A108">
        <f t="shared" si="43"/>
        <v>21035.519999999997</v>
      </c>
      <c r="B108" s="4">
        <f t="shared" si="44"/>
        <v>6051.810229079716</v>
      </c>
      <c r="C108" s="11">
        <f t="shared" si="53"/>
        <v>99</v>
      </c>
      <c r="D108" s="4">
        <f t="shared" si="33"/>
        <v>6413.2682926829266</v>
      </c>
      <c r="E108">
        <f t="shared" si="45"/>
        <v>0.11861823723647448</v>
      </c>
      <c r="F108">
        <f t="shared" si="46"/>
        <v>9.0239389202190143E-3</v>
      </c>
      <c r="G108" s="4">
        <f t="shared" si="47"/>
        <v>376.70833333333337</v>
      </c>
      <c r="H108" s="9">
        <f t="shared" si="48"/>
        <v>41727231.529504642</v>
      </c>
      <c r="I108" s="2">
        <f t="shared" si="49"/>
        <v>41.727231529504643</v>
      </c>
      <c r="J108" s="2">
        <f t="shared" si="50"/>
        <v>1.2591413581154276</v>
      </c>
      <c r="K108" s="4">
        <f t="shared" si="51"/>
        <v>994.80111349451454</v>
      </c>
      <c r="L108" s="12">
        <f t="shared" si="52"/>
        <v>3.2987921417246621E-4</v>
      </c>
      <c r="M108" s="19">
        <f t="shared" si="34"/>
        <v>7.5862429498453898E-3</v>
      </c>
      <c r="N108" s="432">
        <f t="shared" si="35"/>
        <v>0.840679775973181</v>
      </c>
      <c r="O108" s="432">
        <f t="shared" si="36"/>
        <v>0.840679775973181</v>
      </c>
      <c r="P108" s="429">
        <f t="shared" si="37"/>
        <v>7683.0642140488198</v>
      </c>
      <c r="Q108" s="429">
        <f t="shared" si="38"/>
        <v>0</v>
      </c>
      <c r="R108" s="430">
        <f t="shared" si="39"/>
        <v>1</v>
      </c>
      <c r="S108" s="431">
        <f t="shared" si="40"/>
        <v>1.4668783432339395E-2</v>
      </c>
      <c r="T108" s="288">
        <f>N108/S108</f>
        <v>57.310804256594608</v>
      </c>
      <c r="U108" s="288"/>
    </row>
    <row r="109" spans="1:21" x14ac:dyDescent="0.2">
      <c r="A109" s="292">
        <f t="shared" si="43"/>
        <v>21248</v>
      </c>
      <c r="B109" s="288">
        <f t="shared" si="44"/>
        <v>6052.9245241071349</v>
      </c>
      <c r="C109" s="293">
        <f t="shared" si="53"/>
        <v>100</v>
      </c>
      <c r="D109" s="288">
        <f t="shared" si="33"/>
        <v>6478.0487804878048</v>
      </c>
      <c r="E109">
        <f t="shared" si="45"/>
        <v>0.11861823723647448</v>
      </c>
      <c r="F109">
        <f t="shared" si="46"/>
        <v>9.0239389202190143E-3</v>
      </c>
      <c r="G109" s="288">
        <f t="shared" si="47"/>
        <v>376.70833333333337</v>
      </c>
      <c r="H109" s="294">
        <f t="shared" si="48"/>
        <v>41734914.593718693</v>
      </c>
      <c r="I109" s="295">
        <f t="shared" si="49"/>
        <v>41.734914593718692</v>
      </c>
      <c r="J109" s="296">
        <f t="shared" si="50"/>
        <v>1.2592256939851154</v>
      </c>
      <c r="K109" s="288">
        <f t="shared" si="51"/>
        <v>994.80478946803566</v>
      </c>
      <c r="L109" s="297">
        <f>0.001*(83080000000*T^-4.4259)</f>
        <v>3.2987921417246621E-4</v>
      </c>
      <c r="M109" s="19">
        <f t="shared" si="34"/>
        <v>7.5862149173826351E-3</v>
      </c>
      <c r="N109" s="432">
        <f t="shared" si="35"/>
        <v>0.84067666951789555</v>
      </c>
      <c r="O109" s="432">
        <f t="shared" si="36"/>
        <v>0.84067666951789555</v>
      </c>
      <c r="P109" s="429">
        <f t="shared" si="37"/>
        <v>7683.0358238149611</v>
      </c>
      <c r="Q109" s="429">
        <f t="shared" si="38"/>
        <v>0</v>
      </c>
      <c r="R109" s="430">
        <f t="shared" si="39"/>
        <v>1</v>
      </c>
      <c r="S109" s="431">
        <f t="shared" si="40"/>
        <v>1.4668729228680491E-2</v>
      </c>
      <c r="T109" s="288">
        <f>N109/S109</f>
        <v>57.310804256594601</v>
      </c>
      <c r="U109" s="288"/>
    </row>
    <row r="110" spans="1:21" x14ac:dyDescent="0.2">
      <c r="A110" s="321">
        <f t="shared" si="43"/>
        <v>21248</v>
      </c>
      <c r="B110" s="288">
        <f>B109</f>
        <v>6052.9245241071349</v>
      </c>
      <c r="C110" s="293"/>
      <c r="D110" s="288">
        <f>D109</f>
        <v>6478.0487804878048</v>
      </c>
      <c r="E110" s="288"/>
      <c r="F110" s="288"/>
      <c r="G110" s="288"/>
      <c r="H110" s="294"/>
      <c r="I110" s="295">
        <f>I109</f>
        <v>41.734914593718692</v>
      </c>
      <c r="J110" s="296"/>
      <c r="K110" s="288"/>
      <c r="L110" s="297"/>
      <c r="M110" s="298"/>
      <c r="N110" s="299"/>
      <c r="O110" s="299"/>
      <c r="P110" s="322"/>
      <c r="Q110" s="300"/>
      <c r="R110" s="319"/>
      <c r="S110" s="320"/>
      <c r="T110" s="283"/>
      <c r="U110" s="283"/>
    </row>
    <row r="111" spans="1:21" x14ac:dyDescent="0.2">
      <c r="A111" s="303">
        <f t="shared" si="43"/>
        <v>21248</v>
      </c>
      <c r="B111" s="304">
        <f t="shared" si="44"/>
        <v>7293.9410593154489</v>
      </c>
      <c r="C111" s="305" t="s">
        <v>373</v>
      </c>
      <c r="D111" s="306">
        <f>(N-C9)*lt/N-lt+L</f>
        <v>6478.0487804878048</v>
      </c>
      <c r="E111" s="306"/>
      <c r="F111" s="306"/>
      <c r="G111" s="307">
        <f>T0+MAX(MIN(D111,TVD),0)*dT</f>
        <v>376.70833333333337</v>
      </c>
      <c r="H111" s="308">
        <f>H109+dPbha</f>
        <v>50291723.60398002</v>
      </c>
      <c r="I111" s="309">
        <f t="shared" si="49"/>
        <v>50.291723603980017</v>
      </c>
      <c r="J111" s="310">
        <f t="shared" ref="J111:J143" si="54">1+BB*H111+CCC*H111^2+DD*H111^3</f>
        <v>1.3579546056046714</v>
      </c>
      <c r="K111" s="307">
        <f t="shared" si="51"/>
        <v>998.89880748885912</v>
      </c>
      <c r="L111" s="314">
        <f>0.001*(83080000000*T^-4.4259)</f>
        <v>3.2987921417246621E-4</v>
      </c>
      <c r="M111" s="311">
        <f t="shared" ref="M111:M139" si="55">mw/rhow</f>
        <v>7.5551225781499143E-3</v>
      </c>
      <c r="N111" s="312">
        <f>Qw/(0.25*PI()*dti^2)</f>
        <v>5.8682124579994266</v>
      </c>
      <c r="O111" s="312"/>
      <c r="P111" s="438">
        <v>0</v>
      </c>
      <c r="Q111" s="58">
        <f>IF(AND(0&lt;D111, D111&lt;=TVD),rho*g*lt/N,0)</f>
        <v>0</v>
      </c>
      <c r="R111" s="321"/>
      <c r="S111" s="321"/>
      <c r="T111" s="282"/>
      <c r="U111" s="282"/>
    </row>
    <row r="112" spans="1:21" x14ac:dyDescent="0.2">
      <c r="A112" s="321">
        <f>A111</f>
        <v>21248</v>
      </c>
      <c r="B112" s="288">
        <f>B111</f>
        <v>7293.9410593154489</v>
      </c>
      <c r="C112" s="437" t="s">
        <v>371</v>
      </c>
      <c r="D112" s="301"/>
      <c r="E112" s="301"/>
      <c r="F112" s="301"/>
      <c r="G112" s="4"/>
      <c r="H112" s="266"/>
      <c r="I112" s="295"/>
      <c r="J112" s="10"/>
      <c r="K112" s="4"/>
      <c r="L112" s="315"/>
      <c r="M112" s="298"/>
      <c r="N112" s="302"/>
      <c r="O112" s="302"/>
      <c r="P112" s="266"/>
      <c r="Q112" s="13"/>
      <c r="R112" s="321"/>
      <c r="S112" s="321"/>
      <c r="T112" s="282"/>
      <c r="U112" s="282"/>
    </row>
    <row r="113" spans="1:21" x14ac:dyDescent="0.2">
      <c r="A113">
        <f t="shared" si="43"/>
        <v>21022.999999999996</v>
      </c>
      <c r="B113" s="4">
        <f t="shared" si="44"/>
        <v>7293.9410593154489</v>
      </c>
      <c r="C113" s="14" t="s">
        <v>372</v>
      </c>
      <c r="D113" s="21">
        <f t="shared" ref="D113:D176" si="56">(N-C10)*lt/N-lt+L</f>
        <v>6409.4512195121943</v>
      </c>
      <c r="E113" s="21"/>
      <c r="F113" s="21"/>
      <c r="G113" s="4">
        <f t="shared" ref="G113:G176" si="57">T0+MAX(MIN(D113,TVD),0)*dT</f>
        <v>376.70833333333337</v>
      </c>
      <c r="H113" s="20">
        <f>H111-Q111+P111</f>
        <v>50291723.60398002</v>
      </c>
      <c r="I113" s="2">
        <f t="shared" si="49"/>
        <v>50.291723603980017</v>
      </c>
      <c r="J113" s="10">
        <f t="shared" si="54"/>
        <v>1.3579546056046714</v>
      </c>
      <c r="K113" s="4">
        <f t="shared" si="51"/>
        <v>998.89880748885912</v>
      </c>
      <c r="L113" s="316">
        <f t="shared" ref="L113:L176" si="58">0.001*(83080000000*T^-4.4259)</f>
        <v>3.2987921417246621E-4</v>
      </c>
      <c r="M113" s="19">
        <f t="shared" si="55"/>
        <v>7.5551225781499143E-3</v>
      </c>
      <c r="N113" s="433">
        <f t="shared" ref="N113:N144" si="59">Qw/(0.25*PI()*dti^2)</f>
        <v>5.8682124579994266</v>
      </c>
      <c r="O113" s="433"/>
      <c r="P113" s="434">
        <f t="shared" ref="P113:P144" si="60">0.1*(lt/N)*rhow^0.8*va^1.8*muw^0.2/dti^1.2*IF(D113&lt;0,1.2,1)*(1-Kfr)</f>
        <v>196376.6622880869</v>
      </c>
      <c r="Q113" s="429">
        <f t="shared" ref="Q113:Q144" si="61">IF(AND(0&lt;D113, D113&lt;=TVD),rhow*g*lt/N,0)</f>
        <v>0</v>
      </c>
      <c r="R113" s="313"/>
      <c r="S113" s="313"/>
      <c r="T113" s="313"/>
      <c r="U113" s="313"/>
    </row>
    <row r="114" spans="1:21" x14ac:dyDescent="0.2">
      <c r="A114">
        <f t="shared" si="43"/>
        <v>20797.999999999996</v>
      </c>
      <c r="B114" s="4">
        <f t="shared" si="44"/>
        <v>7322.4220835776805</v>
      </c>
      <c r="C114" s="15" t="s">
        <v>372</v>
      </c>
      <c r="D114" s="21">
        <f t="shared" si="56"/>
        <v>6340.8536585365846</v>
      </c>
      <c r="E114" s="21"/>
      <c r="F114" s="21"/>
      <c r="G114" s="4">
        <f t="shared" si="57"/>
        <v>376.70833333333337</v>
      </c>
      <c r="H114" s="20">
        <f t="shared" ref="H114:H145" si="62">H113-Q113+P113</f>
        <v>50488100.266268104</v>
      </c>
      <c r="I114" s="2">
        <f t="shared" si="49"/>
        <v>50.488100266268106</v>
      </c>
      <c r="J114" s="10">
        <f t="shared" si="54"/>
        <v>1.3603184669753028</v>
      </c>
      <c r="K114" s="4">
        <f t="shared" si="51"/>
        <v>998.99276419553701</v>
      </c>
      <c r="L114" s="316">
        <f t="shared" si="58"/>
        <v>3.2987921417246621E-4</v>
      </c>
      <c r="M114" s="19">
        <f t="shared" si="55"/>
        <v>7.554412008002229E-3</v>
      </c>
      <c r="N114" s="433">
        <f t="shared" si="59"/>
        <v>5.8676605441754228</v>
      </c>
      <c r="O114" s="433"/>
      <c r="P114" s="434">
        <f t="shared" si="60"/>
        <v>196358.19278048069</v>
      </c>
      <c r="Q114" s="429">
        <f t="shared" si="61"/>
        <v>0</v>
      </c>
      <c r="R114" s="313"/>
      <c r="S114" s="313"/>
      <c r="T114" s="313"/>
      <c r="U114" s="313"/>
    </row>
    <row r="115" spans="1:21" x14ac:dyDescent="0.2">
      <c r="A115">
        <f t="shared" si="43"/>
        <v>20572.999999999996</v>
      </c>
      <c r="B115" s="4">
        <f t="shared" si="44"/>
        <v>7350.9004291586052</v>
      </c>
      <c r="C115" s="11" t="s">
        <v>59</v>
      </c>
      <c r="D115" s="21">
        <f t="shared" si="56"/>
        <v>6272.2560975609749</v>
      </c>
      <c r="E115" s="21"/>
      <c r="F115" s="21"/>
      <c r="G115" s="4">
        <f t="shared" si="57"/>
        <v>376.70833333333337</v>
      </c>
      <c r="H115" s="20">
        <f t="shared" si="62"/>
        <v>50684458.459048584</v>
      </c>
      <c r="I115" s="2">
        <f t="shared" si="49"/>
        <v>50.684458459048585</v>
      </c>
      <c r="J115" s="10">
        <f t="shared" si="54"/>
        <v>1.362685837126179</v>
      </c>
      <c r="K115" s="4">
        <f t="shared" si="51"/>
        <v>999.08671206545159</v>
      </c>
      <c r="L115" s="316">
        <f t="shared" si="58"/>
        <v>3.2987921417246621E-4</v>
      </c>
      <c r="M115" s="19">
        <f t="shared" si="55"/>
        <v>7.5537016383135543E-3</v>
      </c>
      <c r="N115" s="433">
        <f t="shared" si="59"/>
        <v>5.8671087860518787</v>
      </c>
      <c r="O115" s="433"/>
      <c r="P115" s="434">
        <f t="shared" si="60"/>
        <v>196339.72848330875</v>
      </c>
      <c r="Q115" s="429">
        <f t="shared" si="61"/>
        <v>0</v>
      </c>
      <c r="R115" s="313"/>
      <c r="S115" s="313"/>
      <c r="T115" s="313"/>
      <c r="U115" s="313"/>
    </row>
    <row r="116" spans="1:21" x14ac:dyDescent="0.2">
      <c r="A116">
        <f t="shared" si="43"/>
        <v>20348</v>
      </c>
      <c r="B116" s="4">
        <f t="shared" si="44"/>
        <v>7379.3760968139077</v>
      </c>
      <c r="C116" s="11"/>
      <c r="D116" s="21">
        <f t="shared" si="56"/>
        <v>6203.6585365853662</v>
      </c>
      <c r="E116" s="21"/>
      <c r="F116" s="21"/>
      <c r="G116" s="4">
        <f t="shared" si="57"/>
        <v>376.70833333333337</v>
      </c>
      <c r="H116" s="20">
        <f t="shared" si="62"/>
        <v>50880798.187531896</v>
      </c>
      <c r="I116" s="2">
        <f t="shared" si="49"/>
        <v>50.880798187531894</v>
      </c>
      <c r="J116" s="10">
        <f t="shared" si="54"/>
        <v>1.365056671101929</v>
      </c>
      <c r="K116" s="4">
        <f t="shared" si="51"/>
        <v>999.18065110109558</v>
      </c>
      <c r="L116" s="316">
        <f t="shared" si="58"/>
        <v>3.2987921417246621E-4</v>
      </c>
      <c r="M116" s="19">
        <f t="shared" si="55"/>
        <v>7.5529914689896555E-3</v>
      </c>
      <c r="N116" s="433">
        <f t="shared" si="59"/>
        <v>5.8665571835556003</v>
      </c>
      <c r="O116" s="433"/>
      <c r="P116" s="434">
        <f t="shared" si="60"/>
        <v>196321.26939412186</v>
      </c>
      <c r="Q116" s="429">
        <f t="shared" si="61"/>
        <v>0</v>
      </c>
      <c r="R116" s="313"/>
      <c r="S116" s="313"/>
      <c r="T116" s="313"/>
      <c r="U116" s="313"/>
    </row>
    <row r="117" spans="1:21" x14ac:dyDescent="0.2">
      <c r="A117">
        <f t="shared" si="43"/>
        <v>20123</v>
      </c>
      <c r="B117" s="4">
        <f t="shared" si="44"/>
        <v>7407.849087298915</v>
      </c>
      <c r="D117" s="21">
        <f t="shared" si="56"/>
        <v>6135.0609756097565</v>
      </c>
      <c r="E117" s="21"/>
      <c r="F117" s="21"/>
      <c r="G117" s="4">
        <f t="shared" si="57"/>
        <v>376.70833333333337</v>
      </c>
      <c r="H117" s="20">
        <f t="shared" si="62"/>
        <v>51077119.456926018</v>
      </c>
      <c r="I117" s="2">
        <f t="shared" si="49"/>
        <v>51.07711945692602</v>
      </c>
      <c r="J117" s="10">
        <f t="shared" si="54"/>
        <v>1.3674309239724474</v>
      </c>
      <c r="K117" s="4">
        <f t="shared" si="51"/>
        <v>999.27458130496098</v>
      </c>
      <c r="L117" s="316">
        <f t="shared" si="58"/>
        <v>3.2987921417246621E-4</v>
      </c>
      <c r="M117" s="19">
        <f t="shared" si="55"/>
        <v>7.5522814999363554E-3</v>
      </c>
      <c r="N117" s="433">
        <f t="shared" si="59"/>
        <v>5.8660057366134399</v>
      </c>
      <c r="O117" s="433"/>
      <c r="P117" s="434">
        <f t="shared" si="60"/>
        <v>196302.81551047254</v>
      </c>
      <c r="Q117" s="429">
        <f t="shared" si="61"/>
        <v>0</v>
      </c>
      <c r="R117" s="313"/>
      <c r="S117" s="313"/>
      <c r="T117" s="313"/>
      <c r="U117" s="313"/>
    </row>
    <row r="118" spans="1:21" x14ac:dyDescent="0.2">
      <c r="A118">
        <f t="shared" si="43"/>
        <v>19898</v>
      </c>
      <c r="B118" s="4">
        <f t="shared" si="44"/>
        <v>7436.3194013685988</v>
      </c>
      <c r="D118" s="21">
        <f t="shared" si="56"/>
        <v>6066.4634146341468</v>
      </c>
      <c r="E118" s="21"/>
      <c r="F118" s="21"/>
      <c r="G118" s="4">
        <f t="shared" si="57"/>
        <v>376.70833333333337</v>
      </c>
      <c r="H118" s="20">
        <f t="shared" si="62"/>
        <v>51273422.272436492</v>
      </c>
      <c r="I118" s="2">
        <f t="shared" si="49"/>
        <v>51.273422272436491</v>
      </c>
      <c r="J118" s="10">
        <f t="shared" si="54"/>
        <v>1.3698085508328777</v>
      </c>
      <c r="K118" s="4">
        <f t="shared" si="51"/>
        <v>999.36850267953821</v>
      </c>
      <c r="L118" s="316">
        <f t="shared" si="58"/>
        <v>3.2987921417246621E-4</v>
      </c>
      <c r="M118" s="19">
        <f t="shared" si="55"/>
        <v>7.5515717310595427E-3</v>
      </c>
      <c r="N118" s="433">
        <f t="shared" si="59"/>
        <v>5.8654544451522987</v>
      </c>
      <c r="O118" s="433"/>
      <c r="P118" s="434">
        <f t="shared" si="60"/>
        <v>196284.36682991401</v>
      </c>
      <c r="Q118" s="429">
        <f t="shared" si="61"/>
        <v>0</v>
      </c>
      <c r="R118" s="313"/>
      <c r="S118" s="313"/>
      <c r="T118" s="313"/>
      <c r="U118" s="313"/>
    </row>
    <row r="119" spans="1:21" x14ac:dyDescent="0.2">
      <c r="A119">
        <f t="shared" si="43"/>
        <v>19673</v>
      </c>
      <c r="B119" s="4">
        <f t="shared" si="44"/>
        <v>7464.7870397775796</v>
      </c>
      <c r="D119" s="21">
        <f t="shared" si="56"/>
        <v>5997.8658536585372</v>
      </c>
      <c r="E119" s="21"/>
      <c r="F119" s="21"/>
      <c r="G119" s="4">
        <f t="shared" si="57"/>
        <v>376.70833333333337</v>
      </c>
      <c r="H119" s="20">
        <f t="shared" si="62"/>
        <v>51469706.639266409</v>
      </c>
      <c r="I119" s="2">
        <f t="shared" si="49"/>
        <v>51.469706639266406</v>
      </c>
      <c r="J119" s="10">
        <f t="shared" si="54"/>
        <v>1.3721895068035934</v>
      </c>
      <c r="K119" s="4">
        <f t="shared" si="51"/>
        <v>999.46241522731668</v>
      </c>
      <c r="L119" s="316">
        <f t="shared" si="58"/>
        <v>3.2987921417246621E-4</v>
      </c>
      <c r="M119" s="19">
        <f t="shared" si="55"/>
        <v>7.5508621622651685E-3</v>
      </c>
      <c r="N119" s="433">
        <f t="shared" si="59"/>
        <v>5.8649033090991258</v>
      </c>
      <c r="O119" s="433"/>
      <c r="P119" s="434">
        <f t="shared" si="60"/>
        <v>196265.92335000203</v>
      </c>
      <c r="Q119" s="429">
        <f t="shared" si="61"/>
        <v>0</v>
      </c>
      <c r="R119" s="313"/>
      <c r="S119" s="313"/>
      <c r="T119" s="313"/>
      <c r="U119" s="313"/>
    </row>
    <row r="120" spans="1:21" x14ac:dyDescent="0.2">
      <c r="A120">
        <f t="shared" si="43"/>
        <v>19448</v>
      </c>
      <c r="B120" s="4">
        <f t="shared" si="44"/>
        <v>7493.2520032801176</v>
      </c>
      <c r="D120" s="21">
        <f t="shared" si="56"/>
        <v>5929.2682926829275</v>
      </c>
      <c r="E120" s="21"/>
      <c r="F120" s="21"/>
      <c r="G120" s="4">
        <f t="shared" si="57"/>
        <v>376.70833333333337</v>
      </c>
      <c r="H120" s="20">
        <f t="shared" si="62"/>
        <v>51665972.562616408</v>
      </c>
      <c r="I120" s="2">
        <f t="shared" si="49"/>
        <v>51.66597256261641</v>
      </c>
      <c r="J120" s="10">
        <f t="shared" si="54"/>
        <v>1.3745737470301809</v>
      </c>
      <c r="K120" s="4">
        <f t="shared" si="51"/>
        <v>999.55631895078466</v>
      </c>
      <c r="L120" s="316">
        <f t="shared" si="58"/>
        <v>3.2987921417246621E-4</v>
      </c>
      <c r="M120" s="19">
        <f t="shared" si="55"/>
        <v>7.550152793459242E-3</v>
      </c>
      <c r="N120" s="433">
        <f t="shared" si="59"/>
        <v>5.8643523283809182</v>
      </c>
      <c r="O120" s="433"/>
      <c r="P120" s="434">
        <f t="shared" si="60"/>
        <v>196247.48506829338</v>
      </c>
      <c r="Q120" s="429">
        <f t="shared" si="61"/>
        <v>0</v>
      </c>
      <c r="R120" s="313"/>
      <c r="S120" s="313"/>
      <c r="T120" s="313"/>
      <c r="U120" s="313"/>
    </row>
    <row r="121" spans="1:21" x14ac:dyDescent="0.2">
      <c r="A121">
        <f t="shared" si="43"/>
        <v>19223</v>
      </c>
      <c r="B121" s="4">
        <f t="shared" si="44"/>
        <v>7521.7142926301231</v>
      </c>
      <c r="D121" s="21">
        <f t="shared" si="56"/>
        <v>5860.6707317073169</v>
      </c>
      <c r="E121" s="21"/>
      <c r="F121" s="21"/>
      <c r="G121" s="4">
        <f t="shared" si="57"/>
        <v>376.70833333333337</v>
      </c>
      <c r="H121" s="20">
        <f t="shared" si="62"/>
        <v>51862220.047684699</v>
      </c>
      <c r="I121" s="2">
        <f t="shared" si="49"/>
        <v>51.862220047684701</v>
      </c>
      <c r="J121" s="10">
        <f t="shared" si="54"/>
        <v>1.3769612266834221</v>
      </c>
      <c r="K121" s="4">
        <f t="shared" si="51"/>
        <v>999.65021385242937</v>
      </c>
      <c r="L121" s="316">
        <f t="shared" si="58"/>
        <v>3.2987921417246621E-4</v>
      </c>
      <c r="M121" s="19">
        <f t="shared" si="55"/>
        <v>7.5494436245478365E-3</v>
      </c>
      <c r="N121" s="433">
        <f t="shared" si="59"/>
        <v>5.863801502924721</v>
      </c>
      <c r="O121" s="433"/>
      <c r="P121" s="434">
        <f t="shared" si="60"/>
        <v>196229.05198234683</v>
      </c>
      <c r="Q121" s="429">
        <f t="shared" si="61"/>
        <v>0</v>
      </c>
      <c r="R121" s="313"/>
      <c r="S121" s="313"/>
      <c r="T121" s="313"/>
      <c r="U121" s="313"/>
    </row>
    <row r="122" spans="1:21" x14ac:dyDescent="0.2">
      <c r="A122">
        <f t="shared" si="43"/>
        <v>18998</v>
      </c>
      <c r="B122" s="4">
        <f t="shared" si="44"/>
        <v>7550.1739085811523</v>
      </c>
      <c r="D122" s="21">
        <f t="shared" si="56"/>
        <v>5792.0731707317073</v>
      </c>
      <c r="E122" s="21"/>
      <c r="F122" s="21"/>
      <c r="G122" s="4">
        <f t="shared" si="57"/>
        <v>376.70833333333337</v>
      </c>
      <c r="H122" s="20">
        <f t="shared" si="62"/>
        <v>52058449.099667042</v>
      </c>
      <c r="I122" s="2">
        <f t="shared" si="49"/>
        <v>52.058449099667044</v>
      </c>
      <c r="J122" s="10">
        <f t="shared" si="54"/>
        <v>1.3793519009592758</v>
      </c>
      <c r="K122" s="4">
        <f t="shared" si="51"/>
        <v>999.7440999347366</v>
      </c>
      <c r="L122" s="316">
        <f t="shared" si="58"/>
        <v>3.2987921417246621E-4</v>
      </c>
      <c r="M122" s="19">
        <f t="shared" si="55"/>
        <v>7.5487346554370862E-3</v>
      </c>
      <c r="N122" s="433">
        <f t="shared" si="59"/>
        <v>5.8632508326576271</v>
      </c>
      <c r="O122" s="433"/>
      <c r="P122" s="434">
        <f t="shared" si="60"/>
        <v>196210.62408972217</v>
      </c>
      <c r="Q122" s="429">
        <f t="shared" si="61"/>
        <v>0</v>
      </c>
      <c r="R122" s="313"/>
      <c r="S122" s="313"/>
      <c r="T122" s="313"/>
      <c r="U122" s="313"/>
    </row>
    <row r="123" spans="1:21" x14ac:dyDescent="0.2">
      <c r="A123">
        <f t="shared" si="43"/>
        <v>18773</v>
      </c>
      <c r="B123" s="4">
        <f t="shared" si="44"/>
        <v>7578.6308518864062</v>
      </c>
      <c r="D123" s="21">
        <f t="shared" si="56"/>
        <v>5723.4756097560976</v>
      </c>
      <c r="E123" s="21"/>
      <c r="F123" s="21"/>
      <c r="G123" s="4">
        <f t="shared" si="57"/>
        <v>376.70833333333337</v>
      </c>
      <c r="H123" s="20">
        <f t="shared" si="62"/>
        <v>52254659.723756768</v>
      </c>
      <c r="I123" s="2">
        <f t="shared" si="49"/>
        <v>52.254659723756767</v>
      </c>
      <c r="J123" s="10">
        <f t="shared" si="54"/>
        <v>1.3817457250788603</v>
      </c>
      <c r="K123" s="4">
        <f t="shared" si="51"/>
        <v>999.83797720019118</v>
      </c>
      <c r="L123" s="316">
        <f t="shared" si="58"/>
        <v>3.2987921417246621E-4</v>
      </c>
      <c r="M123" s="19">
        <f t="shared" si="55"/>
        <v>7.5480258860331885E-3</v>
      </c>
      <c r="N123" s="433">
        <f t="shared" si="59"/>
        <v>5.8627003175067767</v>
      </c>
      <c r="O123" s="433"/>
      <c r="P123" s="434">
        <f t="shared" si="60"/>
        <v>196192.20138798203</v>
      </c>
      <c r="Q123" s="429">
        <f t="shared" si="61"/>
        <v>0</v>
      </c>
      <c r="R123" s="313"/>
      <c r="S123" s="313"/>
      <c r="T123" s="313"/>
      <c r="U123" s="313"/>
    </row>
    <row r="124" spans="1:21" x14ac:dyDescent="0.2">
      <c r="A124">
        <f t="shared" si="43"/>
        <v>18548</v>
      </c>
      <c r="B124" s="4">
        <f t="shared" si="44"/>
        <v>7607.0851232987307</v>
      </c>
      <c r="D124" s="21">
        <f t="shared" si="56"/>
        <v>5654.8780487804879</v>
      </c>
      <c r="E124" s="21"/>
      <c r="F124" s="21"/>
      <c r="G124" s="4">
        <f t="shared" si="57"/>
        <v>376.70833333333337</v>
      </c>
      <c r="H124" s="20">
        <f t="shared" si="62"/>
        <v>52450851.925144747</v>
      </c>
      <c r="I124" s="2">
        <f t="shared" si="49"/>
        <v>52.450851925144747</v>
      </c>
      <c r="J124" s="10">
        <f t="shared" si="54"/>
        <v>1.3841426542884363</v>
      </c>
      <c r="K124" s="4">
        <f t="shared" si="51"/>
        <v>999.93184565127672</v>
      </c>
      <c r="L124" s="316">
        <f t="shared" si="58"/>
        <v>3.2987921417246621E-4</v>
      </c>
      <c r="M124" s="19">
        <f t="shared" si="55"/>
        <v>7.5473173162424008E-3</v>
      </c>
      <c r="N124" s="433">
        <f t="shared" si="59"/>
        <v>5.8621499573993594</v>
      </c>
      <c r="O124" s="433"/>
      <c r="P124" s="434">
        <f t="shared" si="60"/>
        <v>196173.78387468905</v>
      </c>
      <c r="Q124" s="429">
        <f t="shared" si="61"/>
        <v>0</v>
      </c>
      <c r="R124" s="313"/>
      <c r="S124" s="313"/>
      <c r="T124" s="313"/>
      <c r="U124" s="313"/>
    </row>
    <row r="125" spans="1:21" x14ac:dyDescent="0.2">
      <c r="A125">
        <f t="shared" si="43"/>
        <v>18323</v>
      </c>
      <c r="B125" s="4">
        <f t="shared" si="44"/>
        <v>7635.5367235706217</v>
      </c>
      <c r="D125" s="21">
        <f t="shared" si="56"/>
        <v>5586.2804878048782</v>
      </c>
      <c r="E125" s="21"/>
      <c r="F125" s="21"/>
      <c r="G125" s="4">
        <f t="shared" si="57"/>
        <v>376.70833333333337</v>
      </c>
      <c r="H125" s="20">
        <f t="shared" si="62"/>
        <v>52647025.709019437</v>
      </c>
      <c r="I125" s="2">
        <f t="shared" si="49"/>
        <v>52.647025709019438</v>
      </c>
      <c r="J125" s="10">
        <f t="shared" si="54"/>
        <v>1.386542643859388</v>
      </c>
      <c r="K125" s="4">
        <f t="shared" si="51"/>
        <v>1000.0257052904755</v>
      </c>
      <c r="L125" s="316">
        <f t="shared" si="58"/>
        <v>3.2987921417246621E-4</v>
      </c>
      <c r="M125" s="19">
        <f t="shared" si="55"/>
        <v>7.5466089459710435E-3</v>
      </c>
      <c r="N125" s="433">
        <f t="shared" si="59"/>
        <v>5.8615997522626113</v>
      </c>
      <c r="O125" s="433"/>
      <c r="P125" s="434">
        <f t="shared" si="60"/>
        <v>196155.37154740855</v>
      </c>
      <c r="Q125" s="429">
        <f t="shared" si="61"/>
        <v>0</v>
      </c>
      <c r="R125" s="313"/>
      <c r="S125" s="313"/>
      <c r="T125" s="313"/>
      <c r="U125" s="313"/>
    </row>
    <row r="126" spans="1:21" x14ac:dyDescent="0.2">
      <c r="A126">
        <f t="shared" si="43"/>
        <v>18098</v>
      </c>
      <c r="B126" s="4">
        <f t="shared" si="44"/>
        <v>7663.9856534542196</v>
      </c>
      <c r="D126" s="21">
        <f t="shared" si="56"/>
        <v>5517.6829268292686</v>
      </c>
      <c r="E126" s="21"/>
      <c r="F126" s="21"/>
      <c r="G126" s="4">
        <f t="shared" si="57"/>
        <v>376.70833333333337</v>
      </c>
      <c r="H126" s="20">
        <f t="shared" si="62"/>
        <v>52843181.080566846</v>
      </c>
      <c r="I126" s="2">
        <f t="shared" si="49"/>
        <v>52.843181080566843</v>
      </c>
      <c r="J126" s="10">
        <f t="shared" si="54"/>
        <v>1.3889456490882073</v>
      </c>
      <c r="K126" s="4">
        <f t="shared" si="51"/>
        <v>1000.1195561202688</v>
      </c>
      <c r="L126" s="316">
        <f t="shared" si="58"/>
        <v>3.2987921417246621E-4</v>
      </c>
      <c r="M126" s="19">
        <f t="shared" si="55"/>
        <v>7.5459007751254963E-3</v>
      </c>
      <c r="N126" s="433">
        <f t="shared" si="59"/>
        <v>5.8610497020238173</v>
      </c>
      <c r="O126" s="433"/>
      <c r="P126" s="434">
        <f t="shared" si="60"/>
        <v>196136.96440370701</v>
      </c>
      <c r="Q126" s="429">
        <f t="shared" si="61"/>
        <v>0</v>
      </c>
      <c r="R126" s="313"/>
      <c r="S126" s="313"/>
      <c r="T126" s="313"/>
      <c r="U126" s="313"/>
    </row>
    <row r="127" spans="1:21" x14ac:dyDescent="0.2">
      <c r="A127">
        <f t="shared" si="43"/>
        <v>17872.999999999996</v>
      </c>
      <c r="B127" s="4">
        <f t="shared" si="44"/>
        <v>7692.4319137013126</v>
      </c>
      <c r="D127" s="21">
        <f t="shared" si="56"/>
        <v>5449.085365853658</v>
      </c>
      <c r="E127" s="21"/>
      <c r="F127" s="21"/>
      <c r="G127" s="4">
        <f t="shared" si="57"/>
        <v>376.70833333333337</v>
      </c>
      <c r="H127" s="20">
        <f t="shared" si="62"/>
        <v>53039318.04497055</v>
      </c>
      <c r="I127" s="2">
        <f t="shared" si="49"/>
        <v>53.03931804497055</v>
      </c>
      <c r="J127" s="10">
        <f t="shared" si="54"/>
        <v>1.3913516252964733</v>
      </c>
      <c r="K127" s="4">
        <f t="shared" si="51"/>
        <v>1000.2133981431369</v>
      </c>
      <c r="L127" s="316">
        <f t="shared" si="58"/>
        <v>3.2987921417246621E-4</v>
      </c>
      <c r="M127" s="19">
        <f t="shared" si="55"/>
        <v>7.5451928036122029E-3</v>
      </c>
      <c r="N127" s="433">
        <f t="shared" si="59"/>
        <v>5.8604998066103091</v>
      </c>
      <c r="O127" s="433"/>
      <c r="P127" s="434">
        <f t="shared" si="60"/>
        <v>196118.56244115272</v>
      </c>
      <c r="Q127" s="429">
        <f t="shared" si="61"/>
        <v>0</v>
      </c>
      <c r="R127" s="313"/>
      <c r="S127" s="313"/>
      <c r="T127" s="313"/>
      <c r="U127" s="313"/>
    </row>
    <row r="128" spans="1:21" x14ac:dyDescent="0.2">
      <c r="A128">
        <f t="shared" si="43"/>
        <v>17647.999999999996</v>
      </c>
      <c r="B128" s="4">
        <f t="shared" si="44"/>
        <v>7720.8755050633363</v>
      </c>
      <c r="D128" s="21">
        <f t="shared" si="56"/>
        <v>5380.4878048780483</v>
      </c>
      <c r="E128" s="21"/>
      <c r="F128" s="21"/>
      <c r="G128" s="4">
        <f t="shared" si="57"/>
        <v>376.70833333333337</v>
      </c>
      <c r="H128" s="20">
        <f t="shared" si="62"/>
        <v>53235436.607411705</v>
      </c>
      <c r="I128" s="2">
        <f t="shared" si="49"/>
        <v>53.235436607411707</v>
      </c>
      <c r="J128" s="10">
        <f t="shared" si="54"/>
        <v>1.3937605278308383</v>
      </c>
      <c r="K128" s="4">
        <f t="shared" si="51"/>
        <v>1000.3072313615585</v>
      </c>
      <c r="L128" s="316">
        <f t="shared" si="58"/>
        <v>3.2987921417246621E-4</v>
      </c>
      <c r="M128" s="19">
        <f t="shared" si="55"/>
        <v>7.5444850313376687E-3</v>
      </c>
      <c r="N128" s="433">
        <f t="shared" si="59"/>
        <v>5.8599500659494677</v>
      </c>
      <c r="O128" s="433"/>
      <c r="P128" s="434">
        <f t="shared" si="60"/>
        <v>196100.16565731567</v>
      </c>
      <c r="Q128" s="429">
        <f t="shared" si="61"/>
        <v>0</v>
      </c>
      <c r="R128" s="313"/>
      <c r="S128" s="313"/>
      <c r="T128" s="313"/>
      <c r="U128" s="313"/>
    </row>
    <row r="129" spans="1:21" x14ac:dyDescent="0.2">
      <c r="A129">
        <f t="shared" si="43"/>
        <v>17422.999999999996</v>
      </c>
      <c r="B129" s="4">
        <f t="shared" si="44"/>
        <v>7749.316428291374</v>
      </c>
      <c r="D129" s="21">
        <f t="shared" si="56"/>
        <v>5311.8902439024387</v>
      </c>
      <c r="E129" s="21"/>
      <c r="F129" s="21"/>
      <c r="G129" s="4">
        <f t="shared" si="57"/>
        <v>376.70833333333337</v>
      </c>
      <c r="H129" s="20">
        <f t="shared" si="62"/>
        <v>53431536.773069024</v>
      </c>
      <c r="I129" s="2">
        <f t="shared" si="49"/>
        <v>53.431536773069027</v>
      </c>
      <c r="J129" s="10">
        <f t="shared" si="54"/>
        <v>1.3961723120630065</v>
      </c>
      <c r="K129" s="4">
        <f t="shared" si="51"/>
        <v>1000.4010557780115</v>
      </c>
      <c r="L129" s="316">
        <f t="shared" si="58"/>
        <v>3.2987921417246621E-4</v>
      </c>
      <c r="M129" s="19">
        <f t="shared" si="55"/>
        <v>7.5437774582084571E-3</v>
      </c>
      <c r="N129" s="433">
        <f t="shared" si="59"/>
        <v>5.8594004799687198</v>
      </c>
      <c r="O129" s="433"/>
      <c r="P129" s="434">
        <f t="shared" si="60"/>
        <v>196081.77404976712</v>
      </c>
      <c r="Q129" s="429">
        <f t="shared" si="61"/>
        <v>0</v>
      </c>
      <c r="R129" s="313"/>
      <c r="S129" s="313"/>
      <c r="T129" s="313"/>
      <c r="U129" s="313"/>
    </row>
    <row r="130" spans="1:21" x14ac:dyDescent="0.2">
      <c r="A130">
        <f t="shared" si="43"/>
        <v>17197.999999999996</v>
      </c>
      <c r="B130" s="4">
        <f t="shared" si="44"/>
        <v>7777.7546841361554</v>
      </c>
      <c r="D130" s="21">
        <f t="shared" si="56"/>
        <v>5243.292682926829</v>
      </c>
      <c r="E130" s="21"/>
      <c r="F130" s="21"/>
      <c r="G130" s="4">
        <f t="shared" si="57"/>
        <v>376.70833333333337</v>
      </c>
      <c r="H130" s="20">
        <f t="shared" si="62"/>
        <v>53627618.54711879</v>
      </c>
      <c r="I130" s="2">
        <f t="shared" si="49"/>
        <v>53.627618547118793</v>
      </c>
      <c r="J130" s="10">
        <f t="shared" si="54"/>
        <v>1.3985869333897201</v>
      </c>
      <c r="K130" s="4">
        <f t="shared" si="51"/>
        <v>1000.4948713949724</v>
      </c>
      <c r="L130" s="316">
        <f t="shared" si="58"/>
        <v>3.2987921417246621E-4</v>
      </c>
      <c r="M130" s="19">
        <f t="shared" si="55"/>
        <v>7.5430700841311957E-3</v>
      </c>
      <c r="N130" s="433">
        <f t="shared" si="59"/>
        <v>5.8588510485955405</v>
      </c>
      <c r="O130" s="433"/>
      <c r="P130" s="434">
        <f t="shared" si="60"/>
        <v>196063.38761607977</v>
      </c>
      <c r="Q130" s="429">
        <f t="shared" si="61"/>
        <v>0</v>
      </c>
      <c r="R130" s="313"/>
      <c r="S130" s="313"/>
      <c r="T130" s="313"/>
      <c r="U130" s="313"/>
    </row>
    <row r="131" spans="1:21" x14ac:dyDescent="0.2">
      <c r="A131">
        <f t="shared" si="43"/>
        <v>16973</v>
      </c>
      <c r="B131" s="4">
        <f t="shared" si="44"/>
        <v>7806.1902733480601</v>
      </c>
      <c r="D131" s="21">
        <f t="shared" si="56"/>
        <v>5174.6951219512193</v>
      </c>
      <c r="E131" s="21"/>
      <c r="F131" s="21"/>
      <c r="G131" s="4">
        <f t="shared" si="57"/>
        <v>376.70833333333337</v>
      </c>
      <c r="H131" s="20">
        <f t="shared" si="62"/>
        <v>53823681.934734873</v>
      </c>
      <c r="I131" s="2">
        <f t="shared" si="49"/>
        <v>53.823681934734871</v>
      </c>
      <c r="J131" s="10">
        <f t="shared" si="54"/>
        <v>1.4010043472327371</v>
      </c>
      <c r="K131" s="4">
        <f t="shared" si="51"/>
        <v>1000.5886782149167</v>
      </c>
      <c r="L131" s="316">
        <f t="shared" si="58"/>
        <v>3.2987921417246621E-4</v>
      </c>
      <c r="M131" s="19">
        <f t="shared" si="55"/>
        <v>7.5423629090125722E-3</v>
      </c>
      <c r="N131" s="433">
        <f t="shared" si="59"/>
        <v>5.8583017717574526</v>
      </c>
      <c r="O131" s="433"/>
      <c r="P131" s="434">
        <f t="shared" si="60"/>
        <v>196045.00635382874</v>
      </c>
      <c r="Q131" s="429">
        <f t="shared" si="61"/>
        <v>0</v>
      </c>
      <c r="R131" s="313"/>
      <c r="S131" s="313"/>
      <c r="T131" s="313"/>
      <c r="U131" s="313"/>
    </row>
    <row r="132" spans="1:21" x14ac:dyDescent="0.2">
      <c r="A132">
        <f t="shared" si="43"/>
        <v>16748</v>
      </c>
      <c r="B132" s="4">
        <f t="shared" si="44"/>
        <v>7834.6231966771138</v>
      </c>
      <c r="D132" s="21">
        <f t="shared" si="56"/>
        <v>5106.0975609756097</v>
      </c>
      <c r="E132" s="21"/>
      <c r="F132" s="21"/>
      <c r="G132" s="4">
        <f t="shared" si="57"/>
        <v>376.70833333333337</v>
      </c>
      <c r="H132" s="20">
        <f t="shared" si="62"/>
        <v>54019726.941088699</v>
      </c>
      <c r="I132" s="2">
        <f t="shared" si="49"/>
        <v>54.019726941088699</v>
      </c>
      <c r="J132" s="10">
        <f t="shared" si="54"/>
        <v>1.4034245090388189</v>
      </c>
      <c r="K132" s="4">
        <f t="shared" si="51"/>
        <v>1000.6824762403188</v>
      </c>
      <c r="L132" s="316">
        <f t="shared" si="58"/>
        <v>3.2987921417246621E-4</v>
      </c>
      <c r="M132" s="19">
        <f t="shared" si="55"/>
        <v>7.5416559327593363E-3</v>
      </c>
      <c r="N132" s="433">
        <f t="shared" si="59"/>
        <v>5.857752649382026</v>
      </c>
      <c r="O132" s="433"/>
      <c r="P132" s="434">
        <f t="shared" si="60"/>
        <v>196026.63026058985</v>
      </c>
      <c r="Q132" s="429">
        <f t="shared" si="61"/>
        <v>0</v>
      </c>
      <c r="R132" s="313"/>
      <c r="S132" s="313"/>
      <c r="T132" s="313"/>
      <c r="U132" s="313"/>
    </row>
    <row r="133" spans="1:21" x14ac:dyDescent="0.2">
      <c r="A133">
        <f t="shared" si="43"/>
        <v>16523</v>
      </c>
      <c r="B133" s="4">
        <f t="shared" si="44"/>
        <v>7863.0534548729929</v>
      </c>
      <c r="D133" s="21">
        <f t="shared" si="56"/>
        <v>5037.5</v>
      </c>
      <c r="E133" s="21"/>
      <c r="F133" s="21"/>
      <c r="G133" s="4">
        <f t="shared" si="57"/>
        <v>376.70833333333337</v>
      </c>
      <c r="H133" s="20">
        <f t="shared" si="62"/>
        <v>54215753.571349286</v>
      </c>
      <c r="I133" s="2">
        <f t="shared" si="49"/>
        <v>54.215753571349289</v>
      </c>
      <c r="J133" s="10">
        <f t="shared" si="54"/>
        <v>1.4058473742797089</v>
      </c>
      <c r="K133" s="4">
        <f t="shared" si="51"/>
        <v>1000.7762654736517</v>
      </c>
      <c r="L133" s="316">
        <f t="shared" si="58"/>
        <v>3.2987921417246621E-4</v>
      </c>
      <c r="M133" s="19">
        <f t="shared" si="55"/>
        <v>7.5409491552782979E-3</v>
      </c>
      <c r="N133" s="433">
        <f t="shared" si="59"/>
        <v>5.8572036813968795</v>
      </c>
      <c r="O133" s="433"/>
      <c r="P133" s="434">
        <f t="shared" si="60"/>
        <v>196008.2593339408</v>
      </c>
      <c r="Q133" s="429">
        <f t="shared" si="61"/>
        <v>0</v>
      </c>
      <c r="R133" s="313"/>
      <c r="S133" s="313"/>
      <c r="T133" s="313"/>
      <c r="U133" s="313"/>
    </row>
    <row r="134" spans="1:21" x14ac:dyDescent="0.2">
      <c r="A134">
        <f t="shared" si="43"/>
        <v>16297.999999999996</v>
      </c>
      <c r="B134" s="4">
        <f t="shared" si="44"/>
        <v>7891.481048685022</v>
      </c>
      <c r="D134" s="21">
        <f t="shared" si="56"/>
        <v>4968.9024390243894</v>
      </c>
      <c r="E134" s="21"/>
      <c r="F134" s="21"/>
      <c r="G134" s="4">
        <f t="shared" si="57"/>
        <v>376.70833333333337</v>
      </c>
      <c r="H134" s="20">
        <f t="shared" si="62"/>
        <v>54411761.830683224</v>
      </c>
      <c r="I134" s="2">
        <f t="shared" si="49"/>
        <v>54.411761830683226</v>
      </c>
      <c r="J134" s="10">
        <f t="shared" si="54"/>
        <v>1.4082728984521169</v>
      </c>
      <c r="K134" s="4">
        <f t="shared" si="51"/>
        <v>1000.8700459173873</v>
      </c>
      <c r="L134" s="316">
        <f t="shared" si="58"/>
        <v>3.2987921417246621E-4</v>
      </c>
      <c r="M134" s="19">
        <f t="shared" si="55"/>
        <v>7.540242576476331E-3</v>
      </c>
      <c r="N134" s="433">
        <f t="shared" si="59"/>
        <v>5.8566548677296799</v>
      </c>
      <c r="O134" s="433"/>
      <c r="P134" s="434">
        <f t="shared" si="60"/>
        <v>195989.89357146149</v>
      </c>
      <c r="Q134" s="429">
        <f t="shared" si="61"/>
        <v>0</v>
      </c>
      <c r="R134" s="313"/>
      <c r="S134" s="313"/>
      <c r="T134" s="313"/>
      <c r="U134" s="313"/>
    </row>
    <row r="135" spans="1:21" x14ac:dyDescent="0.2">
      <c r="A135">
        <f t="shared" si="43"/>
        <v>16072.999999999996</v>
      </c>
      <c r="B135" s="4">
        <f t="shared" si="44"/>
        <v>7919.9059788621726</v>
      </c>
      <c r="D135" s="21">
        <f t="shared" si="56"/>
        <v>4900.3048780487798</v>
      </c>
      <c r="E135" s="21"/>
      <c r="F135" s="21"/>
      <c r="G135" s="4">
        <f t="shared" si="57"/>
        <v>376.70833333333337</v>
      </c>
      <c r="H135" s="20">
        <f t="shared" si="62"/>
        <v>54607751.724254683</v>
      </c>
      <c r="I135" s="2">
        <f t="shared" si="49"/>
        <v>54.607751724254683</v>
      </c>
      <c r="J135" s="10">
        <f t="shared" si="54"/>
        <v>1.4107010370777</v>
      </c>
      <c r="K135" s="4">
        <f t="shared" si="51"/>
        <v>1000.9638175739966</v>
      </c>
      <c r="L135" s="316">
        <f t="shared" si="58"/>
        <v>3.2987921417246621E-4</v>
      </c>
      <c r="M135" s="19">
        <f t="shared" si="55"/>
        <v>7.5395361962603651E-3</v>
      </c>
      <c r="N135" s="433">
        <f t="shared" si="59"/>
        <v>5.8561062083081366</v>
      </c>
      <c r="O135" s="433"/>
      <c r="P135" s="434">
        <f t="shared" si="60"/>
        <v>195971.53297073219</v>
      </c>
      <c r="Q135" s="429">
        <f t="shared" si="61"/>
        <v>0</v>
      </c>
      <c r="R135" s="313"/>
      <c r="S135" s="313"/>
      <c r="T135" s="313"/>
      <c r="U135" s="313"/>
    </row>
    <row r="136" spans="1:21" x14ac:dyDescent="0.2">
      <c r="A136">
        <f t="shared" si="43"/>
        <v>15848</v>
      </c>
      <c r="B136" s="4">
        <f t="shared" si="44"/>
        <v>7948.3282461530698</v>
      </c>
      <c r="D136" s="21">
        <f t="shared" si="56"/>
        <v>4831.707317073171</v>
      </c>
      <c r="E136" s="21"/>
      <c r="F136" s="21"/>
      <c r="G136" s="4">
        <f t="shared" si="57"/>
        <v>376.70833333333337</v>
      </c>
      <c r="H136" s="20">
        <f t="shared" si="62"/>
        <v>54803723.257225417</v>
      </c>
      <c r="I136" s="2">
        <f t="shared" si="49"/>
        <v>54.803723257225414</v>
      </c>
      <c r="J136" s="10">
        <f t="shared" si="54"/>
        <v>1.4131317457030477</v>
      </c>
      <c r="K136" s="4">
        <f t="shared" si="51"/>
        <v>1001.0575804459492</v>
      </c>
      <c r="L136" s="316">
        <f t="shared" si="58"/>
        <v>3.2987921417246621E-4</v>
      </c>
      <c r="M136" s="19">
        <f t="shared" si="55"/>
        <v>7.5388300145373946E-3</v>
      </c>
      <c r="N136" s="433">
        <f t="shared" si="59"/>
        <v>5.8555577030600112</v>
      </c>
      <c r="O136" s="433"/>
      <c r="P136" s="434">
        <f t="shared" si="60"/>
        <v>195953.17752933569</v>
      </c>
      <c r="Q136" s="429">
        <f t="shared" si="61"/>
        <v>0</v>
      </c>
      <c r="R136" s="313"/>
      <c r="S136" s="313"/>
      <c r="T136" s="313"/>
      <c r="U136" s="313"/>
    </row>
    <row r="137" spans="1:21" x14ac:dyDescent="0.2">
      <c r="A137">
        <f t="shared" si="43"/>
        <v>15623</v>
      </c>
      <c r="B137" s="4">
        <f t="shared" si="44"/>
        <v>7976.7478513059832</v>
      </c>
      <c r="D137" s="21">
        <f t="shared" si="56"/>
        <v>4763.1097560975613</v>
      </c>
      <c r="E137" s="21"/>
      <c r="F137" s="21"/>
      <c r="G137" s="4">
        <f t="shared" si="57"/>
        <v>376.70833333333337</v>
      </c>
      <c r="H137" s="20">
        <f t="shared" si="62"/>
        <v>54999676.434754752</v>
      </c>
      <c r="I137" s="2">
        <f t="shared" si="49"/>
        <v>54.999676434754754</v>
      </c>
      <c r="J137" s="10">
        <f t="shared" si="54"/>
        <v>1.4155649798996606</v>
      </c>
      <c r="K137" s="4">
        <f t="shared" si="51"/>
        <v>1001.1513345357132</v>
      </c>
      <c r="L137" s="316">
        <f t="shared" si="58"/>
        <v>3.2987921417246621E-4</v>
      </c>
      <c r="M137" s="19">
        <f t="shared" si="55"/>
        <v>7.5381240312144774E-3</v>
      </c>
      <c r="N137" s="433">
        <f t="shared" si="59"/>
        <v>5.8550093519131128</v>
      </c>
      <c r="O137" s="433"/>
      <c r="P137" s="434">
        <f t="shared" si="60"/>
        <v>195934.82724485639</v>
      </c>
      <c r="Q137" s="429">
        <f t="shared" si="61"/>
        <v>0</v>
      </c>
      <c r="R137" s="313"/>
      <c r="S137" s="313"/>
      <c r="T137" s="313"/>
      <c r="U137" s="313"/>
    </row>
    <row r="138" spans="1:21" x14ac:dyDescent="0.2">
      <c r="A138">
        <f t="shared" si="43"/>
        <v>15397.999999999998</v>
      </c>
      <c r="B138" s="4">
        <f t="shared" si="44"/>
        <v>8005.1647950688339</v>
      </c>
      <c r="D138" s="21">
        <f t="shared" si="56"/>
        <v>4694.5121951219508</v>
      </c>
      <c r="E138" s="21"/>
      <c r="F138" s="21"/>
      <c r="G138" s="4">
        <f t="shared" si="57"/>
        <v>376.70833333333337</v>
      </c>
      <c r="H138" s="20">
        <f t="shared" si="62"/>
        <v>55195611.261999607</v>
      </c>
      <c r="I138" s="2">
        <f t="shared" si="49"/>
        <v>55.195611261999609</v>
      </c>
      <c r="J138" s="10">
        <f t="shared" si="54"/>
        <v>1.418000695263937</v>
      </c>
      <c r="K138" s="4">
        <f t="shared" si="51"/>
        <v>1001.2450798457562</v>
      </c>
      <c r="L138" s="316">
        <f t="shared" si="58"/>
        <v>3.2987921417246621E-4</v>
      </c>
      <c r="M138" s="19">
        <f t="shared" si="55"/>
        <v>7.5374182461987269E-3</v>
      </c>
      <c r="N138" s="433">
        <f t="shared" si="59"/>
        <v>5.8544611547952963</v>
      </c>
      <c r="O138" s="433"/>
      <c r="P138" s="434">
        <f t="shared" si="60"/>
        <v>195916.48211487982</v>
      </c>
      <c r="Q138" s="429">
        <f t="shared" si="61"/>
        <v>0</v>
      </c>
      <c r="R138" s="313"/>
      <c r="S138" s="313"/>
      <c r="T138" s="313"/>
      <c r="U138" s="313"/>
    </row>
    <row r="139" spans="1:21" x14ac:dyDescent="0.2">
      <c r="A139">
        <f t="shared" si="43"/>
        <v>15172.999999999998</v>
      </c>
      <c r="B139" s="4">
        <f t="shared" si="44"/>
        <v>8033.5790781891938</v>
      </c>
      <c r="D139" s="21">
        <f t="shared" si="56"/>
        <v>4625.9146341463411</v>
      </c>
      <c r="E139" s="21"/>
      <c r="F139" s="21"/>
      <c r="G139" s="4">
        <f t="shared" si="57"/>
        <v>376.70833333333337</v>
      </c>
      <c r="H139" s="20">
        <f t="shared" si="62"/>
        <v>55391527.744114488</v>
      </c>
      <c r="I139" s="2">
        <f t="shared" si="49"/>
        <v>55.391527744114491</v>
      </c>
      <c r="J139" s="10">
        <f t="shared" si="54"/>
        <v>1.4204388474171521</v>
      </c>
      <c r="K139" s="4">
        <f t="shared" si="51"/>
        <v>1001.3388163785447</v>
      </c>
      <c r="L139" s="316">
        <f t="shared" si="58"/>
        <v>3.2987921417246621E-4</v>
      </c>
      <c r="M139" s="19">
        <f t="shared" si="55"/>
        <v>7.5367126593973172E-3</v>
      </c>
      <c r="N139" s="433">
        <f t="shared" si="59"/>
        <v>5.8539131116344603</v>
      </c>
      <c r="O139" s="433"/>
      <c r="P139" s="434">
        <f t="shared" si="60"/>
        <v>195898.14213699292</v>
      </c>
      <c r="Q139" s="429">
        <f t="shared" si="61"/>
        <v>0</v>
      </c>
      <c r="R139" s="313"/>
      <c r="S139" s="313"/>
      <c r="T139" s="313"/>
      <c r="U139" s="313"/>
    </row>
    <row r="140" spans="1:21" x14ac:dyDescent="0.2">
      <c r="A140">
        <f t="shared" ref="A140:A203" si="63">D140*3.28</f>
        <v>14947.999999999998</v>
      </c>
      <c r="B140" s="4">
        <f t="shared" ref="B140:B203" si="64">H140/6895</f>
        <v>8061.9907014142827</v>
      </c>
      <c r="D140" s="21">
        <f t="shared" si="56"/>
        <v>4557.3170731707314</v>
      </c>
      <c r="E140" s="21"/>
      <c r="F140" s="21"/>
      <c r="G140" s="4">
        <f t="shared" si="57"/>
        <v>376.70833333333337</v>
      </c>
      <c r="H140" s="20">
        <f t="shared" si="62"/>
        <v>55587425.886251479</v>
      </c>
      <c r="I140" s="2">
        <f t="shared" ref="I140:I203" si="65">Pi/1000000</f>
        <v>55.587425886251481</v>
      </c>
      <c r="J140" s="10">
        <f t="shared" si="54"/>
        <v>1.4228793920054432</v>
      </c>
      <c r="K140" s="4">
        <f t="shared" ref="K140:K203" si="66">(-0.002516*(T-273)^2-0.1853*(T-273)+1002)*(1+Pi/1000000*(0.00000002*(T-273)^2-0.00000224*(T-273)+0.000508))*(1+Cbrine)</f>
        <v>1001.4325441365435</v>
      </c>
      <c r="L140" s="316">
        <f t="shared" si="58"/>
        <v>3.2987921417246621E-4</v>
      </c>
      <c r="M140" s="19">
        <f t="shared" ref="M140:M203" si="67">mw/rhow</f>
        <v>7.5360072707174883E-3</v>
      </c>
      <c r="N140" s="433">
        <f t="shared" si="59"/>
        <v>5.8533652223585566</v>
      </c>
      <c r="O140" s="433"/>
      <c r="P140" s="434">
        <f t="shared" si="60"/>
        <v>195879.80730878486</v>
      </c>
      <c r="Q140" s="429">
        <f t="shared" si="61"/>
        <v>0</v>
      </c>
      <c r="R140" s="313"/>
      <c r="S140" s="313"/>
      <c r="T140" s="313"/>
      <c r="U140" s="313"/>
    </row>
    <row r="141" spans="1:21" x14ac:dyDescent="0.2">
      <c r="A141">
        <f t="shared" si="63"/>
        <v>14722.999999999998</v>
      </c>
      <c r="B141" s="4">
        <f t="shared" si="64"/>
        <v>8090.3996654909743</v>
      </c>
      <c r="D141" s="21">
        <f t="shared" si="56"/>
        <v>4488.7195121951218</v>
      </c>
      <c r="E141" s="21"/>
      <c r="F141" s="21"/>
      <c r="G141" s="4">
        <f t="shared" si="57"/>
        <v>376.70833333333337</v>
      </c>
      <c r="H141" s="20">
        <f t="shared" si="62"/>
        <v>55783305.693560265</v>
      </c>
      <c r="I141" s="2">
        <f t="shared" si="65"/>
        <v>55.783305693560266</v>
      </c>
      <c r="J141" s="10">
        <f t="shared" si="54"/>
        <v>1.4253222846997899</v>
      </c>
      <c r="K141" s="4">
        <f t="shared" si="66"/>
        <v>1001.5262631222163</v>
      </c>
      <c r="L141" s="316">
        <f t="shared" si="58"/>
        <v>3.2987921417246621E-4</v>
      </c>
      <c r="M141" s="19">
        <f t="shared" si="67"/>
        <v>7.5353020800665391E-3</v>
      </c>
      <c r="N141" s="433">
        <f t="shared" si="59"/>
        <v>5.8528174868955833</v>
      </c>
      <c r="O141" s="433"/>
      <c r="P141" s="434">
        <f t="shared" si="60"/>
        <v>195861.47762784633</v>
      </c>
      <c r="Q141" s="429">
        <f t="shared" si="61"/>
        <v>0</v>
      </c>
      <c r="R141" s="313"/>
      <c r="S141" s="313"/>
      <c r="T141" s="313"/>
      <c r="U141" s="313"/>
    </row>
    <row r="142" spans="1:21" x14ac:dyDescent="0.2">
      <c r="A142">
        <f t="shared" si="63"/>
        <v>14497.999999999998</v>
      </c>
      <c r="B142" s="4">
        <f t="shared" si="64"/>
        <v>8118.8059711657879</v>
      </c>
      <c r="D142" s="21">
        <f t="shared" si="56"/>
        <v>4420.1219512195121</v>
      </c>
      <c r="E142" s="21"/>
      <c r="F142" s="21"/>
      <c r="G142" s="4">
        <f t="shared" si="57"/>
        <v>376.70833333333337</v>
      </c>
      <c r="H142" s="20">
        <f t="shared" si="62"/>
        <v>55979167.171188109</v>
      </c>
      <c r="I142" s="2">
        <f t="shared" si="65"/>
        <v>55.979167171188109</v>
      </c>
      <c r="J142" s="10">
        <f t="shared" si="54"/>
        <v>1.4277674811959984</v>
      </c>
      <c r="K142" s="4">
        <f t="shared" si="66"/>
        <v>1001.6199733380258</v>
      </c>
      <c r="L142" s="316">
        <f t="shared" si="58"/>
        <v>3.2987921417246621E-4</v>
      </c>
      <c r="M142" s="19">
        <f t="shared" si="67"/>
        <v>7.5345970873518268E-3</v>
      </c>
      <c r="N142" s="433">
        <f t="shared" si="59"/>
        <v>5.852269905173582</v>
      </c>
      <c r="O142" s="433"/>
      <c r="P142" s="434">
        <f t="shared" si="60"/>
        <v>195843.15309176891</v>
      </c>
      <c r="Q142" s="429">
        <f t="shared" si="61"/>
        <v>0</v>
      </c>
      <c r="R142" s="313"/>
      <c r="S142" s="313"/>
      <c r="T142" s="313"/>
      <c r="U142" s="313"/>
    </row>
    <row r="143" spans="1:21" x14ac:dyDescent="0.2">
      <c r="A143">
        <f t="shared" si="63"/>
        <v>14272.999999999998</v>
      </c>
      <c r="B143" s="4">
        <f t="shared" si="64"/>
        <v>8147.2096191848987</v>
      </c>
      <c r="D143" s="21">
        <f t="shared" si="56"/>
        <v>4351.5243902439024</v>
      </c>
      <c r="E143" s="21"/>
      <c r="F143" s="21"/>
      <c r="G143" s="4">
        <f t="shared" si="57"/>
        <v>376.70833333333337</v>
      </c>
      <c r="H143" s="20">
        <f t="shared" si="62"/>
        <v>56175010.324279875</v>
      </c>
      <c r="I143" s="2">
        <f t="shared" si="65"/>
        <v>56.175010324279874</v>
      </c>
      <c r="J143" s="10">
        <f t="shared" si="54"/>
        <v>1.4302149372146831</v>
      </c>
      <c r="K143" s="4">
        <f t="shared" si="66"/>
        <v>1001.7136747864339</v>
      </c>
      <c r="L143" s="316">
        <f t="shared" si="58"/>
        <v>3.2987921417246621E-4</v>
      </c>
      <c r="M143" s="19">
        <f t="shared" si="67"/>
        <v>7.5338922924807709E-3</v>
      </c>
      <c r="N143" s="433">
        <f t="shared" si="59"/>
        <v>5.851722477120644</v>
      </c>
      <c r="O143" s="433"/>
      <c r="P143" s="434">
        <f t="shared" si="60"/>
        <v>195824.83369814625</v>
      </c>
      <c r="Q143" s="429">
        <f t="shared" si="61"/>
        <v>0</v>
      </c>
      <c r="R143" s="313"/>
      <c r="S143" s="313"/>
      <c r="T143" s="313"/>
      <c r="U143" s="313"/>
    </row>
    <row r="144" spans="1:21" x14ac:dyDescent="0.2">
      <c r="A144">
        <f t="shared" si="63"/>
        <v>14048</v>
      </c>
      <c r="B144" s="4">
        <f t="shared" si="64"/>
        <v>8175.6106102941294</v>
      </c>
      <c r="D144" s="21">
        <f t="shared" si="56"/>
        <v>4282.9268292682927</v>
      </c>
      <c r="E144" s="21"/>
      <c r="F144" s="21"/>
      <c r="G144" s="4">
        <f t="shared" si="57"/>
        <v>376.70833333333337</v>
      </c>
      <c r="H144" s="20">
        <f t="shared" si="62"/>
        <v>56370835.157978021</v>
      </c>
      <c r="I144" s="2">
        <f t="shared" si="65"/>
        <v>56.370835157978021</v>
      </c>
      <c r="J144" s="10">
        <f t="shared" ref="J144:J175" si="68">1+BB*H144+CCC*H144^2+DD*H144^3</f>
        <v>1.4326646085012502</v>
      </c>
      <c r="K144" s="4">
        <f t="shared" si="66"/>
        <v>1001.8073674699007</v>
      </c>
      <c r="L144" s="316">
        <f t="shared" si="58"/>
        <v>3.2987921417246621E-4</v>
      </c>
      <c r="M144" s="19">
        <f t="shared" si="67"/>
        <v>7.5331876953608524E-3</v>
      </c>
      <c r="N144" s="433">
        <f t="shared" si="59"/>
        <v>5.8511752026649075</v>
      </c>
      <c r="O144" s="433"/>
      <c r="P144" s="434">
        <f t="shared" si="60"/>
        <v>195806.51944457385</v>
      </c>
      <c r="Q144" s="429">
        <f t="shared" si="61"/>
        <v>0</v>
      </c>
      <c r="R144" s="313"/>
      <c r="S144" s="313"/>
      <c r="T144" s="313"/>
      <c r="U144" s="313"/>
    </row>
    <row r="145" spans="1:21" x14ac:dyDescent="0.2">
      <c r="A145">
        <f t="shared" si="63"/>
        <v>13823</v>
      </c>
      <c r="B145" s="4">
        <f t="shared" si="64"/>
        <v>8204.0089452389548</v>
      </c>
      <c r="D145" s="21">
        <f t="shared" si="56"/>
        <v>4214.3292682926831</v>
      </c>
      <c r="E145" s="21"/>
      <c r="F145" s="21"/>
      <c r="G145" s="4">
        <f t="shared" si="57"/>
        <v>376.70833333333337</v>
      </c>
      <c r="H145" s="20">
        <f t="shared" si="62"/>
        <v>56566641.677422598</v>
      </c>
      <c r="I145" s="2">
        <f t="shared" si="65"/>
        <v>56.566641677422595</v>
      </c>
      <c r="J145" s="10">
        <f t="shared" si="68"/>
        <v>1.4351164508258787</v>
      </c>
      <c r="K145" s="4">
        <f t="shared" si="66"/>
        <v>1001.9010513908858</v>
      </c>
      <c r="L145" s="316">
        <f t="shared" si="58"/>
        <v>3.2987921417246621E-4</v>
      </c>
      <c r="M145" s="19">
        <f t="shared" si="67"/>
        <v>7.5324832958996099E-3</v>
      </c>
      <c r="N145" s="433">
        <f t="shared" ref="N145:N176" si="69">Qw/(0.25*PI()*dti^2)</f>
        <v>5.8506280817345573</v>
      </c>
      <c r="O145" s="433"/>
      <c r="P145" s="434">
        <f t="shared" ref="P145:P176" si="70">0.1*(lt/N)*rhow^0.8*va^1.8*muw^0.2/dti^1.2*IF(D145&lt;0,1.2,1)*(1-Kfr)</f>
        <v>195788.21032864807</v>
      </c>
      <c r="Q145" s="429">
        <f t="shared" ref="Q145:Q176" si="71">IF(AND(0&lt;D145, D145&lt;=TVD),rhow*g*lt/N,0)</f>
        <v>0</v>
      </c>
      <c r="R145" s="313"/>
      <c r="S145" s="313"/>
      <c r="T145" s="313"/>
      <c r="U145" s="313"/>
    </row>
    <row r="146" spans="1:21" x14ac:dyDescent="0.2">
      <c r="A146">
        <f t="shared" si="63"/>
        <v>13598</v>
      </c>
      <c r="B146" s="4">
        <f t="shared" si="64"/>
        <v>8232.4046247645019</v>
      </c>
      <c r="D146" s="21">
        <f t="shared" si="56"/>
        <v>4145.7317073170734</v>
      </c>
      <c r="E146" s="21"/>
      <c r="F146" s="21"/>
      <c r="G146" s="4">
        <f t="shared" si="57"/>
        <v>376.70833333333337</v>
      </c>
      <c r="H146" s="20">
        <f t="shared" ref="H146:H177" si="72">H145-Q145+P145</f>
        <v>56762429.887751244</v>
      </c>
      <c r="I146" s="2">
        <f t="shared" si="65"/>
        <v>56.762429887751246</v>
      </c>
      <c r="J146" s="10">
        <f t="shared" si="68"/>
        <v>1.4375704199835051</v>
      </c>
      <c r="K146" s="4">
        <f t="shared" si="66"/>
        <v>1001.9947265518471</v>
      </c>
      <c r="L146" s="316">
        <f t="shared" si="58"/>
        <v>3.2987921417246621E-4</v>
      </c>
      <c r="M146" s="19">
        <f t="shared" si="67"/>
        <v>7.5317790940046467E-3</v>
      </c>
      <c r="N146" s="433">
        <f t="shared" si="69"/>
        <v>5.8500811142578257</v>
      </c>
      <c r="O146" s="433"/>
      <c r="P146" s="434">
        <f t="shared" si="70"/>
        <v>195769.90634796763</v>
      </c>
      <c r="Q146" s="429">
        <f t="shared" si="71"/>
        <v>0</v>
      </c>
      <c r="R146" s="313"/>
      <c r="S146" s="313"/>
      <c r="T146" s="313"/>
      <c r="U146" s="313"/>
    </row>
    <row r="147" spans="1:21" x14ac:dyDescent="0.2">
      <c r="A147">
        <f t="shared" si="63"/>
        <v>13373</v>
      </c>
      <c r="B147" s="4">
        <f t="shared" si="64"/>
        <v>8260.7976496155497</v>
      </c>
      <c r="D147" s="21">
        <f t="shared" si="56"/>
        <v>4077.1341463414637</v>
      </c>
      <c r="E147" s="21"/>
      <c r="F147" s="21"/>
      <c r="G147" s="4">
        <f t="shared" si="57"/>
        <v>376.70833333333337</v>
      </c>
      <c r="H147" s="20">
        <f t="shared" si="72"/>
        <v>56958199.794099212</v>
      </c>
      <c r="I147" s="2">
        <f t="shared" si="65"/>
        <v>56.958199794099208</v>
      </c>
      <c r="J147" s="10">
        <f t="shared" si="68"/>
        <v>1.4400264717938045</v>
      </c>
      <c r="K147" s="4">
        <f t="shared" si="66"/>
        <v>1002.0883929552411</v>
      </c>
      <c r="L147" s="316">
        <f t="shared" si="58"/>
        <v>3.2987921417246621E-4</v>
      </c>
      <c r="M147" s="19">
        <f t="shared" si="67"/>
        <v>7.5310750895836252E-3</v>
      </c>
      <c r="N147" s="433">
        <f t="shared" si="69"/>
        <v>5.8495343001629925</v>
      </c>
      <c r="O147" s="433"/>
      <c r="P147" s="434">
        <f t="shared" si="70"/>
        <v>195751.60750013206</v>
      </c>
      <c r="Q147" s="429">
        <f t="shared" si="71"/>
        <v>0</v>
      </c>
      <c r="R147" s="313"/>
      <c r="S147" s="313"/>
      <c r="T147" s="313"/>
      <c r="U147" s="313"/>
    </row>
    <row r="148" spans="1:21" x14ac:dyDescent="0.2">
      <c r="A148">
        <f t="shared" si="63"/>
        <v>13147.999999999998</v>
      </c>
      <c r="B148" s="4">
        <f t="shared" si="64"/>
        <v>8289.1880205365251</v>
      </c>
      <c r="D148" s="21">
        <f t="shared" si="56"/>
        <v>4008.5365853658532</v>
      </c>
      <c r="E148" s="21"/>
      <c r="F148" s="21"/>
      <c r="G148" s="4">
        <f t="shared" si="57"/>
        <v>376.70833333333337</v>
      </c>
      <c r="H148" s="20">
        <f t="shared" si="72"/>
        <v>57153951.40159934</v>
      </c>
      <c r="I148" s="2">
        <f t="shared" si="65"/>
        <v>57.153951401599343</v>
      </c>
      <c r="J148" s="10">
        <f t="shared" si="68"/>
        <v>1.4424845621011737</v>
      </c>
      <c r="K148" s="4">
        <f t="shared" si="66"/>
        <v>1002.1820506035245</v>
      </c>
      <c r="L148" s="316">
        <f t="shared" si="58"/>
        <v>3.2987921417246621E-4</v>
      </c>
      <c r="M148" s="19">
        <f t="shared" si="67"/>
        <v>7.5303712825442641E-3</v>
      </c>
      <c r="N148" s="433">
        <f t="shared" si="69"/>
        <v>5.8489876393783806</v>
      </c>
      <c r="O148" s="433"/>
      <c r="P148" s="434">
        <f t="shared" si="70"/>
        <v>195733.31378274292</v>
      </c>
      <c r="Q148" s="429">
        <f t="shared" si="71"/>
        <v>0</v>
      </c>
      <c r="R148" s="313"/>
      <c r="S148" s="313"/>
      <c r="T148" s="313"/>
      <c r="U148" s="313"/>
    </row>
    <row r="149" spans="1:21" x14ac:dyDescent="0.2">
      <c r="A149">
        <f t="shared" si="63"/>
        <v>12922.999999999998</v>
      </c>
      <c r="B149" s="4">
        <f t="shared" si="64"/>
        <v>8317.5757382715128</v>
      </c>
      <c r="D149" s="21">
        <f t="shared" si="56"/>
        <v>3939.9390243902435</v>
      </c>
      <c r="E149" s="21"/>
      <c r="F149" s="21"/>
      <c r="G149" s="4">
        <f t="shared" si="57"/>
        <v>376.70833333333337</v>
      </c>
      <c r="H149" s="20">
        <f t="shared" si="72"/>
        <v>57349684.715382084</v>
      </c>
      <c r="I149" s="2">
        <f t="shared" si="65"/>
        <v>57.349684715382082</v>
      </c>
      <c r="J149" s="10">
        <f t="shared" si="68"/>
        <v>1.4449446467747142</v>
      </c>
      <c r="K149" s="4">
        <f t="shared" si="66"/>
        <v>1002.2756994991515</v>
      </c>
      <c r="L149" s="316">
        <f t="shared" si="58"/>
        <v>3.2987921417246621E-4</v>
      </c>
      <c r="M149" s="19">
        <f t="shared" si="67"/>
        <v>7.5296676727943483E-3</v>
      </c>
      <c r="N149" s="433">
        <f t="shared" si="69"/>
        <v>5.8484411318323657</v>
      </c>
      <c r="O149" s="433"/>
      <c r="P149" s="434">
        <f t="shared" si="70"/>
        <v>195715.02519340333</v>
      </c>
      <c r="Q149" s="429">
        <f t="shared" si="71"/>
        <v>0</v>
      </c>
      <c r="R149" s="313"/>
      <c r="S149" s="313"/>
      <c r="T149" s="313"/>
      <c r="U149" s="313"/>
    </row>
    <row r="150" spans="1:21" x14ac:dyDescent="0.2">
      <c r="A150">
        <f t="shared" si="63"/>
        <v>12697.999999999998</v>
      </c>
      <c r="B150" s="4">
        <f t="shared" si="64"/>
        <v>8345.9608035642468</v>
      </c>
      <c r="D150" s="21">
        <f t="shared" si="56"/>
        <v>3871.3414634146338</v>
      </c>
      <c r="E150" s="21"/>
      <c r="F150" s="21"/>
      <c r="G150" s="4">
        <f t="shared" si="57"/>
        <v>376.70833333333337</v>
      </c>
      <c r="H150" s="20">
        <f t="shared" si="72"/>
        <v>57545399.740575485</v>
      </c>
      <c r="I150" s="2">
        <f t="shared" si="65"/>
        <v>57.545399740575483</v>
      </c>
      <c r="J150" s="10">
        <f t="shared" si="68"/>
        <v>1.4474066817082147</v>
      </c>
      <c r="K150" s="4">
        <f t="shared" si="66"/>
        <v>1002.3693396445756</v>
      </c>
      <c r="L150" s="316">
        <f t="shared" si="58"/>
        <v>3.2987921417246621E-4</v>
      </c>
      <c r="M150" s="19">
        <f t="shared" si="67"/>
        <v>7.5289642602417205E-3</v>
      </c>
      <c r="N150" s="433">
        <f t="shared" si="69"/>
        <v>5.8478947774533676</v>
      </c>
      <c r="O150" s="433"/>
      <c r="P150" s="434">
        <f t="shared" si="70"/>
        <v>195696.74172971793</v>
      </c>
      <c r="Q150" s="429">
        <f t="shared" si="71"/>
        <v>0</v>
      </c>
      <c r="R150" s="313"/>
      <c r="S150" s="313"/>
      <c r="T150" s="313"/>
      <c r="U150" s="313"/>
    </row>
    <row r="151" spans="1:21" x14ac:dyDescent="0.2">
      <c r="A151">
        <f t="shared" si="63"/>
        <v>12472.999999999998</v>
      </c>
      <c r="B151" s="4">
        <f t="shared" si="64"/>
        <v>8374.3432171581153</v>
      </c>
      <c r="D151" s="21">
        <f t="shared" si="56"/>
        <v>3802.7439024390242</v>
      </c>
      <c r="E151" s="21"/>
      <c r="F151" s="21"/>
      <c r="G151" s="4">
        <f t="shared" si="57"/>
        <v>376.70833333333337</v>
      </c>
      <c r="H151" s="20">
        <f t="shared" si="72"/>
        <v>57741096.482305206</v>
      </c>
      <c r="I151" s="2">
        <f t="shared" si="65"/>
        <v>57.74109648230521</v>
      </c>
      <c r="J151" s="10">
        <f t="shared" si="68"/>
        <v>1.4498706228201332</v>
      </c>
      <c r="K151" s="4">
        <f t="shared" si="66"/>
        <v>1002.4629710422495</v>
      </c>
      <c r="L151" s="316">
        <f t="shared" si="58"/>
        <v>3.2987921417246621E-4</v>
      </c>
      <c r="M151" s="19">
        <f t="shared" si="67"/>
        <v>7.5282610447942808E-3</v>
      </c>
      <c r="N151" s="433">
        <f t="shared" si="69"/>
        <v>5.8473485761698489</v>
      </c>
      <c r="O151" s="433"/>
      <c r="P151" s="434">
        <f t="shared" si="70"/>
        <v>195678.46338929271</v>
      </c>
      <c r="Q151" s="429">
        <f t="shared" si="71"/>
        <v>0</v>
      </c>
      <c r="R151" s="313"/>
      <c r="S151" s="313"/>
      <c r="T151" s="313"/>
      <c r="U151" s="313"/>
    </row>
    <row r="152" spans="1:21" x14ac:dyDescent="0.2">
      <c r="A152">
        <f t="shared" si="63"/>
        <v>12247.999999999998</v>
      </c>
      <c r="B152" s="4">
        <f t="shared" si="64"/>
        <v>8402.7229797961572</v>
      </c>
      <c r="D152" s="21">
        <f t="shared" si="56"/>
        <v>3734.1463414634145</v>
      </c>
      <c r="E152" s="21"/>
      <c r="F152" s="21"/>
      <c r="G152" s="4">
        <f t="shared" si="57"/>
        <v>376.70833333333337</v>
      </c>
      <c r="H152" s="20">
        <f t="shared" si="72"/>
        <v>57936774.945694499</v>
      </c>
      <c r="I152" s="2">
        <f t="shared" si="65"/>
        <v>57.936774945694502</v>
      </c>
      <c r="J152" s="10">
        <f t="shared" si="68"/>
        <v>1.4523364260535816</v>
      </c>
      <c r="K152" s="4">
        <f t="shared" si="66"/>
        <v>1002.5565936946241</v>
      </c>
      <c r="L152" s="316">
        <f t="shared" si="58"/>
        <v>3.2987921417246621E-4</v>
      </c>
      <c r="M152" s="19">
        <f t="shared" si="67"/>
        <v>7.5275580263599951E-3</v>
      </c>
      <c r="N152" s="433">
        <f t="shared" si="69"/>
        <v>5.8468025279103264</v>
      </c>
      <c r="O152" s="433"/>
      <c r="P152" s="434">
        <f t="shared" si="70"/>
        <v>195660.19016973561</v>
      </c>
      <c r="Q152" s="429">
        <f t="shared" si="71"/>
        <v>0</v>
      </c>
      <c r="R152" s="313"/>
      <c r="S152" s="313"/>
      <c r="T152" s="313"/>
      <c r="U152" s="313"/>
    </row>
    <row r="153" spans="1:21" x14ac:dyDescent="0.2">
      <c r="A153">
        <f t="shared" si="63"/>
        <v>12022.999999999998</v>
      </c>
      <c r="B153" s="4">
        <f t="shared" si="64"/>
        <v>8431.1000922210642</v>
      </c>
      <c r="D153" s="21">
        <f t="shared" si="56"/>
        <v>3665.5487804878044</v>
      </c>
      <c r="E153" s="21"/>
      <c r="F153" s="21"/>
      <c r="G153" s="4">
        <f t="shared" si="57"/>
        <v>376.70833333333337</v>
      </c>
      <c r="H153" s="20">
        <f t="shared" si="72"/>
        <v>58132435.135864235</v>
      </c>
      <c r="I153" s="2">
        <f t="shared" si="65"/>
        <v>58.132435135864235</v>
      </c>
      <c r="J153" s="10">
        <f t="shared" si="68"/>
        <v>1.4548040473763055</v>
      </c>
      <c r="K153" s="4">
        <f t="shared" si="66"/>
        <v>1002.6502076041493</v>
      </c>
      <c r="L153" s="316">
        <f t="shared" si="58"/>
        <v>3.2987921417246621E-4</v>
      </c>
      <c r="M153" s="19">
        <f t="shared" si="67"/>
        <v>7.5268552048468884E-3</v>
      </c>
      <c r="N153" s="433">
        <f t="shared" si="69"/>
        <v>5.8462566326033611</v>
      </c>
      <c r="O153" s="433"/>
      <c r="P153" s="434">
        <f t="shared" si="70"/>
        <v>195641.92206865581</v>
      </c>
      <c r="Q153" s="429">
        <f t="shared" si="71"/>
        <v>0</v>
      </c>
      <c r="R153" s="313"/>
      <c r="S153" s="313"/>
      <c r="T153" s="313"/>
      <c r="U153" s="313"/>
    </row>
    <row r="154" spans="1:21" x14ac:dyDescent="0.2">
      <c r="A154">
        <f t="shared" si="63"/>
        <v>11798</v>
      </c>
      <c r="B154" s="4">
        <f t="shared" si="64"/>
        <v>8459.4745551751839</v>
      </c>
      <c r="D154" s="21">
        <f t="shared" si="56"/>
        <v>3596.9512195121952</v>
      </c>
      <c r="E154" s="21"/>
      <c r="F154" s="21"/>
      <c r="G154" s="4">
        <f t="shared" si="57"/>
        <v>376.70833333333337</v>
      </c>
      <c r="H154" s="20">
        <f t="shared" si="72"/>
        <v>58328077.057932891</v>
      </c>
      <c r="I154" s="2">
        <f t="shared" si="65"/>
        <v>58.328077057932894</v>
      </c>
      <c r="J154" s="10">
        <f t="shared" si="68"/>
        <v>1.4572734427806702</v>
      </c>
      <c r="K154" s="4">
        <f t="shared" si="66"/>
        <v>1002.7438127732746</v>
      </c>
      <c r="L154" s="316">
        <f t="shared" si="58"/>
        <v>3.2987921417246621E-4</v>
      </c>
      <c r="M154" s="19">
        <f t="shared" si="67"/>
        <v>7.5261525801630386E-3</v>
      </c>
      <c r="N154" s="433">
        <f t="shared" si="69"/>
        <v>5.8457108901775543</v>
      </c>
      <c r="O154" s="433"/>
      <c r="P154" s="434">
        <f t="shared" si="70"/>
        <v>195623.65908366378</v>
      </c>
      <c r="Q154" s="429">
        <f t="shared" si="71"/>
        <v>0</v>
      </c>
      <c r="R154" s="313"/>
      <c r="S154" s="313"/>
      <c r="T154" s="313"/>
      <c r="U154" s="313"/>
    </row>
    <row r="155" spans="1:21" x14ac:dyDescent="0.2">
      <c r="A155">
        <f t="shared" si="63"/>
        <v>11573</v>
      </c>
      <c r="B155" s="4">
        <f t="shared" si="64"/>
        <v>8487.846369400515</v>
      </c>
      <c r="D155" s="21">
        <f t="shared" si="56"/>
        <v>3528.3536585365855</v>
      </c>
      <c r="E155" s="21"/>
      <c r="F155" s="21"/>
      <c r="G155" s="4">
        <f t="shared" si="57"/>
        <v>376.70833333333337</v>
      </c>
      <c r="H155" s="20">
        <f t="shared" si="72"/>
        <v>58523700.717016555</v>
      </c>
      <c r="I155" s="2">
        <f t="shared" si="65"/>
        <v>58.523700717016553</v>
      </c>
      <c r="J155" s="10">
        <f t="shared" si="68"/>
        <v>1.4597445682836403</v>
      </c>
      <c r="K155" s="4">
        <f t="shared" si="66"/>
        <v>1002.8374092044475</v>
      </c>
      <c r="L155" s="316">
        <f t="shared" si="58"/>
        <v>3.2987921417246621E-4</v>
      </c>
      <c r="M155" s="19">
        <f t="shared" si="67"/>
        <v>7.5254501522165939E-3</v>
      </c>
      <c r="N155" s="433">
        <f t="shared" si="69"/>
        <v>5.8451653005615638</v>
      </c>
      <c r="O155" s="433"/>
      <c r="P155" s="434">
        <f t="shared" si="70"/>
        <v>195605.40121237273</v>
      </c>
      <c r="Q155" s="429">
        <f t="shared" si="71"/>
        <v>0</v>
      </c>
      <c r="R155" s="313"/>
      <c r="S155" s="313"/>
      <c r="T155" s="313"/>
      <c r="U155" s="313"/>
    </row>
    <row r="156" spans="1:21" x14ac:dyDescent="0.2">
      <c r="A156">
        <f t="shared" si="63"/>
        <v>11348</v>
      </c>
      <c r="B156" s="4">
        <f t="shared" si="64"/>
        <v>8516.2155356387138</v>
      </c>
      <c r="D156" s="21">
        <f t="shared" si="56"/>
        <v>3459.7560975609758</v>
      </c>
      <c r="E156" s="21"/>
      <c r="F156" s="21"/>
      <c r="G156" s="4">
        <f t="shared" si="57"/>
        <v>376.70833333333337</v>
      </c>
      <c r="H156" s="20">
        <f t="shared" si="72"/>
        <v>58719306.118228927</v>
      </c>
      <c r="I156" s="2">
        <f t="shared" si="65"/>
        <v>58.719306118228928</v>
      </c>
      <c r="J156" s="10">
        <f t="shared" si="68"/>
        <v>1.462217379926765</v>
      </c>
      <c r="K156" s="4">
        <f t="shared" si="66"/>
        <v>1002.9309969001146</v>
      </c>
      <c r="L156" s="316">
        <f t="shared" si="58"/>
        <v>3.2987921417246621E-4</v>
      </c>
      <c r="M156" s="19">
        <f t="shared" si="67"/>
        <v>7.524747920915756E-3</v>
      </c>
      <c r="N156" s="433">
        <f t="shared" si="69"/>
        <v>5.8446198636840876</v>
      </c>
      <c r="O156" s="433"/>
      <c r="P156" s="434">
        <f t="shared" si="70"/>
        <v>195587.1484523961</v>
      </c>
      <c r="Q156" s="429">
        <f t="shared" si="71"/>
        <v>0</v>
      </c>
      <c r="R156" s="313"/>
      <c r="S156" s="313"/>
      <c r="T156" s="313"/>
      <c r="U156" s="313"/>
    </row>
    <row r="157" spans="1:21" x14ac:dyDescent="0.2">
      <c r="A157">
        <f t="shared" si="63"/>
        <v>11122.999999999998</v>
      </c>
      <c r="B157" s="4">
        <f t="shared" si="64"/>
        <v>8544.5820546310842</v>
      </c>
      <c r="D157" s="21">
        <f t="shared" si="56"/>
        <v>3391.1585365853657</v>
      </c>
      <c r="E157" s="21"/>
      <c r="F157" s="21"/>
      <c r="G157" s="4">
        <f t="shared" si="57"/>
        <v>376.70833333333337</v>
      </c>
      <c r="H157" s="20">
        <f t="shared" si="72"/>
        <v>58914893.266681321</v>
      </c>
      <c r="I157" s="2">
        <f t="shared" si="65"/>
        <v>58.914893266681318</v>
      </c>
      <c r="J157" s="10">
        <f t="shared" si="68"/>
        <v>1.4646918337761605</v>
      </c>
      <c r="K157" s="4">
        <f t="shared" si="66"/>
        <v>1003.0245758627213</v>
      </c>
      <c r="L157" s="316">
        <f t="shared" si="58"/>
        <v>3.2987921417246621E-4</v>
      </c>
      <c r="M157" s="19">
        <f t="shared" si="67"/>
        <v>7.5240458861687903E-3</v>
      </c>
      <c r="N157" s="433">
        <f t="shared" si="69"/>
        <v>5.8440745794738742</v>
      </c>
      <c r="O157" s="433"/>
      <c r="P157" s="434">
        <f t="shared" si="70"/>
        <v>195568.90080134969</v>
      </c>
      <c r="Q157" s="429">
        <f t="shared" si="71"/>
        <v>0</v>
      </c>
      <c r="R157" s="313"/>
      <c r="S157" s="313"/>
      <c r="T157" s="313"/>
      <c r="U157" s="313"/>
    </row>
    <row r="158" spans="1:21" x14ac:dyDescent="0.2">
      <c r="A158">
        <f t="shared" si="63"/>
        <v>10898</v>
      </c>
      <c r="B158" s="4">
        <f t="shared" si="64"/>
        <v>8572.9459271185897</v>
      </c>
      <c r="D158" s="21">
        <f t="shared" si="56"/>
        <v>3322.560975609756</v>
      </c>
      <c r="E158" s="21"/>
      <c r="F158" s="21"/>
      <c r="G158" s="4">
        <f t="shared" si="57"/>
        <v>375.37029556233063</v>
      </c>
      <c r="H158" s="20">
        <f t="shared" si="72"/>
        <v>59110462.167482674</v>
      </c>
      <c r="I158" s="2">
        <f t="shared" si="65"/>
        <v>59.110462167482673</v>
      </c>
      <c r="J158" s="10">
        <f t="shared" si="68"/>
        <v>1.4671678859224915</v>
      </c>
      <c r="K158" s="4">
        <f t="shared" si="66"/>
        <v>1003.96133390669</v>
      </c>
      <c r="L158" s="316">
        <f t="shared" si="58"/>
        <v>3.3511541557822486E-4</v>
      </c>
      <c r="M158" s="19">
        <f t="shared" si="67"/>
        <v>7.5170254858117052E-3</v>
      </c>
      <c r="N158" s="433">
        <f t="shared" si="69"/>
        <v>5.8386216962930328</v>
      </c>
      <c r="O158" s="433"/>
      <c r="P158" s="434">
        <f t="shared" si="70"/>
        <v>196002.79885773573</v>
      </c>
      <c r="Q158" s="429">
        <f t="shared" si="71"/>
        <v>674919.12843422312</v>
      </c>
      <c r="R158" s="313"/>
      <c r="S158" s="313"/>
      <c r="T158" s="313"/>
      <c r="U158" s="313"/>
    </row>
    <row r="159" spans="1:21" x14ac:dyDescent="0.2">
      <c r="A159">
        <f t="shared" si="63"/>
        <v>10673</v>
      </c>
      <c r="B159" s="4">
        <f t="shared" si="64"/>
        <v>8503.4874311684089</v>
      </c>
      <c r="D159" s="21">
        <f t="shared" si="56"/>
        <v>3253.9634146341464</v>
      </c>
      <c r="E159" s="21"/>
      <c r="F159" s="21"/>
      <c r="G159" s="4">
        <f t="shared" si="57"/>
        <v>373.80731919037942</v>
      </c>
      <c r="H159" s="20">
        <f t="shared" si="72"/>
        <v>58631545.837906182</v>
      </c>
      <c r="I159" s="2">
        <f t="shared" si="65"/>
        <v>58.631545837906181</v>
      </c>
      <c r="J159" s="10">
        <f t="shared" si="68"/>
        <v>1.4611076944684918</v>
      </c>
      <c r="K159" s="4">
        <f t="shared" si="66"/>
        <v>1004.7120615525747</v>
      </c>
      <c r="L159" s="316">
        <f t="shared" si="58"/>
        <v>3.413615382743275E-4</v>
      </c>
      <c r="M159" s="19">
        <f t="shared" si="67"/>
        <v>7.5114087135413508E-3</v>
      </c>
      <c r="N159" s="433">
        <f t="shared" si="69"/>
        <v>5.8342590386829549</v>
      </c>
      <c r="O159" s="433"/>
      <c r="P159" s="434">
        <f t="shared" si="70"/>
        <v>196581.06340867488</v>
      </c>
      <c r="Q159" s="429">
        <f t="shared" si="71"/>
        <v>675423.80967177672</v>
      </c>
      <c r="R159" s="313"/>
      <c r="S159" s="313"/>
      <c r="T159" s="313"/>
      <c r="U159" s="313"/>
    </row>
    <row r="160" spans="1:21" x14ac:dyDescent="0.2">
      <c r="A160">
        <f t="shared" si="63"/>
        <v>10447.999999999998</v>
      </c>
      <c r="B160" s="4">
        <f t="shared" si="64"/>
        <v>8434.0396071998657</v>
      </c>
      <c r="D160" s="21">
        <f t="shared" si="56"/>
        <v>3185.3658536585363</v>
      </c>
      <c r="E160" s="21"/>
      <c r="F160" s="21"/>
      <c r="G160" s="4">
        <f t="shared" si="57"/>
        <v>372.24434281842821</v>
      </c>
      <c r="H160" s="20">
        <f t="shared" si="72"/>
        <v>58152703.09164308</v>
      </c>
      <c r="I160" s="2">
        <f t="shared" si="65"/>
        <v>58.152703091643083</v>
      </c>
      <c r="J160" s="10">
        <f t="shared" si="68"/>
        <v>1.4550597775062704</v>
      </c>
      <c r="K160" s="4">
        <f t="shared" si="66"/>
        <v>1005.457270554505</v>
      </c>
      <c r="L160" s="316">
        <f t="shared" si="58"/>
        <v>3.4775098776430229E-4</v>
      </c>
      <c r="M160" s="19">
        <f t="shared" si="67"/>
        <v>7.5058415258005716E-3</v>
      </c>
      <c r="N160" s="433">
        <f t="shared" si="69"/>
        <v>5.8299348943532587</v>
      </c>
      <c r="O160" s="433"/>
      <c r="P160" s="434">
        <f t="shared" si="70"/>
        <v>197165.27744836843</v>
      </c>
      <c r="Q160" s="429">
        <f t="shared" si="71"/>
        <v>675924.78096728167</v>
      </c>
      <c r="R160" s="313"/>
      <c r="S160" s="313"/>
      <c r="T160" s="313"/>
      <c r="U160" s="313"/>
    </row>
    <row r="161" spans="1:21" x14ac:dyDescent="0.2">
      <c r="A161">
        <f t="shared" si="63"/>
        <v>10222.999999999998</v>
      </c>
      <c r="B161" s="4">
        <f t="shared" si="64"/>
        <v>8364.6038561456371</v>
      </c>
      <c r="D161" s="21">
        <f t="shared" si="56"/>
        <v>3116.7682926829266</v>
      </c>
      <c r="E161" s="21"/>
      <c r="F161" s="21"/>
      <c r="G161" s="4">
        <f t="shared" si="57"/>
        <v>370.681366446477</v>
      </c>
      <c r="H161" s="20">
        <f t="shared" si="72"/>
        <v>57673943.588124171</v>
      </c>
      <c r="I161" s="2">
        <f t="shared" si="65"/>
        <v>57.673943588124168</v>
      </c>
      <c r="J161" s="10">
        <f t="shared" si="68"/>
        <v>1.4490248889781607</v>
      </c>
      <c r="K161" s="4">
        <f t="shared" si="66"/>
        <v>1006.1968700088004</v>
      </c>
      <c r="L161" s="316">
        <f t="shared" si="58"/>
        <v>3.542876755609827E-4</v>
      </c>
      <c r="M161" s="19">
        <f t="shared" si="67"/>
        <v>7.5003243984252286E-3</v>
      </c>
      <c r="N161" s="433">
        <f t="shared" si="69"/>
        <v>5.8256496328950282</v>
      </c>
      <c r="O161" s="433"/>
      <c r="P161" s="434">
        <f t="shared" si="70"/>
        <v>197755.52488646744</v>
      </c>
      <c r="Q161" s="429">
        <f t="shared" si="71"/>
        <v>676421.9812101844</v>
      </c>
      <c r="R161" s="313"/>
      <c r="S161" s="313"/>
      <c r="T161" s="313"/>
      <c r="U161" s="313"/>
    </row>
    <row r="162" spans="1:21" x14ac:dyDescent="0.2">
      <c r="A162">
        <f t="shared" si="63"/>
        <v>9997.9999999999982</v>
      </c>
      <c r="B162" s="4">
        <f t="shared" si="64"/>
        <v>8295.1815999710579</v>
      </c>
      <c r="D162" s="21">
        <f t="shared" si="56"/>
        <v>3048.1707317073169</v>
      </c>
      <c r="E162" s="21"/>
      <c r="F162" s="21"/>
      <c r="G162" s="4">
        <f t="shared" si="57"/>
        <v>369.11839007452579</v>
      </c>
      <c r="H162" s="20">
        <f t="shared" si="72"/>
        <v>57195277.13180045</v>
      </c>
      <c r="I162" s="2">
        <f t="shared" si="65"/>
        <v>57.195277131800452</v>
      </c>
      <c r="J162" s="10">
        <f t="shared" si="68"/>
        <v>1.4430037830182121</v>
      </c>
      <c r="K162" s="4">
        <f t="shared" si="66"/>
        <v>1006.9307678044995</v>
      </c>
      <c r="L162" s="316">
        <f t="shared" si="58"/>
        <v>3.6097563706353694E-4</v>
      </c>
      <c r="M162" s="19">
        <f t="shared" si="67"/>
        <v>7.494857814506024E-3</v>
      </c>
      <c r="N162" s="433">
        <f t="shared" si="69"/>
        <v>5.8214036295343208</v>
      </c>
      <c r="O162" s="433"/>
      <c r="P162" s="434">
        <f t="shared" si="70"/>
        <v>198351.89118143223</v>
      </c>
      <c r="Q162" s="429">
        <f t="shared" si="71"/>
        <v>676915.34847832983</v>
      </c>
      <c r="R162" s="313"/>
      <c r="S162" s="313"/>
      <c r="T162" s="313"/>
      <c r="U162" s="313"/>
    </row>
    <row r="163" spans="1:21" x14ac:dyDescent="0.2">
      <c r="A163">
        <f t="shared" si="63"/>
        <v>9772.9999999999982</v>
      </c>
      <c r="B163" s="4">
        <f t="shared" si="64"/>
        <v>8225.7742820164676</v>
      </c>
      <c r="D163" s="21">
        <f t="shared" si="56"/>
        <v>2979.5731707317068</v>
      </c>
      <c r="E163" s="21"/>
      <c r="F163" s="21"/>
      <c r="G163" s="4">
        <f t="shared" si="57"/>
        <v>367.55541370257453</v>
      </c>
      <c r="H163" s="20">
        <f t="shared" si="72"/>
        <v>56716713.67450355</v>
      </c>
      <c r="I163" s="2">
        <f t="shared" si="65"/>
        <v>56.716713674503552</v>
      </c>
      <c r="J163" s="10">
        <f t="shared" si="68"/>
        <v>1.4369972138334295</v>
      </c>
      <c r="K163" s="4">
        <f t="shared" si="66"/>
        <v>1007.6588706491408</v>
      </c>
      <c r="L163" s="316">
        <f t="shared" si="58"/>
        <v>3.6781903602865317E-4</v>
      </c>
      <c r="M163" s="19">
        <f t="shared" si="67"/>
        <v>7.4894422642103088E-3</v>
      </c>
      <c r="N163" s="433">
        <f t="shared" si="69"/>
        <v>5.8171972649937711</v>
      </c>
      <c r="O163" s="433"/>
      <c r="P163" s="434">
        <f t="shared" si="70"/>
        <v>198954.46336740206</v>
      </c>
      <c r="Q163" s="429">
        <f t="shared" si="71"/>
        <v>677404.82005529141</v>
      </c>
      <c r="R163" s="313"/>
      <c r="S163" s="313"/>
      <c r="T163" s="313"/>
      <c r="U163" s="313"/>
    </row>
    <row r="164" spans="1:21" x14ac:dyDescent="0.2">
      <c r="A164">
        <f t="shared" si="63"/>
        <v>9548</v>
      </c>
      <c r="B164" s="4">
        <f t="shared" si="64"/>
        <v>8156.3833673409226</v>
      </c>
      <c r="D164" s="21">
        <f t="shared" si="56"/>
        <v>2910.9756097560976</v>
      </c>
      <c r="E164" s="21"/>
      <c r="F164" s="21"/>
      <c r="G164" s="4">
        <f t="shared" si="57"/>
        <v>365.99243733062332</v>
      </c>
      <c r="H164" s="20">
        <f t="shared" si="72"/>
        <v>56238263.317815661</v>
      </c>
      <c r="I164" s="2">
        <f t="shared" si="65"/>
        <v>56.238263317815658</v>
      </c>
      <c r="J164" s="10">
        <f t="shared" si="68"/>
        <v>1.4310059355820388</v>
      </c>
      <c r="K164" s="4">
        <f t="shared" si="66"/>
        <v>1008.3810840947722</v>
      </c>
      <c r="L164" s="316">
        <f t="shared" si="58"/>
        <v>3.7482216922303334E-4</v>
      </c>
      <c r="M164" s="19">
        <f t="shared" si="67"/>
        <v>7.4840782446062041E-3</v>
      </c>
      <c r="N164" s="433">
        <f t="shared" si="69"/>
        <v>5.8130309253559744</v>
      </c>
      <c r="O164" s="433"/>
      <c r="P164" s="434">
        <f t="shared" si="70"/>
        <v>199563.33008180812</v>
      </c>
      <c r="Q164" s="429">
        <f t="shared" si="71"/>
        <v>677890.3324478576</v>
      </c>
      <c r="R164" s="313"/>
      <c r="S164" s="313"/>
      <c r="T164" s="313"/>
      <c r="U164" s="313"/>
    </row>
    <row r="165" spans="1:21" x14ac:dyDescent="0.2">
      <c r="A165">
        <f t="shared" si="63"/>
        <v>9323</v>
      </c>
      <c r="B165" s="4">
        <f t="shared" si="64"/>
        <v>8087.0103430673835</v>
      </c>
      <c r="D165" s="21">
        <f t="shared" si="56"/>
        <v>2842.3780487804879</v>
      </c>
      <c r="E165" s="21"/>
      <c r="F165" s="21"/>
      <c r="G165" s="4">
        <f t="shared" si="57"/>
        <v>364.42946095867211</v>
      </c>
      <c r="H165" s="20">
        <f t="shared" si="72"/>
        <v>55759936.31544961</v>
      </c>
      <c r="I165" s="2">
        <f t="shared" si="65"/>
        <v>55.759936315449607</v>
      </c>
      <c r="J165" s="10">
        <f t="shared" si="68"/>
        <v>1.4250307022487376</v>
      </c>
      <c r="K165" s="4">
        <f t="shared" si="66"/>
        <v>1009.0973125642026</v>
      </c>
      <c r="L165" s="316">
        <f t="shared" si="58"/>
        <v>3.8198947126533909E-4</v>
      </c>
      <c r="M165" s="19">
        <f t="shared" si="67"/>
        <v>7.4787662594889203E-3</v>
      </c>
      <c r="N165" s="433">
        <f t="shared" si="69"/>
        <v>5.8089050019285891</v>
      </c>
      <c r="O165" s="433"/>
      <c r="P165" s="434">
        <f t="shared" si="70"/>
        <v>200178.58159374582</v>
      </c>
      <c r="Q165" s="429">
        <f t="shared" si="71"/>
        <v>678371.82140367909</v>
      </c>
      <c r="R165" s="313"/>
      <c r="S165" s="313"/>
      <c r="T165" s="313"/>
      <c r="U165" s="313"/>
    </row>
    <row r="166" spans="1:21" x14ac:dyDescent="0.2">
      <c r="A166">
        <f t="shared" si="63"/>
        <v>9098</v>
      </c>
      <c r="B166" s="4">
        <f t="shared" si="64"/>
        <v>8017.6567187294668</v>
      </c>
      <c r="D166" s="21">
        <f t="shared" si="56"/>
        <v>2773.7804878048782</v>
      </c>
      <c r="E166" s="21"/>
      <c r="F166" s="21"/>
      <c r="G166" s="4">
        <f t="shared" si="57"/>
        <v>362.8664845867209</v>
      </c>
      <c r="H166" s="20">
        <f t="shared" si="72"/>
        <v>55281743.075639673</v>
      </c>
      <c r="I166" s="2">
        <f t="shared" si="65"/>
        <v>55.281743075639675</v>
      </c>
      <c r="J166" s="10">
        <f t="shared" si="68"/>
        <v>1.4190722675169021</v>
      </c>
      <c r="K166" s="4">
        <f t="shared" si="66"/>
        <v>1009.8074593774915</v>
      </c>
      <c r="L166" s="316">
        <f t="shared" si="58"/>
        <v>3.8932551966618605E-4</v>
      </c>
      <c r="M166" s="19">
        <f t="shared" si="67"/>
        <v>7.4735068192093032E-3</v>
      </c>
      <c r="N166" s="433">
        <f t="shared" si="69"/>
        <v>5.8048198911111673</v>
      </c>
      <c r="O166" s="433"/>
      <c r="P166" s="434">
        <f t="shared" si="70"/>
        <v>200800.30983313534</v>
      </c>
      <c r="Q166" s="429">
        <f t="shared" si="71"/>
        <v>678849.22192907589</v>
      </c>
      <c r="R166" s="313"/>
      <c r="S166" s="313"/>
      <c r="T166" s="313"/>
      <c r="U166" s="313"/>
    </row>
    <row r="167" spans="1:21" x14ac:dyDescent="0.2">
      <c r="A167">
        <f t="shared" si="63"/>
        <v>8872.9999999999982</v>
      </c>
      <c r="B167" s="4">
        <f t="shared" si="64"/>
        <v>7948.3240266198309</v>
      </c>
      <c r="D167" s="21">
        <f t="shared" si="56"/>
        <v>2705.1829268292681</v>
      </c>
      <c r="E167" s="21"/>
      <c r="F167" s="21"/>
      <c r="G167" s="4">
        <f t="shared" si="57"/>
        <v>361.30350821476964</v>
      </c>
      <c r="H167" s="20">
        <f t="shared" si="72"/>
        <v>54803694.163543731</v>
      </c>
      <c r="I167" s="2">
        <f t="shared" si="65"/>
        <v>54.803694163543732</v>
      </c>
      <c r="J167" s="10">
        <f t="shared" si="68"/>
        <v>1.4131313846377205</v>
      </c>
      <c r="K167" s="4">
        <f t="shared" si="66"/>
        <v>1010.5114267786818</v>
      </c>
      <c r="L167" s="316">
        <f t="shared" si="58"/>
        <v>3.9683504007515419E-4</v>
      </c>
      <c r="M167" s="19">
        <f t="shared" si="67"/>
        <v>7.4683004405045441E-3</v>
      </c>
      <c r="N167" s="433">
        <f t="shared" si="69"/>
        <v>5.800775994263657</v>
      </c>
      <c r="O167" s="433"/>
      <c r="P167" s="434">
        <f t="shared" si="70"/>
        <v>201428.60842068202</v>
      </c>
      <c r="Q167" s="429">
        <f t="shared" si="71"/>
        <v>679322.46830701025</v>
      </c>
      <c r="R167" s="313"/>
      <c r="S167" s="313"/>
      <c r="T167" s="313"/>
      <c r="U167" s="313"/>
    </row>
    <row r="168" spans="1:21" x14ac:dyDescent="0.2">
      <c r="A168">
        <f t="shared" si="63"/>
        <v>8648</v>
      </c>
      <c r="B168" s="4">
        <f t="shared" si="64"/>
        <v>7879.0138221403049</v>
      </c>
      <c r="D168" s="21">
        <f t="shared" si="56"/>
        <v>2636.5853658536585</v>
      </c>
      <c r="E168" s="21"/>
      <c r="F168" s="21"/>
      <c r="G168" s="4">
        <f t="shared" si="57"/>
        <v>359.74053184281843</v>
      </c>
      <c r="H168" s="20">
        <f t="shared" si="72"/>
        <v>54325800.303657405</v>
      </c>
      <c r="I168" s="2">
        <f t="shared" si="65"/>
        <v>54.325800303657402</v>
      </c>
      <c r="J168" s="10">
        <f t="shared" si="68"/>
        <v>1.4072088062962151</v>
      </c>
      <c r="K168" s="4">
        <f t="shared" si="66"/>
        <v>1011.2091159627849</v>
      </c>
      <c r="L168" s="316">
        <f t="shared" si="58"/>
        <v>4.0452291174429415E-4</v>
      </c>
      <c r="M168" s="19">
        <f t="shared" si="67"/>
        <v>7.4631476463309946E-3</v>
      </c>
      <c r="N168" s="433">
        <f t="shared" si="69"/>
        <v>5.7967737175765546</v>
      </c>
      <c r="O168" s="433"/>
      <c r="P168" s="434">
        <f t="shared" si="70"/>
        <v>202063.57269867012</v>
      </c>
      <c r="Q168" s="429">
        <f t="shared" si="71"/>
        <v>679791.49411522585</v>
      </c>
      <c r="R168" s="313"/>
      <c r="S168" s="313"/>
      <c r="T168" s="313"/>
      <c r="U168" s="313"/>
    </row>
    <row r="169" spans="1:21" x14ac:dyDescent="0.2">
      <c r="A169">
        <f t="shared" si="63"/>
        <v>8423</v>
      </c>
      <c r="B169" s="4">
        <f t="shared" si="64"/>
        <v>7809.7276841538578</v>
      </c>
      <c r="D169" s="21">
        <f t="shared" si="56"/>
        <v>2567.9878048780488</v>
      </c>
      <c r="E169" s="21"/>
      <c r="F169" s="21"/>
      <c r="G169" s="4">
        <f t="shared" si="57"/>
        <v>358.17755547086722</v>
      </c>
      <c r="H169" s="20">
        <f t="shared" si="72"/>
        <v>53848072.382240847</v>
      </c>
      <c r="I169" s="2">
        <f t="shared" si="65"/>
        <v>53.848072382240844</v>
      </c>
      <c r="J169" s="10">
        <f t="shared" si="68"/>
        <v>1.4013052844741278</v>
      </c>
      <c r="K169" s="4">
        <f t="shared" si="66"/>
        <v>1011.9004271030162</v>
      </c>
      <c r="L169" s="316">
        <f t="shared" si="58"/>
        <v>4.1239417321803113E-4</v>
      </c>
      <c r="M169" s="19">
        <f t="shared" si="67"/>
        <v>7.4580489656990764E-3</v>
      </c>
      <c r="N169" s="433">
        <f t="shared" si="69"/>
        <v>5.7928134719426696</v>
      </c>
      <c r="O169" s="433"/>
      <c r="P169" s="434">
        <f t="shared" si="70"/>
        <v>202705.29976260642</v>
      </c>
      <c r="Q169" s="429">
        <f t="shared" si="71"/>
        <v>680256.23224455828</v>
      </c>
      <c r="R169" s="313"/>
      <c r="S169" s="313"/>
      <c r="T169" s="313"/>
      <c r="U169" s="313"/>
    </row>
    <row r="170" spans="1:21" x14ac:dyDescent="0.2">
      <c r="A170">
        <f t="shared" si="63"/>
        <v>8197.9999999999982</v>
      </c>
      <c r="B170" s="4">
        <f t="shared" si="64"/>
        <v>7740.4672153384909</v>
      </c>
      <c r="D170" s="21">
        <f t="shared" si="56"/>
        <v>2499.3902439024387</v>
      </c>
      <c r="E170" s="21"/>
      <c r="F170" s="21"/>
      <c r="G170" s="4">
        <f t="shared" si="57"/>
        <v>356.61457909891601</v>
      </c>
      <c r="H170" s="20">
        <f t="shared" si="72"/>
        <v>53370521.449758895</v>
      </c>
      <c r="I170" s="2">
        <f t="shared" si="65"/>
        <v>53.370521449758897</v>
      </c>
      <c r="J170" s="10">
        <f t="shared" si="68"/>
        <v>1.3954215703096462</v>
      </c>
      <c r="K170" s="4">
        <f t="shared" si="66"/>
        <v>1012.5852593782872</v>
      </c>
      <c r="L170" s="316">
        <f t="shared" si="58"/>
        <v>4.2045402825988213E-4</v>
      </c>
      <c r="M170" s="19">
        <f t="shared" si="67"/>
        <v>7.4530049335102232E-3</v>
      </c>
      <c r="N170" s="433">
        <f t="shared" si="69"/>
        <v>5.7888956728304777</v>
      </c>
      <c r="O170" s="433"/>
      <c r="P170" s="434">
        <f t="shared" si="70"/>
        <v>203353.88849373968</v>
      </c>
      <c r="Q170" s="429">
        <f t="shared" si="71"/>
        <v>680716.61491741566</v>
      </c>
      <c r="R170" s="313"/>
      <c r="S170" s="313"/>
      <c r="T170" s="313"/>
      <c r="U170" s="313"/>
    </row>
    <row r="171" spans="1:21" x14ac:dyDescent="0.2">
      <c r="A171">
        <f t="shared" si="63"/>
        <v>7972.9999999999991</v>
      </c>
      <c r="B171" s="4">
        <f t="shared" si="64"/>
        <v>7671.2340425431794</v>
      </c>
      <c r="D171" s="21">
        <f t="shared" si="56"/>
        <v>2430.792682926829</v>
      </c>
      <c r="E171" s="21"/>
      <c r="F171" s="21"/>
      <c r="G171" s="4">
        <f t="shared" si="57"/>
        <v>355.0516027269648</v>
      </c>
      <c r="H171" s="20">
        <f t="shared" si="72"/>
        <v>52893158.723335221</v>
      </c>
      <c r="I171" s="2">
        <f t="shared" si="65"/>
        <v>52.893158723335219</v>
      </c>
      <c r="J171" s="10">
        <f t="shared" si="68"/>
        <v>1.3895584139539305</v>
      </c>
      <c r="K171" s="4">
        <f t="shared" si="66"/>
        <v>1013.2635110009574</v>
      </c>
      <c r="L171" s="316">
        <f t="shared" si="58"/>
        <v>4.2870785202697308E-4</v>
      </c>
      <c r="M171" s="19">
        <f t="shared" si="67"/>
        <v>7.4480160903958315E-3</v>
      </c>
      <c r="N171" s="433">
        <f t="shared" si="69"/>
        <v>5.7850207401590286</v>
      </c>
      <c r="O171" s="433"/>
      <c r="P171" s="434">
        <f t="shared" si="70"/>
        <v>204009.43959248395</v>
      </c>
      <c r="Q171" s="429">
        <f t="shared" si="71"/>
        <v>681172.57370643632</v>
      </c>
      <c r="R171" s="313"/>
      <c r="S171" s="313"/>
      <c r="T171" s="313"/>
      <c r="U171" s="313"/>
    </row>
    <row r="172" spans="1:21" x14ac:dyDescent="0.2">
      <c r="A172">
        <f t="shared" si="63"/>
        <v>7747.9999999999991</v>
      </c>
      <c r="B172" s="4">
        <f t="shared" si="64"/>
        <v>7602.0298171459417</v>
      </c>
      <c r="D172" s="21">
        <f t="shared" si="56"/>
        <v>2362.1951219512193</v>
      </c>
      <c r="E172" s="21"/>
      <c r="F172" s="21"/>
      <c r="G172" s="4">
        <f t="shared" si="57"/>
        <v>353.48862635501359</v>
      </c>
      <c r="H172" s="20">
        <f t="shared" si="72"/>
        <v>52415995.589221269</v>
      </c>
      <c r="I172" s="2">
        <f t="shared" si="65"/>
        <v>52.415995589221268</v>
      </c>
      <c r="J172" s="10">
        <f t="shared" si="68"/>
        <v>1.3837165644244289</v>
      </c>
      <c r="K172" s="4">
        <f t="shared" si="66"/>
        <v>1013.9350792448511</v>
      </c>
      <c r="L172" s="316">
        <f t="shared" si="58"/>
        <v>4.3716119750382578E-4</v>
      </c>
      <c r="M172" s="19">
        <f t="shared" si="67"/>
        <v>7.4430829825581539E-3</v>
      </c>
      <c r="N172" s="433">
        <f t="shared" si="69"/>
        <v>5.7811890981743659</v>
      </c>
      <c r="O172" s="433"/>
      <c r="P172" s="434">
        <f t="shared" si="70"/>
        <v>204672.0556127686</v>
      </c>
      <c r="Q172" s="429">
        <f t="shared" si="71"/>
        <v>681624.03955332225</v>
      </c>
      <c r="R172" s="313"/>
      <c r="S172" s="313"/>
      <c r="T172" s="313"/>
      <c r="U172" s="313"/>
    </row>
    <row r="173" spans="1:21" x14ac:dyDescent="0.2">
      <c r="A173">
        <f t="shared" si="63"/>
        <v>7522.9999999999991</v>
      </c>
      <c r="B173" s="4">
        <f t="shared" si="64"/>
        <v>7532.8562154141719</v>
      </c>
      <c r="D173" s="21">
        <f t="shared" si="56"/>
        <v>2293.5975609756097</v>
      </c>
      <c r="E173" s="21"/>
      <c r="F173" s="21"/>
      <c r="G173" s="4">
        <f t="shared" si="57"/>
        <v>351.92564998306233</v>
      </c>
      <c r="H173" s="20">
        <f t="shared" si="72"/>
        <v>51939043.605280712</v>
      </c>
      <c r="I173" s="2">
        <f t="shared" si="65"/>
        <v>51.939043605280709</v>
      </c>
      <c r="J173" s="10">
        <f t="shared" si="68"/>
        <v>1.377896769454948</v>
      </c>
      <c r="K173" s="4">
        <f t="shared" si="66"/>
        <v>1014.5998604735431</v>
      </c>
      <c r="L173" s="316">
        <f t="shared" si="58"/>
        <v>4.4581980220752759E-4</v>
      </c>
      <c r="M173" s="19">
        <f t="shared" si="67"/>
        <v>7.4382061616131041E-3</v>
      </c>
      <c r="N173" s="433">
        <f t="shared" si="69"/>
        <v>5.7774011753274301</v>
      </c>
      <c r="O173" s="433"/>
      <c r="P173" s="434">
        <f t="shared" si="70"/>
        <v>205341.84099734263</v>
      </c>
      <c r="Q173" s="429">
        <f t="shared" si="71"/>
        <v>682070.94278785447</v>
      </c>
      <c r="R173" s="313"/>
      <c r="S173" s="313"/>
      <c r="T173" s="313"/>
      <c r="U173" s="313"/>
    </row>
    <row r="174" spans="1:21" x14ac:dyDescent="0.2">
      <c r="A174">
        <f t="shared" si="63"/>
        <v>7298</v>
      </c>
      <c r="B174" s="4">
        <f t="shared" si="64"/>
        <v>7463.7149388673242</v>
      </c>
      <c r="D174" s="21">
        <f t="shared" si="56"/>
        <v>2225</v>
      </c>
      <c r="E174" s="21"/>
      <c r="F174" s="21"/>
      <c r="G174" s="4">
        <f t="shared" si="57"/>
        <v>350.36267361111112</v>
      </c>
      <c r="H174" s="20">
        <f t="shared" si="72"/>
        <v>51462314.503490202</v>
      </c>
      <c r="I174" s="2">
        <f t="shared" si="65"/>
        <v>51.462314503490205</v>
      </c>
      <c r="J174" s="10">
        <f t="shared" si="68"/>
        <v>1.3720997753424591</v>
      </c>
      <c r="K174" s="4">
        <f t="shared" si="66"/>
        <v>1015.2577501689151</v>
      </c>
      <c r="L174" s="316">
        <f t="shared" si="58"/>
        <v>4.5468959517701296E-4</v>
      </c>
      <c r="M174" s="19">
        <f t="shared" si="67"/>
        <v>7.433386184434931E-3</v>
      </c>
      <c r="N174" s="433">
        <f t="shared" si="69"/>
        <v>5.7736574041534148</v>
      </c>
      <c r="O174" s="433"/>
      <c r="P174" s="434">
        <f t="shared" si="70"/>
        <v>206018.90211406286</v>
      </c>
      <c r="Q174" s="429">
        <f t="shared" si="71"/>
        <v>682513.21314709086</v>
      </c>
      <c r="R174" s="313"/>
      <c r="S174" s="313"/>
      <c r="T174" s="313"/>
      <c r="U174" s="313"/>
    </row>
    <row r="175" spans="1:21" x14ac:dyDescent="0.2">
      <c r="A175">
        <f t="shared" si="63"/>
        <v>7073</v>
      </c>
      <c r="B175" s="4">
        <f t="shared" si="64"/>
        <v>7394.6077146420848</v>
      </c>
      <c r="D175" s="21">
        <f t="shared" si="56"/>
        <v>2156.4024390243903</v>
      </c>
      <c r="E175" s="21"/>
      <c r="F175" s="21"/>
      <c r="G175" s="4">
        <f t="shared" si="57"/>
        <v>348.79969723915991</v>
      </c>
      <c r="H175" s="20">
        <f t="shared" si="72"/>
        <v>50985820.192457177</v>
      </c>
      <c r="I175" s="2">
        <f t="shared" si="65"/>
        <v>50.985820192457176</v>
      </c>
      <c r="J175" s="10">
        <f t="shared" si="68"/>
        <v>1.3663263267906187</v>
      </c>
      <c r="K175" s="4">
        <f t="shared" si="66"/>
        <v>1015.9086429599886</v>
      </c>
      <c r="L175" s="316">
        <f t="shared" si="58"/>
        <v>4.6377670425981301E-4</v>
      </c>
      <c r="M175" s="19">
        <f t="shared" si="67"/>
        <v>7.4286236130027038E-3</v>
      </c>
      <c r="N175" s="433">
        <f t="shared" si="69"/>
        <v>5.7699582211525282</v>
      </c>
      <c r="O175" s="433"/>
      <c r="P175" s="434">
        <f t="shared" si="70"/>
        <v>206703.34729319366</v>
      </c>
      <c r="Q175" s="429">
        <f t="shared" si="71"/>
        <v>682950.77979474841</v>
      </c>
      <c r="R175" s="313"/>
      <c r="S175" s="313"/>
      <c r="T175" s="313"/>
      <c r="U175" s="313"/>
    </row>
    <row r="176" spans="1:21" x14ac:dyDescent="0.2">
      <c r="A176">
        <f t="shared" si="63"/>
        <v>6848</v>
      </c>
      <c r="B176" s="4">
        <f t="shared" si="64"/>
        <v>7325.5362958601336</v>
      </c>
      <c r="D176" s="21">
        <f t="shared" si="56"/>
        <v>2087.8048780487807</v>
      </c>
      <c r="E176" s="21"/>
      <c r="F176" s="21"/>
      <c r="G176" s="4">
        <f t="shared" si="57"/>
        <v>347.2367208672087</v>
      </c>
      <c r="H176" s="20">
        <f t="shared" si="72"/>
        <v>50509572.759955622</v>
      </c>
      <c r="I176" s="2">
        <f t="shared" si="65"/>
        <v>50.509572759955624</v>
      </c>
      <c r="J176" s="10">
        <f t="shared" ref="J176:J207" si="73">1+BB*H176+CCC*H176^2+DD*H176^3</f>
        <v>1.3605771667499815</v>
      </c>
      <c r="K176" s="4">
        <f t="shared" si="66"/>
        <v>1016.5524326520377</v>
      </c>
      <c r="L176" s="316">
        <f t="shared" si="58"/>
        <v>4.7308746371034266E-4</v>
      </c>
      <c r="M176" s="19">
        <f t="shared" si="67"/>
        <v>7.4239190142485721E-3</v>
      </c>
      <c r="N176" s="433">
        <f t="shared" si="69"/>
        <v>5.7663040666721326</v>
      </c>
      <c r="O176" s="433"/>
      <c r="P176" s="434">
        <f t="shared" si="70"/>
        <v>207395.28686574704</v>
      </c>
      <c r="Q176" s="429">
        <f t="shared" si="71"/>
        <v>683383.57134077547</v>
      </c>
      <c r="R176" s="313"/>
      <c r="S176" s="313"/>
      <c r="T176" s="313"/>
      <c r="U176" s="313"/>
    </row>
    <row r="177" spans="1:21" x14ac:dyDescent="0.2">
      <c r="A177">
        <f t="shared" si="63"/>
        <v>6623.0000000000009</v>
      </c>
      <c r="B177" s="4">
        <f t="shared" si="64"/>
        <v>7256.5024619986361</v>
      </c>
      <c r="D177" s="21">
        <f t="shared" ref="D177:D212" si="74">(N-C74)*lt/N-lt+L</f>
        <v>2019.207317073171</v>
      </c>
      <c r="E177" s="21"/>
      <c r="F177" s="21"/>
      <c r="G177" s="4">
        <f t="shared" ref="G177:G212" si="75">T0+MAX(MIN(D177,TVD),0)*dT</f>
        <v>345.67374449525749</v>
      </c>
      <c r="H177" s="20">
        <f t="shared" si="72"/>
        <v>50033584.475480594</v>
      </c>
      <c r="I177" s="2">
        <f t="shared" si="65"/>
        <v>50.033584475480595</v>
      </c>
      <c r="J177" s="10">
        <f t="shared" si="73"/>
        <v>1.3548530362548896</v>
      </c>
      <c r="K177" s="4">
        <f t="shared" si="66"/>
        <v>1017.1890122559854</v>
      </c>
      <c r="L177" s="316">
        <f t="shared" ref="L177:L212" si="76">0.001*(83080000000*T^-4.4259)</f>
        <v>4.8262842211455444E-4</v>
      </c>
      <c r="M177" s="19">
        <f t="shared" si="67"/>
        <v>7.419272959907749E-3</v>
      </c>
      <c r="N177" s="433">
        <f t="shared" ref="N177:N212" si="77">Qw/(0.25*PI()*dti^2)</f>
        <v>5.7626953847902245</v>
      </c>
      <c r="O177" s="433"/>
      <c r="P177" s="434">
        <f t="shared" ref="P177:P212" si="78">0.1*(lt/N)*rhow^0.8*va^1.8*muw^0.2/dti^1.2*IF(D177&lt;0,1.2,1)*(1-Kfr)</f>
        <v>208094.83320289681</v>
      </c>
      <c r="Q177" s="429">
        <f t="shared" ref="Q177:Q212" si="79">IF(AND(0&lt;D177, D177&lt;=TVD),rhow*g*lt/N,0)</f>
        <v>683811.51586111216</v>
      </c>
      <c r="R177" s="313"/>
      <c r="S177" s="313"/>
      <c r="T177" s="313"/>
      <c r="U177" s="313"/>
    </row>
    <row r="178" spans="1:21" x14ac:dyDescent="0.2">
      <c r="A178">
        <f t="shared" si="63"/>
        <v>6398.0000000000009</v>
      </c>
      <c r="B178" s="4">
        <f t="shared" si="64"/>
        <v>7187.5080192635796</v>
      </c>
      <c r="D178" s="21">
        <f t="shared" si="74"/>
        <v>1950.6097560975613</v>
      </c>
      <c r="E178" s="21"/>
      <c r="F178" s="21"/>
      <c r="G178" s="4">
        <f t="shared" si="75"/>
        <v>344.11076812330629</v>
      </c>
      <c r="H178" s="20">
        <f t="shared" ref="H178:H212" si="80">H177-Q177+P177</f>
        <v>49557867.792822383</v>
      </c>
      <c r="I178" s="2">
        <f t="shared" si="65"/>
        <v>49.557867792822385</v>
      </c>
      <c r="J178" s="10">
        <f t="shared" si="73"/>
        <v>1.3491546742570173</v>
      </c>
      <c r="K178" s="4">
        <f t="shared" si="66"/>
        <v>1017.8182740180888</v>
      </c>
      <c r="L178" s="316">
        <f t="shared" si="76"/>
        <v>4.9240635065648077E-4</v>
      </c>
      <c r="M178" s="19">
        <f t="shared" si="67"/>
        <v>7.4146860263701467E-3</v>
      </c>
      <c r="N178" s="433">
        <f t="shared" si="77"/>
        <v>5.7591326232001983</v>
      </c>
      <c r="O178" s="433"/>
      <c r="P178" s="434">
        <f t="shared" si="78"/>
        <v>208802.10075649587</v>
      </c>
      <c r="Q178" s="429">
        <f t="shared" si="79"/>
        <v>684234.54091764824</v>
      </c>
      <c r="R178" s="313"/>
      <c r="S178" s="313"/>
      <c r="T178" s="313"/>
      <c r="U178" s="313"/>
    </row>
    <row r="179" spans="1:21" x14ac:dyDescent="0.2">
      <c r="A179">
        <f t="shared" si="63"/>
        <v>6173.0000000000009</v>
      </c>
      <c r="B179" s="4">
        <f t="shared" si="64"/>
        <v>7118.5548009660961</v>
      </c>
      <c r="D179" s="21">
        <f t="shared" si="74"/>
        <v>1882.0121951219517</v>
      </c>
      <c r="E179" s="21"/>
      <c r="F179" s="21"/>
      <c r="G179" s="4">
        <f t="shared" si="75"/>
        <v>342.54779175135502</v>
      </c>
      <c r="H179" s="20">
        <f t="shared" si="80"/>
        <v>49082435.35266123</v>
      </c>
      <c r="I179" s="2">
        <f t="shared" si="65"/>
        <v>49.082435352661228</v>
      </c>
      <c r="J179" s="10">
        <f t="shared" si="73"/>
        <v>1.3434828174555591</v>
      </c>
      <c r="K179" s="4">
        <f t="shared" si="66"/>
        <v>1018.4401094499145</v>
      </c>
      <c r="L179" s="316">
        <f t="shared" si="76"/>
        <v>5.0242825174311363E-4</v>
      </c>
      <c r="M179" s="19">
        <f t="shared" si="67"/>
        <v>7.4101587945336568E-3</v>
      </c>
      <c r="N179" s="433">
        <f t="shared" si="77"/>
        <v>5.755616233096883</v>
      </c>
      <c r="O179" s="433"/>
      <c r="P179" s="434">
        <f t="shared" si="78"/>
        <v>209517.20610073148</v>
      </c>
      <c r="Q179" s="429">
        <f t="shared" si="79"/>
        <v>684652.5735783726</v>
      </c>
      <c r="R179" s="313"/>
      <c r="S179" s="313"/>
      <c r="T179" s="313"/>
      <c r="U179" s="313"/>
    </row>
    <row r="180" spans="1:21" x14ac:dyDescent="0.2">
      <c r="A180">
        <f t="shared" si="63"/>
        <v>5947.9999999999982</v>
      </c>
      <c r="B180" s="4">
        <f t="shared" si="64"/>
        <v>7049.6446679018982</v>
      </c>
      <c r="D180" s="21">
        <f t="shared" si="74"/>
        <v>1813.4146341463411</v>
      </c>
      <c r="E180" s="21"/>
      <c r="F180" s="21"/>
      <c r="G180" s="4">
        <f t="shared" si="75"/>
        <v>340.98481537940381</v>
      </c>
      <c r="H180" s="20">
        <f t="shared" si="80"/>
        <v>48607299.985183589</v>
      </c>
      <c r="I180" s="2">
        <f t="shared" si="65"/>
        <v>48.607299985183587</v>
      </c>
      <c r="J180" s="10">
        <f t="shared" si="73"/>
        <v>1.3378382001240456</v>
      </c>
      <c r="K180" s="4">
        <f t="shared" si="66"/>
        <v>1019.05440935861</v>
      </c>
      <c r="L180" s="316">
        <f t="shared" si="76"/>
        <v>5.1270136800482611E-4</v>
      </c>
      <c r="M180" s="19">
        <f t="shared" si="67"/>
        <v>7.4056918496589802E-3</v>
      </c>
      <c r="N180" s="433">
        <f t="shared" si="77"/>
        <v>5.7521466690637881</v>
      </c>
      <c r="O180" s="433"/>
      <c r="P180" s="434">
        <f t="shared" si="78"/>
        <v>210240.26797495186</v>
      </c>
      <c r="Q180" s="429">
        <f t="shared" si="79"/>
        <v>685065.54043772409</v>
      </c>
      <c r="R180" s="313"/>
      <c r="S180" s="313"/>
      <c r="T180" s="313"/>
      <c r="U180" s="313"/>
    </row>
    <row r="181" spans="1:21" x14ac:dyDescent="0.2">
      <c r="A181">
        <f t="shared" si="63"/>
        <v>5722.9999999999991</v>
      </c>
      <c r="B181" s="4">
        <f t="shared" si="64"/>
        <v>6980.7795087339837</v>
      </c>
      <c r="D181" s="21">
        <f t="shared" si="74"/>
        <v>1744.8170731707314</v>
      </c>
      <c r="E181" s="21"/>
      <c r="F181" s="21"/>
      <c r="G181" s="4">
        <f t="shared" si="75"/>
        <v>339.4218390074526</v>
      </c>
      <c r="H181" s="20">
        <f t="shared" si="80"/>
        <v>48132474.712720819</v>
      </c>
      <c r="I181" s="2">
        <f t="shared" si="65"/>
        <v>48.132474712720821</v>
      </c>
      <c r="J181" s="10">
        <f t="shared" si="73"/>
        <v>1.3322215539337736</v>
      </c>
      <c r="K181" s="4">
        <f t="shared" si="66"/>
        <v>1019.6610638774758</v>
      </c>
      <c r="L181" s="316">
        <f t="shared" si="76"/>
        <v>5.2323319168956473E-4</v>
      </c>
      <c r="M181" s="19">
        <f t="shared" si="67"/>
        <v>7.4012857812259664E-3</v>
      </c>
      <c r="N181" s="433">
        <f t="shared" si="77"/>
        <v>5.7487243889615183</v>
      </c>
      <c r="O181" s="433"/>
      <c r="P181" s="434">
        <f t="shared" si="78"/>
        <v>210971.40732769997</v>
      </c>
      <c r="Q181" s="429">
        <f t="shared" si="79"/>
        <v>685473.36763714463</v>
      </c>
      <c r="R181" s="313"/>
      <c r="S181" s="313"/>
      <c r="T181" s="313"/>
      <c r="U181" s="313"/>
    </row>
    <row r="182" spans="1:21" x14ac:dyDescent="0.2">
      <c r="A182">
        <f t="shared" si="63"/>
        <v>5497.9999999999991</v>
      </c>
      <c r="B182" s="4">
        <f t="shared" si="64"/>
        <v>6911.9612403787341</v>
      </c>
      <c r="D182" s="21">
        <f t="shared" si="74"/>
        <v>1676.2195121951218</v>
      </c>
      <c r="E182" s="21"/>
      <c r="F182" s="21"/>
      <c r="G182" s="4">
        <f t="shared" si="75"/>
        <v>337.8588626355014</v>
      </c>
      <c r="H182" s="20">
        <f t="shared" si="80"/>
        <v>47657972.752411373</v>
      </c>
      <c r="I182" s="2">
        <f t="shared" si="65"/>
        <v>47.657972752411375</v>
      </c>
      <c r="J182" s="10">
        <f t="shared" si="73"/>
        <v>1.3266336077738405</v>
      </c>
      <c r="K182" s="4">
        <f t="shared" si="66"/>
        <v>1020.2599624968399</v>
      </c>
      <c r="L182" s="316">
        <f t="shared" si="76"/>
        <v>5.3403147446990122E-4</v>
      </c>
      <c r="M182" s="19">
        <f t="shared" si="67"/>
        <v>7.3969411827914198E-3</v>
      </c>
      <c r="N182" s="433">
        <f t="shared" si="77"/>
        <v>5.7453498538173307</v>
      </c>
      <c r="O182" s="433"/>
      <c r="P182" s="434">
        <f t="shared" si="78"/>
        <v>211710.74736199228</v>
      </c>
      <c r="Q182" s="429">
        <f t="shared" si="79"/>
        <v>685875.98088583304</v>
      </c>
      <c r="R182" s="313"/>
      <c r="S182" s="313"/>
      <c r="T182" s="313"/>
      <c r="U182" s="313"/>
    </row>
    <row r="183" spans="1:21" x14ac:dyDescent="0.2">
      <c r="A183">
        <f t="shared" si="63"/>
        <v>5272.9999999999991</v>
      </c>
      <c r="B183" s="4">
        <f t="shared" si="64"/>
        <v>6843.1918083955816</v>
      </c>
      <c r="D183" s="21">
        <f t="shared" si="74"/>
        <v>1607.6219512195121</v>
      </c>
      <c r="E183" s="21"/>
      <c r="F183" s="21"/>
      <c r="G183" s="4">
        <f t="shared" si="75"/>
        <v>336.29588626355013</v>
      </c>
      <c r="H183" s="20">
        <f t="shared" si="80"/>
        <v>47183807.518887535</v>
      </c>
      <c r="I183" s="2">
        <f t="shared" si="65"/>
        <v>47.183807518887534</v>
      </c>
      <c r="J183" s="10">
        <f t="shared" si="73"/>
        <v>1.3210750875677753</v>
      </c>
      <c r="K183" s="4">
        <f t="shared" si="66"/>
        <v>1020.8509940952399</v>
      </c>
      <c r="L183" s="316">
        <f t="shared" si="76"/>
        <v>5.4510423768313894E-4</v>
      </c>
      <c r="M183" s="19">
        <f t="shared" si="67"/>
        <v>7.3926586518482914E-3</v>
      </c>
      <c r="N183" s="433">
        <f t="shared" si="77"/>
        <v>5.7420235277157641</v>
      </c>
      <c r="O183" s="433"/>
      <c r="P183" s="434">
        <f t="shared" si="78"/>
        <v>212458.41358187696</v>
      </c>
      <c r="Q183" s="429">
        <f t="shared" si="79"/>
        <v>686273.30548170861</v>
      </c>
      <c r="R183" s="313"/>
      <c r="S183" s="313"/>
      <c r="T183" s="313"/>
      <c r="U183" s="313"/>
    </row>
    <row r="184" spans="1:21" x14ac:dyDescent="0.2">
      <c r="A184">
        <f t="shared" si="63"/>
        <v>5048</v>
      </c>
      <c r="B184" s="4">
        <f t="shared" si="64"/>
        <v>6774.4731873803776</v>
      </c>
      <c r="D184" s="21">
        <f t="shared" si="74"/>
        <v>1539.0243902439024</v>
      </c>
      <c r="E184" s="21"/>
      <c r="F184" s="21"/>
      <c r="G184" s="4">
        <f t="shared" si="75"/>
        <v>334.73290989159892</v>
      </c>
      <c r="H184" s="20">
        <f t="shared" si="80"/>
        <v>46709992.626987703</v>
      </c>
      <c r="I184" s="2">
        <f t="shared" si="65"/>
        <v>46.709992626987706</v>
      </c>
      <c r="J184" s="10">
        <f t="shared" si="73"/>
        <v>1.3155467160867562</v>
      </c>
      <c r="K184" s="4">
        <f t="shared" si="66"/>
        <v>1021.434046970918</v>
      </c>
      <c r="L184" s="316">
        <f t="shared" si="76"/>
        <v>5.5645978302572264E-4</v>
      </c>
      <c r="M184" s="19">
        <f t="shared" si="67"/>
        <v>7.3884387896862172E-3</v>
      </c>
      <c r="N184" s="433">
        <f t="shared" si="77"/>
        <v>5.7387458776903184</v>
      </c>
      <c r="O184" s="433"/>
      <c r="P184" s="434">
        <f t="shared" si="78"/>
        <v>213214.53384031585</v>
      </c>
      <c r="Q184" s="429">
        <f t="shared" si="79"/>
        <v>686665.26633258373</v>
      </c>
      <c r="R184" s="313"/>
      <c r="S184" s="313"/>
      <c r="T184" s="313"/>
      <c r="U184" s="313"/>
    </row>
    <row r="185" spans="1:21" x14ac:dyDescent="0.2">
      <c r="A185">
        <f t="shared" si="63"/>
        <v>4823</v>
      </c>
      <c r="B185" s="4">
        <f t="shared" si="64"/>
        <v>6705.8073813626443</v>
      </c>
      <c r="D185" s="21">
        <f t="shared" si="74"/>
        <v>1470.4268292682927</v>
      </c>
      <c r="E185" s="21"/>
      <c r="F185" s="21"/>
      <c r="G185" s="4">
        <f t="shared" si="75"/>
        <v>333.16993351964771</v>
      </c>
      <c r="H185" s="20">
        <f t="shared" si="80"/>
        <v>46236541.894495435</v>
      </c>
      <c r="I185" s="2">
        <f t="shared" si="65"/>
        <v>46.236541894495438</v>
      </c>
      <c r="J185" s="10">
        <f t="shared" si="73"/>
        <v>1.3100492127594092</v>
      </c>
      <c r="K185" s="4">
        <f t="shared" si="66"/>
        <v>1022.0090088736281</v>
      </c>
      <c r="L185" s="316">
        <f t="shared" si="76"/>
        <v>5.6810670372433908E-4</v>
      </c>
      <c r="M185" s="19">
        <f t="shared" si="67"/>
        <v>7.3842822012533454E-3</v>
      </c>
      <c r="N185" s="433">
        <f t="shared" si="77"/>
        <v>5.7355173736161289</v>
      </c>
      <c r="O185" s="433"/>
      <c r="P185" s="434">
        <f t="shared" si="78"/>
        <v>213979.23838842637</v>
      </c>
      <c r="Q185" s="429">
        <f t="shared" si="79"/>
        <v>687051.78797754587</v>
      </c>
      <c r="R185" s="313"/>
      <c r="S185" s="313"/>
      <c r="T185" s="313"/>
      <c r="U185" s="313"/>
    </row>
    <row r="186" spans="1:21" x14ac:dyDescent="0.2">
      <c r="A186">
        <f t="shared" si="63"/>
        <v>4597.9999999999973</v>
      </c>
      <c r="B186" s="4">
        <f t="shared" si="64"/>
        <v>6637.1964242068625</v>
      </c>
      <c r="D186" s="21">
        <f t="shared" si="74"/>
        <v>1401.8292682926822</v>
      </c>
      <c r="E186" s="21"/>
      <c r="F186" s="21"/>
      <c r="G186" s="4">
        <f t="shared" si="75"/>
        <v>331.60695714769651</v>
      </c>
      <c r="H186" s="20">
        <f t="shared" si="80"/>
        <v>45763469.344906315</v>
      </c>
      <c r="I186" s="2">
        <f t="shared" si="65"/>
        <v>45.763469344906312</v>
      </c>
      <c r="J186" s="10">
        <f t="shared" si="73"/>
        <v>1.3045832934781871</v>
      </c>
      <c r="K186" s="4">
        <f t="shared" si="66"/>
        <v>1022.5757670367692</v>
      </c>
      <c r="L186" s="316">
        <f t="shared" si="76"/>
        <v>5.8005389620732664E-4</v>
      </c>
      <c r="M186" s="19">
        <f t="shared" si="67"/>
        <v>7.380189495019336E-3</v>
      </c>
      <c r="N186" s="433">
        <f t="shared" si="77"/>
        <v>5.7323384881035624</v>
      </c>
      <c r="O186" s="433"/>
      <c r="P186" s="434">
        <f t="shared" si="78"/>
        <v>214752.65992612881</v>
      </c>
      <c r="Q186" s="429">
        <f t="shared" si="79"/>
        <v>687432.79460855993</v>
      </c>
      <c r="R186" s="313"/>
      <c r="S186" s="313"/>
      <c r="T186" s="313"/>
      <c r="U186" s="313"/>
    </row>
    <row r="187" spans="1:21" x14ac:dyDescent="0.2">
      <c r="A187">
        <f t="shared" si="63"/>
        <v>4372.9999999999973</v>
      </c>
      <c r="B187" s="4">
        <f t="shared" si="64"/>
        <v>6568.6423800179673</v>
      </c>
      <c r="D187" s="21">
        <f t="shared" si="74"/>
        <v>1333.2317073170725</v>
      </c>
      <c r="E187" s="21"/>
      <c r="F187" s="21"/>
      <c r="G187" s="4">
        <f t="shared" si="75"/>
        <v>330.04398077574524</v>
      </c>
      <c r="H187" s="20">
        <f t="shared" si="80"/>
        <v>45290789.210223883</v>
      </c>
      <c r="I187" s="2">
        <f t="shared" si="65"/>
        <v>45.290789210223885</v>
      </c>
      <c r="J187" s="10">
        <f t="shared" si="73"/>
        <v>1.2991496704023224</v>
      </c>
      <c r="K187" s="4">
        <f t="shared" si="66"/>
        <v>1023.1342082098337</v>
      </c>
      <c r="L187" s="316">
        <f t="shared" si="76"/>
        <v>5.9231057230130647E-4</v>
      </c>
      <c r="M187" s="19">
        <f t="shared" si="67"/>
        <v>7.376161282839579E-3</v>
      </c>
      <c r="N187" s="433">
        <f t="shared" si="77"/>
        <v>5.7292096963927461</v>
      </c>
      <c r="O187" s="433"/>
      <c r="P187" s="434">
        <f t="shared" si="78"/>
        <v>215534.93365424126</v>
      </c>
      <c r="Q187" s="429">
        <f t="shared" si="79"/>
        <v>687808.21009228157</v>
      </c>
      <c r="R187" s="313"/>
      <c r="S187" s="313"/>
      <c r="T187" s="313"/>
      <c r="U187" s="313"/>
    </row>
    <row r="188" spans="1:21" x14ac:dyDescent="0.2">
      <c r="A188">
        <f t="shared" si="63"/>
        <v>4147.9999999999982</v>
      </c>
      <c r="B188" s="4">
        <f t="shared" si="64"/>
        <v>6500.1473435512462</v>
      </c>
      <c r="D188" s="21">
        <f t="shared" si="74"/>
        <v>1264.6341463414628</v>
      </c>
      <c r="E188" s="21"/>
      <c r="F188" s="21"/>
      <c r="G188" s="4">
        <f t="shared" si="75"/>
        <v>328.48100440379403</v>
      </c>
      <c r="H188" s="20">
        <f t="shared" si="80"/>
        <v>44818515.933785841</v>
      </c>
      <c r="I188" s="2">
        <f t="shared" si="65"/>
        <v>44.818515933785839</v>
      </c>
      <c r="J188" s="10">
        <f t="shared" si="73"/>
        <v>1.2937490517573553</v>
      </c>
      <c r="K188" s="4">
        <f t="shared" si="66"/>
        <v>1023.6842186911906</v>
      </c>
      <c r="L188" s="316">
        <f t="shared" si="76"/>
        <v>6.0488627197928101E-4</v>
      </c>
      <c r="M188" s="19">
        <f t="shared" si="67"/>
        <v>7.3721981798204397E-3</v>
      </c>
      <c r="N188" s="433">
        <f t="shared" si="77"/>
        <v>5.7261314762489057</v>
      </c>
      <c r="O188" s="433"/>
      <c r="P188" s="434">
        <f t="shared" si="78"/>
        <v>216326.19732806741</v>
      </c>
      <c r="Q188" s="429">
        <f t="shared" si="79"/>
        <v>688177.9579920962</v>
      </c>
      <c r="R188" s="313"/>
      <c r="S188" s="313"/>
      <c r="T188" s="313"/>
      <c r="U188" s="313"/>
    </row>
    <row r="189" spans="1:21" x14ac:dyDescent="0.2">
      <c r="A189">
        <f t="shared" si="63"/>
        <v>3922.9999999999982</v>
      </c>
      <c r="B189" s="4">
        <f t="shared" si="64"/>
        <v>6431.7134406268033</v>
      </c>
      <c r="D189" s="21">
        <f t="shared" si="74"/>
        <v>1196.0365853658532</v>
      </c>
      <c r="E189" s="21"/>
      <c r="F189" s="21"/>
      <c r="G189" s="4">
        <f t="shared" si="75"/>
        <v>326.91802803184282</v>
      </c>
      <c r="H189" s="20">
        <f t="shared" si="80"/>
        <v>44346664.17312181</v>
      </c>
      <c r="I189" s="2">
        <f t="shared" si="65"/>
        <v>44.346664173121809</v>
      </c>
      <c r="J189" s="10">
        <f t="shared" si="73"/>
        <v>1.288382141631242</v>
      </c>
      <c r="K189" s="4">
        <f t="shared" si="66"/>
        <v>1024.2256843611976</v>
      </c>
      <c r="L189" s="316">
        <f t="shared" si="76"/>
        <v>6.1779087668794729E-4</v>
      </c>
      <c r="M189" s="19">
        <f t="shared" si="67"/>
        <v>7.3683008041855466E-3</v>
      </c>
      <c r="N189" s="433">
        <f t="shared" si="77"/>
        <v>5.7231043078585042</v>
      </c>
      <c r="O189" s="433"/>
      <c r="P189" s="434">
        <f t="shared" si="78"/>
        <v>217126.59131252626</v>
      </c>
      <c r="Q189" s="429">
        <f t="shared" si="79"/>
        <v>688541.96159037843</v>
      </c>
      <c r="R189" s="313"/>
      <c r="S189" s="313"/>
      <c r="T189" s="313"/>
      <c r="U189" s="313"/>
    </row>
    <row r="190" spans="1:21" x14ac:dyDescent="0.2">
      <c r="A190">
        <f t="shared" si="63"/>
        <v>3697.9999999999986</v>
      </c>
      <c r="B190" s="4">
        <f t="shared" si="64"/>
        <v>6363.3428285487971</v>
      </c>
      <c r="D190" s="21">
        <f t="shared" si="74"/>
        <v>1127.4390243902435</v>
      </c>
      <c r="E190" s="21"/>
      <c r="F190" s="21"/>
      <c r="G190" s="4">
        <f t="shared" si="75"/>
        <v>325.35505165989161</v>
      </c>
      <c r="H190" s="20">
        <f t="shared" si="80"/>
        <v>43875248.802843958</v>
      </c>
      <c r="I190" s="2">
        <f t="shared" si="65"/>
        <v>43.875248802843956</v>
      </c>
      <c r="J190" s="10">
        <f t="shared" si="73"/>
        <v>1.2830496397670395</v>
      </c>
      <c r="K190" s="4">
        <f t="shared" si="66"/>
        <v>1024.7584907156499</v>
      </c>
      <c r="L190" s="316">
        <f t="shared" si="76"/>
        <v>6.31034623283417E-4</v>
      </c>
      <c r="M190" s="19">
        <f t="shared" si="67"/>
        <v>7.3644697771430238E-3</v>
      </c>
      <c r="N190" s="433">
        <f t="shared" si="77"/>
        <v>5.7201286737261228</v>
      </c>
      <c r="O190" s="433"/>
      <c r="P190" s="434">
        <f t="shared" si="78"/>
        <v>217936.25863886753</v>
      </c>
      <c r="Q190" s="429">
        <f t="shared" si="79"/>
        <v>688900.14391097834</v>
      </c>
      <c r="R190" s="313"/>
      <c r="S190" s="313"/>
      <c r="T190" s="313"/>
      <c r="U190" s="313"/>
    </row>
    <row r="191" spans="1:21" x14ac:dyDescent="0.2">
      <c r="A191">
        <f t="shared" si="63"/>
        <v>3472.9999999999986</v>
      </c>
      <c r="B191" s="4">
        <f t="shared" si="64"/>
        <v>6295.0376965296364</v>
      </c>
      <c r="D191" s="21">
        <f t="shared" si="74"/>
        <v>1058.8414634146338</v>
      </c>
      <c r="E191" s="21"/>
      <c r="F191" s="21"/>
      <c r="G191" s="4">
        <f t="shared" si="75"/>
        <v>323.79207528794041</v>
      </c>
      <c r="H191" s="20">
        <f t="shared" si="80"/>
        <v>43404284.917571843</v>
      </c>
      <c r="I191" s="2">
        <f t="shared" si="65"/>
        <v>43.404284917571843</v>
      </c>
      <c r="J191" s="10">
        <f t="shared" si="73"/>
        <v>1.2777522413521807</v>
      </c>
      <c r="K191" s="4">
        <f t="shared" si="66"/>
        <v>1025.2825228995673</v>
      </c>
      <c r="L191" s="316">
        <f t="shared" si="76"/>
        <v>6.4462811860629141E-4</v>
      </c>
      <c r="M191" s="19">
        <f t="shared" si="67"/>
        <v>7.3607057227536099E-3</v>
      </c>
      <c r="N191" s="433">
        <f t="shared" si="77"/>
        <v>5.7172050585720253</v>
      </c>
      <c r="O191" s="433"/>
      <c r="P191" s="434">
        <f t="shared" si="78"/>
        <v>218755.34506303101</v>
      </c>
      <c r="Q191" s="429">
        <f t="shared" si="79"/>
        <v>689252.42774193478</v>
      </c>
      <c r="R191" s="313"/>
      <c r="S191" s="313"/>
      <c r="T191" s="313"/>
      <c r="U191" s="313"/>
    </row>
    <row r="192" spans="1:21" x14ac:dyDescent="0.2">
      <c r="A192">
        <f t="shared" si="63"/>
        <v>3247.9999999999991</v>
      </c>
      <c r="B192" s="4">
        <f t="shared" si="64"/>
        <v>6226.8002661193523</v>
      </c>
      <c r="D192" s="21">
        <f t="shared" si="74"/>
        <v>990.24390243902417</v>
      </c>
      <c r="E192" s="21"/>
      <c r="F192" s="21"/>
      <c r="G192" s="4">
        <f t="shared" si="75"/>
        <v>322.2290989159892</v>
      </c>
      <c r="H192" s="20">
        <f t="shared" si="80"/>
        <v>42933787.834892936</v>
      </c>
      <c r="I192" s="2">
        <f t="shared" si="65"/>
        <v>42.933787834892939</v>
      </c>
      <c r="J192" s="10">
        <f t="shared" si="73"/>
        <v>1.2724906368043427</v>
      </c>
      <c r="K192" s="4">
        <f t="shared" si="66"/>
        <v>1025.7976657413294</v>
      </c>
      <c r="L192" s="316">
        <f t="shared" si="76"/>
        <v>6.5858235472861508E-4</v>
      </c>
      <c r="M192" s="19">
        <f t="shared" si="67"/>
        <v>7.3570092677995485E-3</v>
      </c>
      <c r="N192" s="433">
        <f t="shared" si="77"/>
        <v>5.7143339492303191</v>
      </c>
      <c r="O192" s="433"/>
      <c r="P192" s="434">
        <f t="shared" si="78"/>
        <v>219583.9991256943</v>
      </c>
      <c r="Q192" s="429">
        <f t="shared" si="79"/>
        <v>689598.73565842432</v>
      </c>
      <c r="R192" s="313"/>
      <c r="S192" s="313"/>
      <c r="T192" s="313"/>
      <c r="U192" s="313"/>
    </row>
    <row r="193" spans="1:21" x14ac:dyDescent="0.2">
      <c r="A193">
        <f t="shared" si="63"/>
        <v>3022.9999999999995</v>
      </c>
      <c r="B193" s="4">
        <f t="shared" si="64"/>
        <v>6158.6327916403498</v>
      </c>
      <c r="D193" s="21">
        <f t="shared" si="74"/>
        <v>921.6463414634145</v>
      </c>
      <c r="E193" s="21"/>
      <c r="F193" s="21"/>
      <c r="G193" s="4">
        <f t="shared" si="75"/>
        <v>320.66612254403793</v>
      </c>
      <c r="H193" s="20">
        <f t="shared" si="80"/>
        <v>42463773.098360211</v>
      </c>
      <c r="I193" s="2">
        <f t="shared" si="65"/>
        <v>42.463773098360214</v>
      </c>
      <c r="J193" s="10">
        <f t="shared" si="73"/>
        <v>1.2672655115539162</v>
      </c>
      <c r="K193" s="4">
        <f t="shared" si="66"/>
        <v>1026.3038037871568</v>
      </c>
      <c r="L193" s="316">
        <f t="shared" si="76"/>
        <v>6.7290872490721016E-4</v>
      </c>
      <c r="M193" s="19">
        <f t="shared" si="67"/>
        <v>7.353381041654233E-3</v>
      </c>
      <c r="N193" s="433">
        <f t="shared" si="77"/>
        <v>5.7115158345477122</v>
      </c>
      <c r="O193" s="433"/>
      <c r="P193" s="434">
        <f t="shared" si="78"/>
        <v>220422.37221406976</v>
      </c>
      <c r="Q193" s="429">
        <f t="shared" si="79"/>
        <v>689938.99004593922</v>
      </c>
      <c r="R193" s="313"/>
      <c r="S193" s="313"/>
      <c r="T193" s="313"/>
      <c r="U193" s="313"/>
    </row>
    <row r="194" spans="1:21" x14ac:dyDescent="0.2">
      <c r="A194">
        <f t="shared" si="63"/>
        <v>2797.9999999999995</v>
      </c>
      <c r="B194" s="4">
        <f t="shared" si="64"/>
        <v>6090.5375606277503</v>
      </c>
      <c r="D194" s="21">
        <f t="shared" si="74"/>
        <v>853.04878048780483</v>
      </c>
      <c r="E194" s="21"/>
      <c r="F194" s="21"/>
      <c r="G194" s="4">
        <f t="shared" si="75"/>
        <v>319.10314617208672</v>
      </c>
      <c r="H194" s="20">
        <f t="shared" si="80"/>
        <v>41994256.48052834</v>
      </c>
      <c r="I194" s="2">
        <f t="shared" si="65"/>
        <v>41.994256480528342</v>
      </c>
      <c r="J194" s="10">
        <f t="shared" si="73"/>
        <v>1.2620775458230937</v>
      </c>
      <c r="K194" s="4">
        <f t="shared" si="66"/>
        <v>1026.800821335944</v>
      </c>
      <c r="L194" s="316">
        <f t="shared" si="76"/>
        <v>6.8761904027968951E-4</v>
      </c>
      <c r="M194" s="19">
        <f t="shared" si="67"/>
        <v>7.3498216761524928E-3</v>
      </c>
      <c r="N194" s="433">
        <f t="shared" si="77"/>
        <v>5.7087512052827565</v>
      </c>
      <c r="O194" s="433"/>
      <c r="P194" s="434">
        <f t="shared" si="78"/>
        <v>221270.6186255014</v>
      </c>
      <c r="Q194" s="429">
        <f t="shared" si="79"/>
        <v>690273.11312370631</v>
      </c>
      <c r="R194" s="313"/>
      <c r="S194" s="313"/>
      <c r="T194" s="313"/>
      <c r="U194" s="313"/>
    </row>
    <row r="195" spans="1:21" x14ac:dyDescent="0.2">
      <c r="A195">
        <f t="shared" si="63"/>
        <v>2573</v>
      </c>
      <c r="B195" s="4">
        <f t="shared" si="64"/>
        <v>6022.5168942755809</v>
      </c>
      <c r="D195" s="21">
        <f t="shared" si="74"/>
        <v>784.45121951219517</v>
      </c>
      <c r="E195" s="21"/>
      <c r="F195" s="21"/>
      <c r="G195" s="4">
        <f t="shared" si="75"/>
        <v>317.54016980013552</v>
      </c>
      <c r="H195" s="20">
        <f t="shared" si="80"/>
        <v>41525253.986030132</v>
      </c>
      <c r="I195" s="2">
        <f t="shared" si="65"/>
        <v>41.52525398603013</v>
      </c>
      <c r="J195" s="10">
        <f t="shared" si="73"/>
        <v>1.2569274144015865</v>
      </c>
      <c r="K195" s="4">
        <f t="shared" si="66"/>
        <v>1027.2886024744548</v>
      </c>
      <c r="L195" s="316">
        <f t="shared" si="76"/>
        <v>7.0272554734165883E-4</v>
      </c>
      <c r="M195" s="19">
        <f t="shared" si="67"/>
        <v>7.3463318054614235E-3</v>
      </c>
      <c r="N195" s="433">
        <f t="shared" si="77"/>
        <v>5.7060405540055195</v>
      </c>
      <c r="O195" s="433"/>
      <c r="P195" s="434">
        <f t="shared" si="78"/>
        <v>222128.89563292626</v>
      </c>
      <c r="Q195" s="429">
        <f t="shared" si="79"/>
        <v>690601.0269683454</v>
      </c>
      <c r="R195" s="313"/>
      <c r="S195" s="313"/>
      <c r="T195" s="313"/>
      <c r="U195" s="313"/>
    </row>
    <row r="196" spans="1:21" x14ac:dyDescent="0.2">
      <c r="A196">
        <f t="shared" si="63"/>
        <v>2348.0000000000005</v>
      </c>
      <c r="B196" s="4">
        <f t="shared" si="64"/>
        <v>5954.5731478890075</v>
      </c>
      <c r="D196" s="21">
        <f t="shared" si="74"/>
        <v>715.8536585365855</v>
      </c>
      <c r="E196" s="21"/>
      <c r="F196" s="21"/>
      <c r="G196" s="4">
        <f t="shared" si="75"/>
        <v>315.97719342818431</v>
      </c>
      <c r="H196" s="20">
        <f t="shared" si="80"/>
        <v>41056781.854694709</v>
      </c>
      <c r="I196" s="2">
        <f t="shared" si="65"/>
        <v>41.056781854694712</v>
      </c>
      <c r="J196" s="10">
        <f t="shared" si="73"/>
        <v>1.2518157864189865</v>
      </c>
      <c r="K196" s="4">
        <f t="shared" si="66"/>
        <v>1027.7670311128741</v>
      </c>
      <c r="L196" s="316">
        <f t="shared" si="76"/>
        <v>7.1824094624565917E-4</v>
      </c>
      <c r="M196" s="19">
        <f t="shared" si="67"/>
        <v>7.3429120659517242E-3</v>
      </c>
      <c r="N196" s="433">
        <f t="shared" si="77"/>
        <v>5.7033843749976549</v>
      </c>
      <c r="O196" s="433"/>
      <c r="P196" s="434">
        <f t="shared" si="78"/>
        <v>222997.36355225462</v>
      </c>
      <c r="Q196" s="429">
        <f t="shared" si="79"/>
        <v>690922.6535377705</v>
      </c>
      <c r="R196" s="313"/>
      <c r="S196" s="313"/>
      <c r="T196" s="313"/>
      <c r="U196" s="313"/>
    </row>
    <row r="197" spans="1:21" x14ac:dyDescent="0.2">
      <c r="A197">
        <f t="shared" si="63"/>
        <v>2123.0000000000005</v>
      </c>
      <c r="B197" s="4">
        <f t="shared" si="64"/>
        <v>5886.7087113428852</v>
      </c>
      <c r="D197" s="21">
        <f t="shared" si="74"/>
        <v>647.25609756097583</v>
      </c>
      <c r="E197" s="21"/>
      <c r="F197" s="21"/>
      <c r="G197" s="4">
        <f t="shared" si="75"/>
        <v>314.4142170562331</v>
      </c>
      <c r="H197" s="20">
        <f t="shared" si="80"/>
        <v>40588856.564709194</v>
      </c>
      <c r="I197" s="2">
        <f t="shared" si="65"/>
        <v>40.588856564709197</v>
      </c>
      <c r="J197" s="10">
        <f t="shared" si="73"/>
        <v>1.2467433251137934</v>
      </c>
      <c r="K197" s="4">
        <f t="shared" si="66"/>
        <v>1028.2359910207279</v>
      </c>
      <c r="L197" s="316">
        <f t="shared" si="76"/>
        <v>7.3417840996488164E-4</v>
      </c>
      <c r="M197" s="19">
        <f t="shared" si="67"/>
        <v>7.3395630960694219E-3</v>
      </c>
      <c r="N197" s="433">
        <f t="shared" si="77"/>
        <v>5.7007831641527602</v>
      </c>
      <c r="O197" s="433"/>
      <c r="P197" s="434">
        <f t="shared" si="78"/>
        <v>223876.18581173799</v>
      </c>
      <c r="Q197" s="429">
        <f t="shared" si="79"/>
        <v>691237.91469533695</v>
      </c>
      <c r="R197" s="313"/>
      <c r="S197" s="313"/>
      <c r="T197" s="313"/>
      <c r="U197" s="313"/>
    </row>
    <row r="198" spans="1:21" x14ac:dyDescent="0.2">
      <c r="A198">
        <f t="shared" si="63"/>
        <v>1898.0000000000009</v>
      </c>
      <c r="B198" s="4">
        <f t="shared" si="64"/>
        <v>5818.9260095468589</v>
      </c>
      <c r="D198" s="21">
        <f t="shared" si="74"/>
        <v>578.65853658536616</v>
      </c>
      <c r="E198" s="21"/>
      <c r="F198" s="21"/>
      <c r="G198" s="4">
        <f t="shared" si="75"/>
        <v>312.85124068428189</v>
      </c>
      <c r="H198" s="20">
        <f t="shared" si="80"/>
        <v>40121494.835825592</v>
      </c>
      <c r="I198" s="2">
        <f t="shared" si="65"/>
        <v>40.121494835825594</v>
      </c>
      <c r="J198" s="10">
        <f t="shared" si="73"/>
        <v>1.2417106875991251</v>
      </c>
      <c r="K198" s="4">
        <f t="shared" si="66"/>
        <v>1028.6953658631753</v>
      </c>
      <c r="L198" s="316">
        <f t="shared" si="76"/>
        <v>7.5055160436701565E-4</v>
      </c>
      <c r="M198" s="19">
        <f t="shared" si="67"/>
        <v>7.3362855362078972E-3</v>
      </c>
      <c r="N198" s="433">
        <f t="shared" si="77"/>
        <v>5.6982374188769835</v>
      </c>
      <c r="O198" s="433"/>
      <c r="P198" s="434">
        <f t="shared" si="78"/>
        <v>224765.52902338689</v>
      </c>
      <c r="Q198" s="429">
        <f t="shared" si="79"/>
        <v>691546.73223423818</v>
      </c>
      <c r="R198" s="313"/>
      <c r="S198" s="313"/>
      <c r="T198" s="313"/>
      <c r="U198" s="313"/>
    </row>
    <row r="199" spans="1:21" x14ac:dyDescent="0.2">
      <c r="A199">
        <f t="shared" si="63"/>
        <v>1672.9999999999982</v>
      </c>
      <c r="B199" s="4">
        <f t="shared" si="64"/>
        <v>5751.2275029172934</v>
      </c>
      <c r="D199" s="21">
        <f t="shared" si="74"/>
        <v>510.06097560975559</v>
      </c>
      <c r="E199" s="21"/>
      <c r="F199" s="21"/>
      <c r="G199" s="4">
        <f t="shared" si="75"/>
        <v>311.28826431233063</v>
      </c>
      <c r="H199" s="20">
        <f t="shared" si="80"/>
        <v>39654713.632614739</v>
      </c>
      <c r="I199" s="2">
        <f t="shared" si="65"/>
        <v>39.654713632614737</v>
      </c>
      <c r="J199" s="10">
        <f t="shared" si="73"/>
        <v>1.2367185246251389</v>
      </c>
      <c r="K199" s="4">
        <f t="shared" si="66"/>
        <v>1029.1450392376735</v>
      </c>
      <c r="L199" s="316">
        <f t="shared" si="76"/>
        <v>7.6737470924631123E-4</v>
      </c>
      <c r="M199" s="19">
        <f t="shared" si="67"/>
        <v>7.3330800285801362E-3</v>
      </c>
      <c r="N199" s="433">
        <f t="shared" si="77"/>
        <v>5.695747637989796</v>
      </c>
      <c r="O199" s="433"/>
      <c r="P199" s="434">
        <f t="shared" si="78"/>
        <v>225665.56305650566</v>
      </c>
      <c r="Q199" s="429">
        <f t="shared" si="79"/>
        <v>691849.02790215553</v>
      </c>
      <c r="R199" s="313"/>
      <c r="S199" s="313"/>
      <c r="T199" s="313"/>
      <c r="U199" s="313"/>
    </row>
    <row r="200" spans="1:21" x14ac:dyDescent="0.2">
      <c r="A200">
        <f t="shared" si="63"/>
        <v>1447.9999999999986</v>
      </c>
      <c r="B200" s="4">
        <f t="shared" si="64"/>
        <v>5683.6156878562861</v>
      </c>
      <c r="D200" s="21">
        <f t="shared" si="74"/>
        <v>441.46341463414592</v>
      </c>
      <c r="E200" s="21"/>
      <c r="F200" s="21"/>
      <c r="G200" s="4">
        <f t="shared" si="75"/>
        <v>309.72528794037942</v>
      </c>
      <c r="H200" s="20">
        <f t="shared" si="80"/>
        <v>39188530.167769089</v>
      </c>
      <c r="I200" s="2">
        <f t="shared" si="65"/>
        <v>39.188530167769088</v>
      </c>
      <c r="J200" s="10">
        <f t="shared" si="73"/>
        <v>1.2317674803381835</v>
      </c>
      <c r="K200" s="4">
        <f t="shared" si="66"/>
        <v>1029.5848947110246</v>
      </c>
      <c r="L200" s="316">
        <f t="shared" si="76"/>
        <v>7.84662440364722E-4</v>
      </c>
      <c r="M200" s="19">
        <f t="shared" si="67"/>
        <v>7.3299472170910958E-3</v>
      </c>
      <c r="N200" s="433">
        <f t="shared" si="77"/>
        <v>5.6933143216248538</v>
      </c>
      <c r="O200" s="433"/>
      <c r="P200" s="434">
        <f t="shared" si="78"/>
        <v>226576.46111341991</v>
      </c>
      <c r="Q200" s="429">
        <f t="shared" si="79"/>
        <v>692144.72342616157</v>
      </c>
      <c r="R200" s="313"/>
      <c r="S200" s="313"/>
      <c r="T200" s="313"/>
      <c r="U200" s="313"/>
    </row>
    <row r="201" spans="1:21" x14ac:dyDescent="0.2">
      <c r="A201">
        <f t="shared" si="63"/>
        <v>1222.9999999999989</v>
      </c>
      <c r="B201" s="4">
        <f t="shared" si="64"/>
        <v>5616.0930972380493</v>
      </c>
      <c r="D201" s="21">
        <f t="shared" si="74"/>
        <v>372.86585365853625</v>
      </c>
      <c r="E201" s="21"/>
      <c r="F201" s="21"/>
      <c r="G201" s="4">
        <f t="shared" si="75"/>
        <v>308.16231156842821</v>
      </c>
      <c r="H201" s="20">
        <f t="shared" si="80"/>
        <v>38722961.905456349</v>
      </c>
      <c r="I201" s="2">
        <f t="shared" si="65"/>
        <v>38.722961905456351</v>
      </c>
      <c r="J201" s="10">
        <f t="shared" si="73"/>
        <v>1.2268581920367132</v>
      </c>
      <c r="K201" s="4">
        <f t="shared" si="66"/>
        <v>1030.0148158568061</v>
      </c>
      <c r="L201" s="316">
        <f t="shared" si="76"/>
        <v>8.0243007255591345E-4</v>
      </c>
      <c r="M201" s="19">
        <f t="shared" si="67"/>
        <v>7.3268877472101044E-3</v>
      </c>
      <c r="N201" s="433">
        <f t="shared" si="77"/>
        <v>5.6909379711308947</v>
      </c>
      <c r="O201" s="433"/>
      <c r="P201" s="434">
        <f t="shared" si="78"/>
        <v>227498.39980746253</v>
      </c>
      <c r="Q201" s="429">
        <f t="shared" si="79"/>
        <v>692433.74053788348</v>
      </c>
      <c r="R201" s="313"/>
      <c r="S201" s="313"/>
      <c r="T201" s="313"/>
      <c r="U201" s="313"/>
    </row>
    <row r="202" spans="1:21" x14ac:dyDescent="0.2">
      <c r="A202">
        <f t="shared" si="63"/>
        <v>997.99999999999909</v>
      </c>
      <c r="B202" s="4">
        <f t="shared" si="64"/>
        <v>5548.6623009029627</v>
      </c>
      <c r="D202" s="21">
        <f t="shared" si="74"/>
        <v>304.26829268292659</v>
      </c>
      <c r="E202" s="21"/>
      <c r="F202" s="21"/>
      <c r="G202" s="4">
        <f t="shared" si="75"/>
        <v>306.599335196477</v>
      </c>
      <c r="H202" s="20">
        <f t="shared" si="80"/>
        <v>38258026.564725928</v>
      </c>
      <c r="I202" s="2">
        <f t="shared" si="65"/>
        <v>38.258026564725931</v>
      </c>
      <c r="J202" s="10">
        <f t="shared" si="73"/>
        <v>1.2219912899239955</v>
      </c>
      <c r="K202" s="4">
        <f t="shared" si="66"/>
        <v>1030.4346862931916</v>
      </c>
      <c r="L202" s="316">
        <f t="shared" si="76"/>
        <v>8.2069346394913827E-4</v>
      </c>
      <c r="M202" s="19">
        <f t="shared" si="67"/>
        <v>7.3239022658431723E-3</v>
      </c>
      <c r="N202" s="433">
        <f t="shared" si="77"/>
        <v>5.6886190889725539</v>
      </c>
      <c r="O202" s="433"/>
      <c r="P202" s="434">
        <f t="shared" si="78"/>
        <v>228431.55924330049</v>
      </c>
      <c r="Q202" s="429">
        <f t="shared" si="79"/>
        <v>692716.00099892926</v>
      </c>
      <c r="R202" s="313"/>
      <c r="S202" s="313"/>
      <c r="T202" s="313"/>
      <c r="U202" s="313"/>
    </row>
    <row r="203" spans="1:21" x14ac:dyDescent="0.2">
      <c r="A203">
        <f t="shared" si="63"/>
        <v>772.99999999999943</v>
      </c>
      <c r="B203" s="4">
        <f t="shared" si="64"/>
        <v>5481.3259061595791</v>
      </c>
      <c r="D203" s="21">
        <f t="shared" si="74"/>
        <v>235.67073170731692</v>
      </c>
      <c r="E203" s="21"/>
      <c r="F203" s="21"/>
      <c r="G203" s="4">
        <f t="shared" si="75"/>
        <v>305.03635882452573</v>
      </c>
      <c r="H203" s="20">
        <f t="shared" si="80"/>
        <v>37793742.122970298</v>
      </c>
      <c r="I203" s="2">
        <f t="shared" si="65"/>
        <v>37.793742122970301</v>
      </c>
      <c r="J203" s="10">
        <f t="shared" si="73"/>
        <v>1.2171673968576406</v>
      </c>
      <c r="K203" s="4">
        <f t="shared" si="66"/>
        <v>1030.8443897211657</v>
      </c>
      <c r="L203" s="316">
        <f t="shared" si="76"/>
        <v>8.3946908137336369E-4</v>
      </c>
      <c r="M203" s="19">
        <f t="shared" si="67"/>
        <v>7.3209914212051417E-3</v>
      </c>
      <c r="N203" s="433">
        <f t="shared" si="77"/>
        <v>5.6863581786310595</v>
      </c>
      <c r="O203" s="433"/>
      <c r="P203" s="434">
        <f t="shared" si="78"/>
        <v>229376.12309968146</v>
      </c>
      <c r="Q203" s="429">
        <f t="shared" si="79"/>
        <v>692991.42662657646</v>
      </c>
      <c r="R203" s="313"/>
      <c r="S203" s="313"/>
      <c r="T203" s="313"/>
      <c r="U203" s="313"/>
    </row>
    <row r="204" spans="1:21" x14ac:dyDescent="0.2">
      <c r="A204">
        <f t="shared" ref="A204:A212" si="81">D204*3.28</f>
        <v>547.99999999999977</v>
      </c>
      <c r="B204" s="4">
        <f t="shared" ref="B204:B212" si="82">H204/6895</f>
        <v>5414.08655829491</v>
      </c>
      <c r="D204" s="21">
        <f t="shared" si="74"/>
        <v>167.07317073170725</v>
      </c>
      <c r="E204" s="21"/>
      <c r="F204" s="21"/>
      <c r="G204" s="4">
        <f t="shared" si="75"/>
        <v>303.47338245257453</v>
      </c>
      <c r="H204" s="20">
        <f t="shared" si="80"/>
        <v>37330126.819443405</v>
      </c>
      <c r="I204" s="2">
        <f t="shared" ref="I204:I213" si="83">Pi/1000000</f>
        <v>37.330126819443407</v>
      </c>
      <c r="J204" s="10">
        <f t="shared" si="73"/>
        <v>1.2123871280959928</v>
      </c>
      <c r="K204" s="4">
        <f t="shared" ref="K204:K213" si="84">(-0.002516*(T-273)^2-0.1853*(T-273)+1002)*(1+Pi/1000000*(0.00000002*(T-273)^2-0.00000224*(T-273)+0.000508))*(1+Cbrine)</f>
        <v>1031.2438099631388</v>
      </c>
      <c r="L204" s="316">
        <f t="shared" si="76"/>
        <v>8.5877402700550132E-4</v>
      </c>
      <c r="M204" s="19">
        <f t="shared" ref="M204:M212" si="85">mw/rhow</f>
        <v>7.3181558626915395E-3</v>
      </c>
      <c r="N204" s="433">
        <f t="shared" si="77"/>
        <v>5.6841557445047055</v>
      </c>
      <c r="O204" s="433"/>
      <c r="P204" s="434">
        <f t="shared" si="78"/>
        <v>230332.27871467674</v>
      </c>
      <c r="Q204" s="429">
        <f t="shared" si="79"/>
        <v>693259.93931973213</v>
      </c>
      <c r="R204" s="313"/>
      <c r="S204" s="313"/>
      <c r="T204" s="313"/>
      <c r="U204" s="313"/>
    </row>
    <row r="205" spans="1:21" x14ac:dyDescent="0.2">
      <c r="A205">
        <f t="shared" si="81"/>
        <v>323.00000000000006</v>
      </c>
      <c r="B205" s="4">
        <f t="shared" si="82"/>
        <v>5346.946941093307</v>
      </c>
      <c r="D205" s="21">
        <f t="shared" si="74"/>
        <v>98.475609756097583</v>
      </c>
      <c r="E205" s="21"/>
      <c r="F205" s="21"/>
      <c r="G205" s="4">
        <f t="shared" si="75"/>
        <v>301.91040608062332</v>
      </c>
      <c r="H205" s="20">
        <f t="shared" si="80"/>
        <v>36867199.158838354</v>
      </c>
      <c r="I205" s="2">
        <f t="shared" si="83"/>
        <v>36.867199158838353</v>
      </c>
      <c r="J205" s="10">
        <f t="shared" si="73"/>
        <v>1.2076510910414209</v>
      </c>
      <c r="K205" s="4">
        <f t="shared" si="84"/>
        <v>1031.6328310019651</v>
      </c>
      <c r="L205" s="316">
        <f t="shared" si="76"/>
        <v>8.7862606633057555E-4</v>
      </c>
      <c r="M205" s="19">
        <f t="shared" si="85"/>
        <v>7.3153962407500467E-3</v>
      </c>
      <c r="N205" s="433">
        <f t="shared" si="77"/>
        <v>5.682012291809011</v>
      </c>
      <c r="O205" s="433"/>
      <c r="P205" s="434">
        <f t="shared" si="78"/>
        <v>231300.21717351285</v>
      </c>
      <c r="Q205" s="429">
        <f t="shared" si="79"/>
        <v>693521.46108516259</v>
      </c>
      <c r="R205" s="313"/>
      <c r="S205" s="313"/>
      <c r="T205" s="313"/>
      <c r="U205" s="313"/>
    </row>
    <row r="206" spans="1:21" x14ac:dyDescent="0.2">
      <c r="A206">
        <f t="shared" si="81"/>
        <v>98.000000000000355</v>
      </c>
      <c r="B206" s="4">
        <f t="shared" si="82"/>
        <v>5279.9097773642789</v>
      </c>
      <c r="D206" s="21">
        <f t="shared" si="74"/>
        <v>29.878048780487916</v>
      </c>
      <c r="E206" s="21"/>
      <c r="F206" s="21"/>
      <c r="G206" s="4">
        <f t="shared" si="75"/>
        <v>300.34742970867211</v>
      </c>
      <c r="H206" s="20">
        <f t="shared" si="80"/>
        <v>36404977.9149267</v>
      </c>
      <c r="I206" s="2">
        <f t="shared" si="83"/>
        <v>36.404977914926697</v>
      </c>
      <c r="J206" s="10">
        <f t="shared" si="73"/>
        <v>1.202959884980545</v>
      </c>
      <c r="K206" s="4">
        <f t="shared" si="84"/>
        <v>1032.0113370203733</v>
      </c>
      <c r="L206" s="316">
        <f t="shared" si="76"/>
        <v>8.9904365748556488E-4</v>
      </c>
      <c r="M206" s="19">
        <f t="shared" si="85"/>
        <v>7.3127132067514486E-3</v>
      </c>
      <c r="N206" s="433">
        <f t="shared" si="77"/>
        <v>5.6799283264764906</v>
      </c>
      <c r="O206" s="433"/>
      <c r="P206" s="434">
        <f t="shared" si="78"/>
        <v>232280.13339907725</v>
      </c>
      <c r="Q206" s="429">
        <f t="shared" si="79"/>
        <v>693775.91406400094</v>
      </c>
      <c r="R206" s="313"/>
      <c r="S206" s="313"/>
      <c r="T206" s="313"/>
      <c r="U206" s="313"/>
    </row>
    <row r="207" spans="1:21" x14ac:dyDescent="0.2">
      <c r="A207">
        <f t="shared" si="81"/>
        <v>-127.00000000000232</v>
      </c>
      <c r="B207" s="4">
        <f t="shared" si="82"/>
        <v>5212.9778294795906</v>
      </c>
      <c r="D207" s="21">
        <f t="shared" si="74"/>
        <v>-38.719512195122661</v>
      </c>
      <c r="E207" s="21"/>
      <c r="F207" s="21"/>
      <c r="G207" s="4">
        <f t="shared" si="75"/>
        <v>299.66666666666669</v>
      </c>
      <c r="H207" s="20">
        <f t="shared" si="80"/>
        <v>35943482.134261779</v>
      </c>
      <c r="I207" s="2">
        <f t="shared" si="83"/>
        <v>35.943482134261778</v>
      </c>
      <c r="J207" s="10">
        <f t="shared" si="73"/>
        <v>1.1983141008214511</v>
      </c>
      <c r="K207" s="4">
        <f t="shared" si="84"/>
        <v>1032.0506218306455</v>
      </c>
      <c r="L207" s="316">
        <f t="shared" si="76"/>
        <v>9.081183042012489E-4</v>
      </c>
      <c r="M207" s="19">
        <f t="shared" si="85"/>
        <v>7.312434849716604E-3</v>
      </c>
      <c r="N207" s="433">
        <f t="shared" si="77"/>
        <v>5.6797121210870012</v>
      </c>
      <c r="O207" s="433"/>
      <c r="P207" s="434">
        <f t="shared" si="78"/>
        <v>279285.9644715903</v>
      </c>
      <c r="Q207" s="429">
        <f t="shared" si="79"/>
        <v>0</v>
      </c>
      <c r="R207" s="313"/>
      <c r="S207" s="313"/>
      <c r="T207" s="313"/>
      <c r="U207" s="313"/>
    </row>
    <row r="208" spans="1:21" x14ac:dyDescent="0.2">
      <c r="A208">
        <f t="shared" si="81"/>
        <v>-352.00000000000199</v>
      </c>
      <c r="B208" s="4">
        <f t="shared" si="82"/>
        <v>5253.4834080831579</v>
      </c>
      <c r="D208" s="21">
        <f t="shared" si="74"/>
        <v>-107.31707317073233</v>
      </c>
      <c r="E208" s="21"/>
      <c r="F208" s="21"/>
      <c r="G208" s="4">
        <f t="shared" si="75"/>
        <v>299.66666666666669</v>
      </c>
      <c r="H208" s="20">
        <f t="shared" si="80"/>
        <v>36222768.098733373</v>
      </c>
      <c r="I208" s="2">
        <f t="shared" si="83"/>
        <v>36.222768098733376</v>
      </c>
      <c r="J208" s="10">
        <f t="shared" ref="J208:J213" si="86">1+BB*H208+CCC*H208^2+DD*H208^3</f>
        <v>1.2011210407766808</v>
      </c>
      <c r="K208" s="4">
        <f t="shared" si="84"/>
        <v>1032.1817485772872</v>
      </c>
      <c r="L208" s="316">
        <f t="shared" si="76"/>
        <v>9.081183042012489E-4</v>
      </c>
      <c r="M208" s="19">
        <f t="shared" si="85"/>
        <v>7.3115058894892082E-3</v>
      </c>
      <c r="N208" s="433">
        <f t="shared" si="77"/>
        <v>5.6789905793882394</v>
      </c>
      <c r="O208" s="433"/>
      <c r="P208" s="434">
        <f t="shared" si="78"/>
        <v>279250.48442173074</v>
      </c>
      <c r="Q208" s="429">
        <f t="shared" si="79"/>
        <v>0</v>
      </c>
      <c r="R208" s="313"/>
      <c r="S208" s="313"/>
      <c r="T208" s="313"/>
      <c r="U208" s="313"/>
    </row>
    <row r="209" spans="1:21" x14ac:dyDescent="0.2">
      <c r="A209">
        <f t="shared" si="81"/>
        <v>-577.00000000000171</v>
      </c>
      <c r="B209" s="4">
        <f t="shared" si="82"/>
        <v>5293.9838409216973</v>
      </c>
      <c r="D209" s="21">
        <f t="shared" si="74"/>
        <v>-175.914634146342</v>
      </c>
      <c r="E209" s="21"/>
      <c r="F209" s="21"/>
      <c r="G209" s="4">
        <f t="shared" si="75"/>
        <v>299.66666666666669</v>
      </c>
      <c r="H209" s="20">
        <f t="shared" si="80"/>
        <v>36502018.583155103</v>
      </c>
      <c r="I209" s="2">
        <f t="shared" si="83"/>
        <v>36.502018583155106</v>
      </c>
      <c r="J209" s="10">
        <f t="shared" si="86"/>
        <v>1.2039416318118132</v>
      </c>
      <c r="K209" s="4">
        <f t="shared" si="84"/>
        <v>1032.3128586657933</v>
      </c>
      <c r="L209" s="316">
        <f t="shared" si="76"/>
        <v>9.081183042012489E-4</v>
      </c>
      <c r="M209" s="19">
        <f t="shared" si="85"/>
        <v>7.3105772832278045E-3</v>
      </c>
      <c r="N209" s="433">
        <f t="shared" si="77"/>
        <v>5.6782693126218335</v>
      </c>
      <c r="O209" s="433"/>
      <c r="P209" s="434">
        <f t="shared" si="78"/>
        <v>279215.0178909977</v>
      </c>
      <c r="Q209" s="429">
        <f t="shared" si="79"/>
        <v>0</v>
      </c>
      <c r="R209" s="313"/>
      <c r="S209" s="313"/>
      <c r="T209" s="313"/>
      <c r="U209" s="313"/>
    </row>
    <row r="210" spans="1:21" x14ac:dyDescent="0.2">
      <c r="A210">
        <f t="shared" si="81"/>
        <v>-802.00000000000136</v>
      </c>
      <c r="B210" s="4">
        <f t="shared" si="82"/>
        <v>5334.4791299559247</v>
      </c>
      <c r="D210" s="21">
        <f t="shared" si="74"/>
        <v>-244.51219512195166</v>
      </c>
      <c r="E210" s="21"/>
      <c r="F210" s="21"/>
      <c r="G210" s="4">
        <f t="shared" si="75"/>
        <v>299.66666666666669</v>
      </c>
      <c r="H210" s="20">
        <f t="shared" si="80"/>
        <v>36781233.6010461</v>
      </c>
      <c r="I210" s="2">
        <f t="shared" si="83"/>
        <v>36.781233601046097</v>
      </c>
      <c r="J210" s="10">
        <f t="shared" si="86"/>
        <v>1.206775742273547</v>
      </c>
      <c r="K210" s="4">
        <f t="shared" si="84"/>
        <v>1032.443952102511</v>
      </c>
      <c r="L210" s="316">
        <f t="shared" si="76"/>
        <v>9.081183042012489E-4</v>
      </c>
      <c r="M210" s="19">
        <f t="shared" si="85"/>
        <v>7.3096490307076583E-3</v>
      </c>
      <c r="N210" s="433">
        <f t="shared" si="77"/>
        <v>5.6775483206132265</v>
      </c>
      <c r="O210" s="433"/>
      <c r="P210" s="434">
        <f t="shared" si="78"/>
        <v>279179.5648708081</v>
      </c>
      <c r="Q210" s="429">
        <f t="shared" si="79"/>
        <v>0</v>
      </c>
      <c r="R210" s="313"/>
      <c r="S210" s="313"/>
      <c r="T210" s="313"/>
      <c r="U210" s="313"/>
    </row>
    <row r="211" spans="1:21" x14ac:dyDescent="0.2">
      <c r="A211">
        <f t="shared" si="81"/>
        <v>-1027.0000000000011</v>
      </c>
      <c r="B211" s="4">
        <f t="shared" si="82"/>
        <v>5374.9692771453092</v>
      </c>
      <c r="D211" s="21">
        <f t="shared" si="74"/>
        <v>-313.10975609756133</v>
      </c>
      <c r="E211" s="21"/>
      <c r="F211" s="21"/>
      <c r="G211" s="4">
        <f t="shared" si="75"/>
        <v>299.66666666666669</v>
      </c>
      <c r="H211" s="20">
        <f t="shared" si="80"/>
        <v>37060413.165916905</v>
      </c>
      <c r="I211" s="2">
        <f t="shared" si="83"/>
        <v>37.060413165916906</v>
      </c>
      <c r="J211" s="10">
        <f t="shared" si="86"/>
        <v>1.2096232406082204</v>
      </c>
      <c r="K211" s="4">
        <f t="shared" si="84"/>
        <v>1032.5750288937834</v>
      </c>
      <c r="L211" s="316">
        <f t="shared" si="76"/>
        <v>9.081183042012489E-4</v>
      </c>
      <c r="M211" s="19">
        <f t="shared" si="85"/>
        <v>7.3087211317042333E-3</v>
      </c>
      <c r="N211" s="433">
        <f t="shared" si="77"/>
        <v>5.6768276031880172</v>
      </c>
      <c r="O211" s="433"/>
      <c r="P211" s="434">
        <f t="shared" si="78"/>
        <v>279144.12535258604</v>
      </c>
      <c r="Q211" s="429">
        <f t="shared" si="79"/>
        <v>0</v>
      </c>
      <c r="R211" s="313"/>
      <c r="S211" s="313"/>
      <c r="T211" s="313"/>
      <c r="U211" s="313"/>
    </row>
    <row r="212" spans="1:21" x14ac:dyDescent="0.2">
      <c r="A212">
        <f t="shared" si="81"/>
        <v>-1252.0000000000009</v>
      </c>
      <c r="B212" s="4">
        <f t="shared" si="82"/>
        <v>5415.4542844480766</v>
      </c>
      <c r="D212" s="21">
        <f t="shared" si="74"/>
        <v>-381.707317073171</v>
      </c>
      <c r="E212" s="21"/>
      <c r="F212" s="21"/>
      <c r="G212" s="4">
        <f t="shared" si="75"/>
        <v>299.66666666666669</v>
      </c>
      <c r="H212" s="20">
        <f t="shared" si="80"/>
        <v>37339557.291269489</v>
      </c>
      <c r="I212" s="2">
        <f t="shared" si="83"/>
        <v>37.339557291269486</v>
      </c>
      <c r="J212" s="10">
        <f t="shared" si="86"/>
        <v>1.2124839953617155</v>
      </c>
      <c r="K212" s="4">
        <f>(-0.002516*(T-273)^2-0.1853*(T-273)+1002)*(1+Pi/1000000*(0.00000002*(T-273)^2-0.00000224*(T-273)+0.000508))*(1+Cbrine)</f>
        <v>1032.7060890459502</v>
      </c>
      <c r="L212" s="316">
        <f t="shared" si="76"/>
        <v>9.081183042012489E-4</v>
      </c>
      <c r="M212" s="19">
        <f t="shared" si="85"/>
        <v>7.3077935859931871E-3</v>
      </c>
      <c r="N212" s="433">
        <f t="shared" si="77"/>
        <v>5.6761071601719548</v>
      </c>
      <c r="O212" s="433"/>
      <c r="P212" s="434">
        <f t="shared" si="78"/>
        <v>279108.69932776329</v>
      </c>
      <c r="Q212" s="429">
        <f t="shared" si="79"/>
        <v>0</v>
      </c>
      <c r="R212" s="313"/>
      <c r="S212" s="313"/>
      <c r="T212" s="313"/>
      <c r="U212" s="313"/>
    </row>
    <row r="213" spans="1:21" x14ac:dyDescent="0.2">
      <c r="C213" s="8" t="s">
        <v>67</v>
      </c>
      <c r="G213" s="4">
        <f>T0</f>
        <v>299.66666666666669</v>
      </c>
      <c r="H213" s="18">
        <f>H212+P212</f>
        <v>37618665.990597256</v>
      </c>
      <c r="I213" s="2">
        <f t="shared" si="83"/>
        <v>37.618665990597258</v>
      </c>
      <c r="J213" s="10">
        <f t="shared" si="86"/>
        <v>1.2153578751793641</v>
      </c>
      <c r="K213" s="4">
        <f t="shared" si="84"/>
        <v>1032.8371325653461</v>
      </c>
      <c r="L213" s="317"/>
      <c r="M213" s="318"/>
      <c r="N213" s="7"/>
      <c r="O213" s="7"/>
      <c r="P213" s="6"/>
      <c r="Q213" s="6"/>
    </row>
    <row r="214" spans="1:21" x14ac:dyDescent="0.2">
      <c r="G214" s="17"/>
      <c r="N214" s="4"/>
      <c r="O214" s="4"/>
    </row>
    <row r="215" spans="1:21" x14ac:dyDescent="0.2">
      <c r="C215" s="8" t="s">
        <v>60</v>
      </c>
    </row>
    <row r="216" spans="1:21" x14ac:dyDescent="0.2">
      <c r="C216">
        <v>1</v>
      </c>
      <c r="D216" t="s">
        <v>61</v>
      </c>
    </row>
  </sheetData>
  <mergeCells count="1">
    <mergeCell ref="H5:I5"/>
  </mergeCells>
  <phoneticPr fontId="0"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J7" sqref="J7"/>
    </sheetView>
  </sheetViews>
  <sheetFormatPr defaultRowHeight="12.75" x14ac:dyDescent="0.2"/>
  <cols>
    <col min="2" max="2" width="9.140625" customWidth="1"/>
    <col min="3" max="3" width="11.85546875" customWidth="1"/>
    <col min="4" max="4" width="10.5703125" customWidth="1"/>
    <col min="5" max="5" width="9.5703125" customWidth="1"/>
    <col min="6" max="6" width="10.85546875" customWidth="1"/>
    <col min="7" max="7" width="13.5703125" customWidth="1"/>
    <col min="10" max="10" width="10.28515625" customWidth="1"/>
  </cols>
  <sheetData>
    <row r="1" spans="1:15" ht="15.75" x14ac:dyDescent="0.25">
      <c r="A1" s="66" t="s">
        <v>316</v>
      </c>
      <c r="F1" s="8"/>
      <c r="H1" s="90" t="s">
        <v>95</v>
      </c>
      <c r="I1" s="203"/>
      <c r="J1" s="164"/>
      <c r="K1" s="165"/>
    </row>
    <row r="2" spans="1:15" ht="15.75" x14ac:dyDescent="0.25">
      <c r="A2" s="66"/>
      <c r="F2" s="8"/>
      <c r="H2" s="428"/>
      <c r="I2" s="333" t="s">
        <v>361</v>
      </c>
      <c r="J2" s="33"/>
      <c r="K2" s="333" t="s">
        <v>411</v>
      </c>
    </row>
    <row r="3" spans="1:15" x14ac:dyDescent="0.2">
      <c r="C3" s="14" t="s">
        <v>306</v>
      </c>
      <c r="F3" s="14" t="s">
        <v>308</v>
      </c>
      <c r="H3" s="182" t="s">
        <v>357</v>
      </c>
      <c r="I3" s="388" t="s">
        <v>358</v>
      </c>
      <c r="J3" t="s">
        <v>488</v>
      </c>
      <c r="K3" t="s">
        <v>410</v>
      </c>
      <c r="L3" s="480">
        <f>VLOOKUP('Circ Model'!G17,K4:L6,2,"FALSE")</f>
        <v>0.4</v>
      </c>
      <c r="O3" s="57" t="s">
        <v>464</v>
      </c>
    </row>
    <row r="4" spans="1:15" x14ac:dyDescent="0.2">
      <c r="C4" s="405">
        <v>1.69</v>
      </c>
      <c r="E4" s="405">
        <v>1.69</v>
      </c>
      <c r="F4" s="382">
        <f>G12</f>
        <v>0.32</v>
      </c>
      <c r="H4" s="405">
        <v>1.69</v>
      </c>
      <c r="I4" s="426">
        <v>0.25</v>
      </c>
      <c r="J4">
        <v>1</v>
      </c>
      <c r="K4" s="481">
        <f>C4</f>
        <v>1.69</v>
      </c>
      <c r="L4" s="482">
        <v>0.31</v>
      </c>
      <c r="O4" t="s">
        <v>462</v>
      </c>
    </row>
    <row r="5" spans="1:15" x14ac:dyDescent="0.2">
      <c r="C5" s="406">
        <v>2.12</v>
      </c>
      <c r="E5" s="406">
        <v>2.12</v>
      </c>
      <c r="F5" s="383">
        <f>G12</f>
        <v>0.32</v>
      </c>
      <c r="H5" s="406">
        <v>2.12</v>
      </c>
      <c r="I5" s="427">
        <v>0.25</v>
      </c>
      <c r="J5">
        <v>1</v>
      </c>
      <c r="K5" s="483">
        <f>C5</f>
        <v>2.12</v>
      </c>
      <c r="L5" s="484">
        <v>0.31</v>
      </c>
      <c r="O5" t="s">
        <v>151</v>
      </c>
    </row>
    <row r="6" spans="1:15" x14ac:dyDescent="0.2">
      <c r="C6" s="406">
        <v>2.88</v>
      </c>
      <c r="E6" s="406">
        <v>2.88</v>
      </c>
      <c r="F6" s="424">
        <f>H12</f>
        <v>0.36</v>
      </c>
      <c r="H6" s="406">
        <v>2.88</v>
      </c>
      <c r="I6" s="427">
        <v>0.16</v>
      </c>
      <c r="J6">
        <v>0.5</v>
      </c>
      <c r="K6" s="485">
        <f>C6</f>
        <v>2.88</v>
      </c>
      <c r="L6" s="486">
        <v>0.4</v>
      </c>
      <c r="O6" t="s">
        <v>463</v>
      </c>
    </row>
    <row r="7" spans="1:15" x14ac:dyDescent="0.2">
      <c r="C7" s="422"/>
      <c r="D7" s="292"/>
      <c r="E7" s="423"/>
      <c r="F7" s="478"/>
      <c r="G7" s="292"/>
      <c r="H7" s="423"/>
      <c r="I7" s="479"/>
      <c r="J7">
        <f>VLOOKUP('Circ Model'!G17,'HP Data'!H4:J6,3)</f>
        <v>0.5</v>
      </c>
    </row>
    <row r="8" spans="1:15" x14ac:dyDescent="0.2">
      <c r="C8" s="422"/>
      <c r="E8" s="423"/>
      <c r="F8" s="292"/>
      <c r="H8" s="423"/>
    </row>
    <row r="9" spans="1:15" x14ac:dyDescent="0.2">
      <c r="G9" s="536" t="s">
        <v>288</v>
      </c>
      <c r="H9" s="536"/>
    </row>
    <row r="10" spans="1:15" x14ac:dyDescent="0.2">
      <c r="D10" s="535" t="s">
        <v>290</v>
      </c>
      <c r="E10" s="535"/>
      <c r="G10" s="182" t="s">
        <v>355</v>
      </c>
      <c r="H10" s="182">
        <v>2.88</v>
      </c>
      <c r="I10" s="333" t="s">
        <v>277</v>
      </c>
    </row>
    <row r="11" spans="1:15" x14ac:dyDescent="0.2">
      <c r="D11" s="537" t="s">
        <v>291</v>
      </c>
      <c r="E11" s="537"/>
      <c r="F11" s="340" t="s">
        <v>284</v>
      </c>
      <c r="G11" s="338">
        <f>rhowm*2.205/39.37^3/384</f>
        <v>9.3609298905464146E-5</v>
      </c>
      <c r="H11" s="338">
        <f>rhowm*2.205/39.37^3/384</f>
        <v>9.3609298905464146E-5</v>
      </c>
      <c r="I11" s="339" t="s">
        <v>287</v>
      </c>
    </row>
    <row r="12" spans="1:15" x14ac:dyDescent="0.2">
      <c r="D12" s="59">
        <v>1.69</v>
      </c>
      <c r="E12" s="59">
        <v>2.88</v>
      </c>
      <c r="F12" s="340" t="s">
        <v>285</v>
      </c>
      <c r="G12" s="341">
        <v>0.32</v>
      </c>
      <c r="H12" s="341">
        <v>0.36</v>
      </c>
      <c r="I12" s="339" t="s">
        <v>7</v>
      </c>
    </row>
    <row r="13" spans="1:15" x14ac:dyDescent="0.2">
      <c r="B13" s="535" t="s">
        <v>293</v>
      </c>
      <c r="C13" s="535"/>
      <c r="D13" s="59" t="s">
        <v>278</v>
      </c>
      <c r="E13" s="59" t="s">
        <v>278</v>
      </c>
      <c r="F13" s="340" t="s">
        <v>286</v>
      </c>
      <c r="G13" s="338">
        <f>PI()/4*G12^2</f>
        <v>8.0424771931898703E-2</v>
      </c>
      <c r="H13" s="338">
        <f>PI()/4*H12^2</f>
        <v>0.10178760197630929</v>
      </c>
      <c r="I13" s="339" t="s">
        <v>283</v>
      </c>
    </row>
    <row r="14" spans="1:15" x14ac:dyDescent="0.2">
      <c r="B14" s="59" t="s">
        <v>104</v>
      </c>
      <c r="C14" s="59" t="s">
        <v>282</v>
      </c>
      <c r="D14" s="59" t="s">
        <v>2</v>
      </c>
      <c r="E14" s="59" t="s">
        <v>2</v>
      </c>
      <c r="F14" s="340" t="s">
        <v>289</v>
      </c>
      <c r="G14" s="59" t="s">
        <v>2</v>
      </c>
      <c r="H14" s="59" t="s">
        <v>2</v>
      </c>
    </row>
    <row r="15" spans="1:15" x14ac:dyDescent="0.2">
      <c r="B15">
        <v>0</v>
      </c>
      <c r="C15" s="4">
        <f>B15*231/60</f>
        <v>0</v>
      </c>
      <c r="D15" s="337">
        <f>0.243*B15^2+0.998*B15+1.086</f>
        <v>1.0860000000000001</v>
      </c>
      <c r="E15" s="337">
        <f>0.073*B15^2+3.42*B15-5.71</f>
        <v>-5.71</v>
      </c>
      <c r="F15" s="337"/>
      <c r="G15" s="4">
        <f>$G$11/2*C15^2/$G$13^2</f>
        <v>0</v>
      </c>
      <c r="H15" s="4">
        <f>$H$11/2*C15^2/$H$13^2</f>
        <v>0</v>
      </c>
    </row>
    <row r="16" spans="1:15" x14ac:dyDescent="0.2">
      <c r="B16">
        <v>10</v>
      </c>
      <c r="C16" s="4">
        <f t="shared" ref="C16:C30" si="0">B16*231/60</f>
        <v>38.5</v>
      </c>
      <c r="D16" s="337">
        <f t="shared" ref="D16:D25" si="1">0.243*B16^2+0.998*B16+1.086</f>
        <v>35.366</v>
      </c>
      <c r="E16" s="337">
        <f t="shared" ref="E16:E28" si="2">0.073*B16^2+3.42*B16-5.71</f>
        <v>35.79</v>
      </c>
      <c r="F16" s="337"/>
      <c r="G16" s="4">
        <f t="shared" ref="G16:G25" si="3">$G$11/2*C16^2/$G$13^2</f>
        <v>10.725826804670131</v>
      </c>
      <c r="H16" s="4">
        <f t="shared" ref="H16:H28" si="4">$H$11/2*C16^2/$H$13^2</f>
        <v>6.6960808705881512</v>
      </c>
    </row>
    <row r="17" spans="2:14" x14ac:dyDescent="0.2">
      <c r="B17">
        <v>20</v>
      </c>
      <c r="C17" s="4">
        <f t="shared" si="0"/>
        <v>77</v>
      </c>
      <c r="D17" s="337">
        <f t="shared" si="1"/>
        <v>118.246</v>
      </c>
      <c r="E17" s="337">
        <f t="shared" si="2"/>
        <v>91.890000000000015</v>
      </c>
      <c r="F17" s="337"/>
      <c r="G17" s="4">
        <f t="shared" si="3"/>
        <v>42.903307218680524</v>
      </c>
      <c r="H17" s="4">
        <f t="shared" si="4"/>
        <v>26.784323482352605</v>
      </c>
    </row>
    <row r="18" spans="2:14" x14ac:dyDescent="0.2">
      <c r="B18">
        <v>30</v>
      </c>
      <c r="C18" s="4">
        <f t="shared" si="0"/>
        <v>115.5</v>
      </c>
      <c r="D18" s="337">
        <f t="shared" si="1"/>
        <v>249.726</v>
      </c>
      <c r="E18" s="337">
        <f t="shared" si="2"/>
        <v>162.59</v>
      </c>
      <c r="F18" s="337"/>
      <c r="G18" s="439">
        <f t="shared" si="3"/>
        <v>96.532441242031169</v>
      </c>
      <c r="H18" s="4">
        <f t="shared" si="4"/>
        <v>60.26472783529335</v>
      </c>
      <c r="I18" s="440" t="s">
        <v>363</v>
      </c>
      <c r="J18" s="441"/>
      <c r="K18" s="441"/>
      <c r="L18" s="441"/>
      <c r="M18" s="441"/>
      <c r="N18" s="441"/>
    </row>
    <row r="19" spans="2:14" x14ac:dyDescent="0.2">
      <c r="B19">
        <v>40</v>
      </c>
      <c r="C19" s="4">
        <f t="shared" si="0"/>
        <v>154</v>
      </c>
      <c r="D19" s="337">
        <f t="shared" si="1"/>
        <v>429.80600000000004</v>
      </c>
      <c r="E19" s="337">
        <f t="shared" si="2"/>
        <v>247.89000000000001</v>
      </c>
      <c r="F19" s="337"/>
      <c r="G19" s="4">
        <f t="shared" si="3"/>
        <v>171.6132288747221</v>
      </c>
      <c r="H19" s="4">
        <f t="shared" si="4"/>
        <v>107.13729392941042</v>
      </c>
    </row>
    <row r="20" spans="2:14" x14ac:dyDescent="0.2">
      <c r="B20">
        <v>50</v>
      </c>
      <c r="C20" s="4">
        <f t="shared" si="0"/>
        <v>192.5</v>
      </c>
      <c r="D20" s="337">
        <f t="shared" si="1"/>
        <v>658.48599999999999</v>
      </c>
      <c r="E20" s="337">
        <f t="shared" si="2"/>
        <v>347.79</v>
      </c>
      <c r="F20" s="337"/>
      <c r="G20" s="4">
        <f t="shared" si="3"/>
        <v>268.14567011675325</v>
      </c>
      <c r="H20" s="4">
        <f t="shared" si="4"/>
        <v>167.40202176470376</v>
      </c>
    </row>
    <row r="21" spans="2:14" x14ac:dyDescent="0.2">
      <c r="B21">
        <v>60</v>
      </c>
      <c r="C21" s="4">
        <f t="shared" si="0"/>
        <v>231</v>
      </c>
      <c r="D21" s="337">
        <f t="shared" si="1"/>
        <v>935.76599999999996</v>
      </c>
      <c r="E21" s="337">
        <f t="shared" si="2"/>
        <v>462.29</v>
      </c>
      <c r="F21" s="337"/>
      <c r="G21" s="4">
        <f t="shared" si="3"/>
        <v>386.12976496812468</v>
      </c>
      <c r="H21" s="4">
        <f t="shared" si="4"/>
        <v>241.0589113411734</v>
      </c>
    </row>
    <row r="22" spans="2:14" x14ac:dyDescent="0.2">
      <c r="B22">
        <v>70</v>
      </c>
      <c r="C22" s="4">
        <f t="shared" si="0"/>
        <v>269.5</v>
      </c>
      <c r="D22" s="337">
        <f t="shared" si="1"/>
        <v>1261.646</v>
      </c>
      <c r="E22" s="337">
        <f t="shared" si="2"/>
        <v>591.39</v>
      </c>
      <c r="F22" s="337"/>
      <c r="G22" s="4">
        <f t="shared" si="3"/>
        <v>525.56551342883631</v>
      </c>
      <c r="H22" s="4">
        <f t="shared" si="4"/>
        <v>328.10796265881936</v>
      </c>
    </row>
    <row r="23" spans="2:14" x14ac:dyDescent="0.2">
      <c r="B23">
        <v>80</v>
      </c>
      <c r="C23" s="4">
        <f t="shared" si="0"/>
        <v>308</v>
      </c>
      <c r="D23" s="337">
        <f t="shared" si="1"/>
        <v>1636.126</v>
      </c>
      <c r="E23" s="337">
        <f t="shared" si="2"/>
        <v>735.08999999999992</v>
      </c>
      <c r="F23" s="337"/>
      <c r="G23" s="4">
        <f t="shared" si="3"/>
        <v>686.45291549888839</v>
      </c>
      <c r="H23" s="442">
        <f t="shared" si="4"/>
        <v>428.54917571764167</v>
      </c>
      <c r="I23" s="443" t="s">
        <v>362</v>
      </c>
      <c r="J23" s="444"/>
      <c r="K23" s="444"/>
      <c r="L23" s="444"/>
      <c r="M23" s="444"/>
      <c r="N23" s="444"/>
    </row>
    <row r="24" spans="2:14" x14ac:dyDescent="0.2">
      <c r="B24">
        <v>90</v>
      </c>
      <c r="C24" s="4">
        <f t="shared" si="0"/>
        <v>346.5</v>
      </c>
      <c r="D24" s="337">
        <f t="shared" si="1"/>
        <v>2059.2059999999997</v>
      </c>
      <c r="E24" s="337">
        <f t="shared" si="2"/>
        <v>893.38999999999987</v>
      </c>
      <c r="F24" s="337"/>
      <c r="G24" s="4">
        <f t="shared" si="3"/>
        <v>868.79197117828051</v>
      </c>
      <c r="H24" s="4">
        <f t="shared" si="4"/>
        <v>542.3825505176402</v>
      </c>
    </row>
    <row r="25" spans="2:14" x14ac:dyDescent="0.2">
      <c r="B25">
        <v>100</v>
      </c>
      <c r="C25" s="4">
        <f t="shared" si="0"/>
        <v>385</v>
      </c>
      <c r="D25" s="337">
        <f t="shared" si="1"/>
        <v>2530.886</v>
      </c>
      <c r="E25" s="337">
        <f t="shared" si="2"/>
        <v>1066.29</v>
      </c>
      <c r="F25" s="337"/>
      <c r="G25" s="4">
        <f t="shared" si="3"/>
        <v>1072.582680467013</v>
      </c>
      <c r="H25" s="4">
        <f t="shared" si="4"/>
        <v>669.60808705881504</v>
      </c>
    </row>
    <row r="26" spans="2:14" x14ac:dyDescent="0.2">
      <c r="B26">
        <v>110</v>
      </c>
      <c r="C26" s="4">
        <f t="shared" si="0"/>
        <v>423.5</v>
      </c>
      <c r="D26" s="337"/>
      <c r="E26" s="337">
        <f t="shared" si="2"/>
        <v>1253.79</v>
      </c>
      <c r="F26" s="337"/>
      <c r="G26" s="4"/>
      <c r="H26" s="4">
        <f t="shared" si="4"/>
        <v>810.22578534116633</v>
      </c>
    </row>
    <row r="27" spans="2:14" x14ac:dyDescent="0.2">
      <c r="B27">
        <v>120</v>
      </c>
      <c r="C27" s="4">
        <f t="shared" si="0"/>
        <v>462</v>
      </c>
      <c r="D27" s="337"/>
      <c r="E27" s="337">
        <f t="shared" si="2"/>
        <v>1455.8899999999999</v>
      </c>
      <c r="F27" s="337"/>
      <c r="G27" s="4"/>
      <c r="H27" s="4">
        <f t="shared" si="4"/>
        <v>964.2356453646936</v>
      </c>
    </row>
    <row r="28" spans="2:14" x14ac:dyDescent="0.2">
      <c r="B28">
        <v>130</v>
      </c>
      <c r="C28" s="4">
        <f t="shared" si="0"/>
        <v>500.5</v>
      </c>
      <c r="D28" s="337"/>
      <c r="E28" s="337">
        <f t="shared" si="2"/>
        <v>1672.5899999999997</v>
      </c>
      <c r="F28" s="337"/>
      <c r="G28" s="4"/>
      <c r="H28" s="4">
        <f t="shared" si="4"/>
        <v>1131.6376671293974</v>
      </c>
    </row>
    <row r="29" spans="2:14" x14ac:dyDescent="0.2">
      <c r="B29">
        <v>140</v>
      </c>
      <c r="C29" s="4">
        <f t="shared" si="0"/>
        <v>539</v>
      </c>
      <c r="D29" s="337"/>
      <c r="E29" s="337">
        <f>0.073*B29^2+3.42*B29-5.71</f>
        <v>1903.8899999999999</v>
      </c>
      <c r="F29" s="337"/>
      <c r="G29" s="4"/>
      <c r="H29" s="4">
        <f>$H$11/2*C29^2/$H$13^2</f>
        <v>1312.4318506352774</v>
      </c>
      <c r="K29" t="s">
        <v>409</v>
      </c>
    </row>
    <row r="30" spans="2:14" x14ac:dyDescent="0.2">
      <c r="B30">
        <v>150</v>
      </c>
      <c r="C30" s="4">
        <f t="shared" si="0"/>
        <v>577.5</v>
      </c>
      <c r="D30" s="337"/>
      <c r="E30" s="337">
        <f>0.073*B30^2+3.42*B30-5.71</f>
        <v>2149.79</v>
      </c>
      <c r="F30" s="337"/>
      <c r="G30" s="4"/>
      <c r="H30" s="4">
        <f>$H$11/2*C30^2/$H$13^2</f>
        <v>1506.6181958823338</v>
      </c>
    </row>
  </sheetData>
  <mergeCells count="4">
    <mergeCell ref="B13:C13"/>
    <mergeCell ref="G9:H9"/>
    <mergeCell ref="D10:E10"/>
    <mergeCell ref="D11:E11"/>
  </mergeCells>
  <phoneticPr fontId="25"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91"/>
  <sheetViews>
    <sheetView zoomScaleNormal="100" workbookViewId="0">
      <selection activeCell="N113" sqref="N113"/>
    </sheetView>
  </sheetViews>
  <sheetFormatPr defaultRowHeight="12.75" x14ac:dyDescent="0.2"/>
  <cols>
    <col min="1" max="1" width="20.7109375" customWidth="1"/>
    <col min="2" max="3" width="6.85546875" customWidth="1"/>
    <col min="4" max="4" width="7.28515625" customWidth="1"/>
    <col min="5" max="5" width="7.5703125" customWidth="1"/>
    <col min="7" max="8" width="11.85546875" customWidth="1"/>
    <col min="16" max="16" width="28" customWidth="1"/>
    <col min="18" max="18" width="12" customWidth="1"/>
    <col min="19" max="19" width="11.7109375" customWidth="1"/>
  </cols>
  <sheetData>
    <row r="1" spans="1:18" ht="18.75" customHeight="1" x14ac:dyDescent="0.25">
      <c r="A1" s="66" t="s">
        <v>126</v>
      </c>
      <c r="E1" s="66"/>
      <c r="G1" s="66" t="s">
        <v>247</v>
      </c>
      <c r="O1" s="60" t="s">
        <v>95</v>
      </c>
      <c r="P1" s="61"/>
      <c r="Q1" s="61"/>
      <c r="R1" s="283"/>
    </row>
    <row r="2" spans="1:18" ht="18.75" customHeight="1" x14ac:dyDescent="0.25">
      <c r="A2" s="66"/>
      <c r="E2" s="66"/>
      <c r="G2" s="66"/>
      <c r="O2" s="281"/>
      <c r="P2" s="282"/>
      <c r="Q2" s="282"/>
      <c r="R2" s="283"/>
    </row>
    <row r="3" spans="1:18" x14ac:dyDescent="0.2">
      <c r="B3" s="541" t="s">
        <v>101</v>
      </c>
      <c r="C3" s="541"/>
      <c r="D3" s="541"/>
      <c r="E3" s="541"/>
      <c r="F3" s="542"/>
      <c r="G3" s="538" t="s">
        <v>180</v>
      </c>
      <c r="H3" s="538"/>
      <c r="I3" s="68" t="s">
        <v>102</v>
      </c>
      <c r="J3" s="68" t="s">
        <v>124</v>
      </c>
      <c r="K3" s="539" t="s">
        <v>127</v>
      </c>
      <c r="L3" s="540"/>
      <c r="M3" s="268" t="s">
        <v>228</v>
      </c>
      <c r="N3" s="275"/>
    </row>
    <row r="4" spans="1:18" s="57" customFormat="1" x14ac:dyDescent="0.2">
      <c r="B4" s="67" t="s">
        <v>232</v>
      </c>
      <c r="C4" s="67" t="s">
        <v>231</v>
      </c>
      <c r="D4" s="67" t="s">
        <v>234</v>
      </c>
      <c r="E4" s="67" t="s">
        <v>233</v>
      </c>
      <c r="F4" s="67" t="s">
        <v>120</v>
      </c>
      <c r="G4" s="67" t="s">
        <v>115</v>
      </c>
      <c r="H4" s="67" t="s">
        <v>116</v>
      </c>
      <c r="I4" s="59" t="s">
        <v>123</v>
      </c>
      <c r="J4" s="67" t="s">
        <v>103</v>
      </c>
      <c r="K4" s="67" t="s">
        <v>122</v>
      </c>
      <c r="L4" s="67" t="s">
        <v>121</v>
      </c>
      <c r="M4" s="67" t="s">
        <v>227</v>
      </c>
      <c r="N4" s="67" t="s">
        <v>226</v>
      </c>
    </row>
    <row r="5" spans="1:18" x14ac:dyDescent="0.2">
      <c r="B5" s="67" t="s">
        <v>104</v>
      </c>
      <c r="C5" s="67" t="s">
        <v>104</v>
      </c>
      <c r="D5" s="67" t="s">
        <v>78</v>
      </c>
      <c r="E5" s="67" t="s">
        <v>78</v>
      </c>
      <c r="F5" s="67" t="s">
        <v>1</v>
      </c>
      <c r="G5" s="67" t="s">
        <v>2</v>
      </c>
      <c r="H5" s="67" t="s">
        <v>3</v>
      </c>
      <c r="I5" s="67" t="s">
        <v>4</v>
      </c>
      <c r="J5" s="67" t="s">
        <v>5</v>
      </c>
      <c r="K5" s="67" t="s">
        <v>6</v>
      </c>
      <c r="L5" s="67" t="s">
        <v>7</v>
      </c>
      <c r="M5" s="67" t="s">
        <v>2</v>
      </c>
      <c r="N5" s="67" t="s">
        <v>2</v>
      </c>
      <c r="Q5" s="331"/>
    </row>
    <row r="6" spans="1:18" x14ac:dyDescent="0.2">
      <c r="A6" s="8" t="s">
        <v>105</v>
      </c>
      <c r="E6" s="8"/>
      <c r="F6" t="s">
        <v>106</v>
      </c>
      <c r="L6" s="14"/>
      <c r="M6" s="71"/>
      <c r="P6" s="334"/>
    </row>
    <row r="7" spans="1:18" x14ac:dyDescent="0.2">
      <c r="B7" s="71"/>
      <c r="C7" s="71">
        <v>160</v>
      </c>
      <c r="D7" s="71"/>
      <c r="E7" s="3">
        <f>C7/42</f>
        <v>3.8095238095238093</v>
      </c>
      <c r="F7">
        <f>C7/15850</f>
        <v>1.0094637223974764E-2</v>
      </c>
      <c r="G7" s="71">
        <v>200</v>
      </c>
      <c r="H7" s="70">
        <f>6895*G7</f>
        <v>1379000</v>
      </c>
      <c r="I7" s="4">
        <f>SQRT(2*H7/1000)</f>
        <v>52.516664022003532</v>
      </c>
      <c r="J7" s="64">
        <f>F7/I7</f>
        <v>1.9221779242766245E-4</v>
      </c>
      <c r="K7" s="5">
        <f>2*(SQRT(J7/PI()))</f>
        <v>1.5644145694814881E-2</v>
      </c>
      <c r="L7" s="211">
        <f>K7*39.37</f>
        <v>0.61591001600486184</v>
      </c>
      <c r="M7" s="71"/>
      <c r="P7" s="334"/>
    </row>
    <row r="8" spans="1:18" x14ac:dyDescent="0.2">
      <c r="B8" s="71"/>
      <c r="C8" s="71"/>
      <c r="D8" s="71"/>
      <c r="G8" s="71"/>
      <c r="H8" s="70"/>
      <c r="K8" s="5"/>
      <c r="L8" s="14"/>
      <c r="M8" s="71"/>
      <c r="P8" s="334"/>
    </row>
    <row r="9" spans="1:18" x14ac:dyDescent="0.2">
      <c r="A9" s="8" t="s">
        <v>107</v>
      </c>
      <c r="B9" s="71"/>
      <c r="C9" s="71"/>
      <c r="D9" s="71"/>
      <c r="E9" s="8"/>
      <c r="G9" s="71"/>
      <c r="H9" s="70"/>
      <c r="K9" s="5"/>
      <c r="L9" s="14"/>
      <c r="M9" s="71"/>
    </row>
    <row r="10" spans="1:18" x14ac:dyDescent="0.2">
      <c r="B10" s="71"/>
      <c r="C10" s="71">
        <v>120</v>
      </c>
      <c r="D10" s="71"/>
      <c r="E10" s="3">
        <f>C10/42</f>
        <v>2.8571428571428572</v>
      </c>
      <c r="F10">
        <f>C10/15850</f>
        <v>7.5709779179810727E-3</v>
      </c>
      <c r="G10" s="71">
        <v>85</v>
      </c>
      <c r="H10" s="70">
        <f>6895*G10</f>
        <v>586075</v>
      </c>
      <c r="I10" s="4">
        <f>SQRT(2*H10/1000)</f>
        <v>34.236676240546487</v>
      </c>
      <c r="J10" s="64">
        <f>F10/I10</f>
        <v>2.2113647553832243E-4</v>
      </c>
      <c r="K10" s="5">
        <f>2*(SQRT(J10/PI()))</f>
        <v>1.6779740922873394E-2</v>
      </c>
      <c r="L10" s="211">
        <f>K10*39.37</f>
        <v>0.66061840013352546</v>
      </c>
      <c r="M10" s="71"/>
    </row>
    <row r="11" spans="1:18" x14ac:dyDescent="0.2">
      <c r="B11" s="71"/>
      <c r="C11" s="71"/>
      <c r="D11" s="71"/>
      <c r="G11" s="71"/>
      <c r="H11" s="70"/>
      <c r="K11" s="5"/>
      <c r="L11" s="14"/>
      <c r="M11" s="71"/>
    </row>
    <row r="12" spans="1:18" x14ac:dyDescent="0.2">
      <c r="A12" s="8" t="s">
        <v>108</v>
      </c>
      <c r="B12" s="71"/>
      <c r="C12" s="71"/>
      <c r="D12" s="71"/>
      <c r="E12" s="8"/>
      <c r="G12" s="71"/>
      <c r="H12" s="70"/>
      <c r="K12" s="5"/>
      <c r="L12" s="14"/>
      <c r="M12" s="71"/>
    </row>
    <row r="13" spans="1:18" x14ac:dyDescent="0.2">
      <c r="B13" s="71"/>
      <c r="C13" s="71">
        <v>160</v>
      </c>
      <c r="D13" s="71"/>
      <c r="E13" s="3">
        <f>C13/42</f>
        <v>3.8095238095238093</v>
      </c>
      <c r="F13">
        <f>C13/15850</f>
        <v>1.0094637223974764E-2</v>
      </c>
      <c r="G13" s="71">
        <v>85</v>
      </c>
      <c r="H13" s="70">
        <f>6895*G13</f>
        <v>586075</v>
      </c>
      <c r="I13" s="4">
        <f>SQRT(2*H13/1000)</f>
        <v>34.236676240546487</v>
      </c>
      <c r="J13" s="64">
        <f>F13/I13</f>
        <v>2.9484863405109657E-4</v>
      </c>
      <c r="K13" s="5">
        <f>2*(SQRT(J13/PI()))</f>
        <v>1.9375575877506268E-2</v>
      </c>
      <c r="L13" s="211">
        <f>K13*39.37</f>
        <v>0.76281642229742175</v>
      </c>
      <c r="M13" s="71"/>
    </row>
    <row r="14" spans="1:18" x14ac:dyDescent="0.2">
      <c r="B14" s="71"/>
      <c r="C14" s="71"/>
      <c r="D14" s="71"/>
      <c r="G14" s="71"/>
      <c r="H14" s="70"/>
      <c r="I14" s="4"/>
      <c r="J14" s="64"/>
      <c r="K14" s="5"/>
      <c r="L14" s="69"/>
      <c r="M14" s="71"/>
    </row>
    <row r="15" spans="1:18" x14ac:dyDescent="0.2">
      <c r="A15" s="65" t="s">
        <v>109</v>
      </c>
      <c r="B15" s="71"/>
      <c r="C15" s="71"/>
      <c r="D15" s="71"/>
      <c r="E15" s="65"/>
      <c r="G15" s="71"/>
      <c r="H15" s="70"/>
      <c r="K15" s="5"/>
      <c r="L15" s="11"/>
      <c r="M15" s="71"/>
    </row>
    <row r="16" spans="1:18" x14ac:dyDescent="0.2">
      <c r="B16" s="71"/>
      <c r="C16" s="71">
        <v>120</v>
      </c>
      <c r="D16" s="71"/>
      <c r="E16" s="3">
        <f>C16/42</f>
        <v>2.8571428571428572</v>
      </c>
      <c r="F16">
        <f>C16/15850</f>
        <v>7.5709779179810727E-3</v>
      </c>
      <c r="G16" s="71">
        <v>65</v>
      </c>
      <c r="H16" s="70">
        <f>6895*G16</f>
        <v>448175</v>
      </c>
      <c r="I16" s="4">
        <f>SQRT(2*H16/1000)</f>
        <v>29.939104863038242</v>
      </c>
      <c r="J16" s="64">
        <f>F16/I16</f>
        <v>2.5287923445326297E-4</v>
      </c>
      <c r="K16" s="5">
        <f>2*(SQRT(J16/PI()))</f>
        <v>1.794368527778642E-2</v>
      </c>
      <c r="L16" s="211">
        <f>K16*39.37</f>
        <v>0.70644288938645128</v>
      </c>
      <c r="M16" s="71"/>
    </row>
    <row r="17" spans="1:13" x14ac:dyDescent="0.2">
      <c r="B17" s="71"/>
      <c r="C17" s="71"/>
      <c r="D17" s="71"/>
      <c r="G17" s="71"/>
      <c r="H17" s="70"/>
      <c r="K17" s="5"/>
      <c r="L17" s="14"/>
      <c r="M17" s="71"/>
    </row>
    <row r="18" spans="1:13" x14ac:dyDescent="0.2">
      <c r="A18" s="8" t="s">
        <v>125</v>
      </c>
      <c r="B18" s="71"/>
      <c r="C18" s="71"/>
      <c r="D18" s="71"/>
      <c r="E18" s="8"/>
      <c r="G18" s="71"/>
      <c r="H18" s="70"/>
      <c r="K18" s="5"/>
      <c r="L18" s="14"/>
      <c r="M18" s="71"/>
    </row>
    <row r="19" spans="1:13" x14ac:dyDescent="0.2">
      <c r="B19" s="71"/>
      <c r="C19" s="71">
        <v>110</v>
      </c>
      <c r="D19" s="71"/>
      <c r="E19" s="3">
        <f>C19/42</f>
        <v>2.6190476190476191</v>
      </c>
      <c r="F19">
        <f>C19/15850</f>
        <v>6.9400630914826502E-3</v>
      </c>
      <c r="G19" s="71">
        <v>195</v>
      </c>
      <c r="H19" s="70">
        <f>6895*G19</f>
        <v>1344525</v>
      </c>
      <c r="I19" s="4">
        <f>SQRT(2*H19/1000)</f>
        <v>51.856050755914687</v>
      </c>
      <c r="J19" s="64">
        <f>F19/I19</f>
        <v>1.3383323624371971E-4</v>
      </c>
      <c r="K19" s="5">
        <f>2*(SQRT(J19/PI()))</f>
        <v>1.3053802847652755E-2</v>
      </c>
      <c r="L19" s="211">
        <f>K19*39.37</f>
        <v>0.51392821811208889</v>
      </c>
      <c r="M19" s="71"/>
    </row>
    <row r="20" spans="1:13" x14ac:dyDescent="0.2">
      <c r="B20" s="71"/>
      <c r="C20" s="71">
        <v>90</v>
      </c>
      <c r="D20" s="71"/>
      <c r="E20" s="3">
        <f>C20/42</f>
        <v>2.1428571428571428</v>
      </c>
      <c r="F20">
        <f>C20/15850</f>
        <v>5.6782334384858045E-3</v>
      </c>
      <c r="G20" s="71">
        <v>120</v>
      </c>
      <c r="H20" s="70">
        <f>6895*G20</f>
        <v>827400</v>
      </c>
      <c r="I20" s="4">
        <f>SQRT(2*H20/1000)</f>
        <v>40.679233031117981</v>
      </c>
      <c r="J20" s="64">
        <f>F20/I20</f>
        <v>1.3958555792195453E-4</v>
      </c>
      <c r="K20" s="5">
        <f>2*(SQRT(J20/PI()))</f>
        <v>1.3331385982715865E-2</v>
      </c>
      <c r="L20" s="211">
        <f>K20*39.37</f>
        <v>0.52485666613952353</v>
      </c>
      <c r="M20" s="71"/>
    </row>
    <row r="21" spans="1:13" x14ac:dyDescent="0.2">
      <c r="B21" s="71"/>
      <c r="C21" s="71"/>
      <c r="D21" s="71"/>
      <c r="G21" s="71"/>
      <c r="H21" s="70"/>
      <c r="I21" s="4"/>
      <c r="J21" s="64"/>
      <c r="K21" s="5"/>
      <c r="L21" s="69"/>
      <c r="M21" s="71"/>
    </row>
    <row r="22" spans="1:13" x14ac:dyDescent="0.2">
      <c r="A22" s="8" t="s">
        <v>110</v>
      </c>
      <c r="B22" s="71"/>
      <c r="C22" s="71"/>
      <c r="D22" s="71"/>
      <c r="E22" s="8"/>
      <c r="G22" s="71"/>
      <c r="H22" s="70"/>
      <c r="K22" s="5"/>
      <c r="L22" s="14"/>
      <c r="M22" s="71"/>
    </row>
    <row r="23" spans="1:13" x14ac:dyDescent="0.2">
      <c r="B23" s="71"/>
      <c r="C23" s="71">
        <v>110</v>
      </c>
      <c r="D23" s="71"/>
      <c r="E23" s="3">
        <f>C23/42</f>
        <v>2.6190476190476191</v>
      </c>
      <c r="F23">
        <f>C23/15850</f>
        <v>6.9400630914826502E-3</v>
      </c>
      <c r="G23" s="71">
        <v>200</v>
      </c>
      <c r="H23" s="70">
        <f>6895*G23</f>
        <v>1379000</v>
      </c>
      <c r="I23" s="4">
        <f>SQRT(2*H23/1000)</f>
        <v>52.516664022003532</v>
      </c>
      <c r="J23" s="64">
        <f>F23/I23</f>
        <v>1.3214973229401793E-4</v>
      </c>
      <c r="K23" s="5">
        <f>2*(SQRT(J23/PI()))</f>
        <v>1.2971440358838683E-2</v>
      </c>
      <c r="L23" s="211">
        <f>K23*39.37</f>
        <v>0.51068560692747889</v>
      </c>
      <c r="M23" s="71"/>
    </row>
    <row r="24" spans="1:13" x14ac:dyDescent="0.2">
      <c r="B24" s="71"/>
      <c r="C24" s="71"/>
      <c r="D24" s="71"/>
      <c r="G24" s="71"/>
      <c r="H24" s="70"/>
      <c r="K24" s="5"/>
      <c r="L24" s="14"/>
      <c r="M24" s="71"/>
    </row>
    <row r="25" spans="1:13" x14ac:dyDescent="0.2">
      <c r="A25" s="8" t="s">
        <v>111</v>
      </c>
      <c r="B25" s="71"/>
      <c r="C25" s="71"/>
      <c r="D25" s="71"/>
      <c r="E25" s="8"/>
      <c r="G25" s="71"/>
      <c r="H25" s="70"/>
      <c r="K25" s="5"/>
      <c r="L25" s="14"/>
      <c r="M25" s="71"/>
    </row>
    <row r="26" spans="1:13" x14ac:dyDescent="0.2">
      <c r="B26" s="71"/>
      <c r="C26" s="71">
        <v>80</v>
      </c>
      <c r="D26" s="71"/>
      <c r="E26" s="3">
        <f>C26/42</f>
        <v>1.9047619047619047</v>
      </c>
      <c r="F26">
        <f>C26/15850</f>
        <v>5.0473186119873821E-3</v>
      </c>
      <c r="G26" s="71">
        <v>105</v>
      </c>
      <c r="H26" s="70">
        <f>6895*G26</f>
        <v>723975</v>
      </c>
      <c r="I26" s="4">
        <f>SQRT(2*H26/1000)</f>
        <v>38.051938189795273</v>
      </c>
      <c r="J26" s="64">
        <f>F26/I26</f>
        <v>1.3264287844714744E-4</v>
      </c>
      <c r="K26" s="5">
        <f>2*(SQRT(J26/PI()))</f>
        <v>1.2995620730323256E-2</v>
      </c>
      <c r="L26" s="211">
        <f>K26*39.37</f>
        <v>0.51163758815282656</v>
      </c>
      <c r="M26" s="71"/>
    </row>
    <row r="27" spans="1:13" x14ac:dyDescent="0.2">
      <c r="B27" s="71"/>
      <c r="C27" s="71"/>
      <c r="D27" s="71"/>
      <c r="G27" s="71"/>
      <c r="H27" s="70"/>
      <c r="I27" s="4"/>
      <c r="J27" s="64"/>
      <c r="K27" s="5"/>
      <c r="L27" s="69"/>
      <c r="M27" s="71"/>
    </row>
    <row r="28" spans="1:13" x14ac:dyDescent="0.2">
      <c r="A28" s="8" t="s">
        <v>112</v>
      </c>
      <c r="B28" s="71"/>
      <c r="C28" s="71"/>
      <c r="D28" s="71"/>
      <c r="E28" s="8"/>
      <c r="G28" s="71"/>
      <c r="H28" s="70"/>
      <c r="K28" s="5"/>
      <c r="L28" s="14"/>
      <c r="M28" s="71"/>
    </row>
    <row r="29" spans="1:13" x14ac:dyDescent="0.2">
      <c r="B29" s="71"/>
      <c r="C29" s="71">
        <v>120</v>
      </c>
      <c r="D29" s="71"/>
      <c r="E29" s="3">
        <f>C29/42</f>
        <v>2.8571428571428572</v>
      </c>
      <c r="F29">
        <f>C29/15850</f>
        <v>7.5709779179810727E-3</v>
      </c>
      <c r="G29" s="71">
        <v>500</v>
      </c>
      <c r="H29" s="70">
        <f>6895*G29</f>
        <v>3447500</v>
      </c>
      <c r="I29" s="4">
        <f>SQRT(2*H29/1000)</f>
        <v>83.036136711675113</v>
      </c>
      <c r="J29" s="64">
        <f>F29/I29</f>
        <v>9.1176904632131949E-5</v>
      </c>
      <c r="K29" s="5">
        <f>2*(SQRT(J29/PI()))</f>
        <v>1.0774508830762404E-2</v>
      </c>
      <c r="L29" s="211">
        <f>K29*39.37</f>
        <v>0.42419241266711583</v>
      </c>
      <c r="M29" s="71"/>
    </row>
    <row r="30" spans="1:13" x14ac:dyDescent="0.2">
      <c r="B30" s="71"/>
      <c r="C30" s="71"/>
      <c r="D30" s="71"/>
      <c r="G30" s="71"/>
      <c r="H30" s="70"/>
      <c r="I30" s="4"/>
      <c r="J30" s="64"/>
      <c r="K30" s="5"/>
      <c r="L30" s="69"/>
      <c r="M30" s="71"/>
    </row>
    <row r="31" spans="1:13" x14ac:dyDescent="0.2">
      <c r="A31" s="65" t="s">
        <v>223</v>
      </c>
      <c r="B31" s="71"/>
      <c r="C31" s="71"/>
      <c r="D31" s="71"/>
      <c r="E31" s="65"/>
      <c r="K31" s="5"/>
      <c r="L31" s="14"/>
      <c r="M31" s="71"/>
    </row>
    <row r="32" spans="1:13" x14ac:dyDescent="0.2">
      <c r="B32" s="71"/>
      <c r="C32" s="71">
        <v>45</v>
      </c>
      <c r="D32" s="71"/>
      <c r="E32" s="3">
        <f>C32/42</f>
        <v>1.0714285714285714</v>
      </c>
      <c r="F32">
        <f>C32/15850</f>
        <v>2.8391167192429023E-3</v>
      </c>
      <c r="G32" s="71">
        <v>105</v>
      </c>
      <c r="H32" s="70">
        <f>6895*G32</f>
        <v>723975</v>
      </c>
      <c r="I32" s="4">
        <f>SQRT(2*H32/1000)</f>
        <v>38.051938189795273</v>
      </c>
      <c r="J32" s="64">
        <f>F32/I32</f>
        <v>7.4611619126520431E-5</v>
      </c>
      <c r="K32" s="5">
        <f>2*(SQRT(J32/PI()))</f>
        <v>9.7467155477424412E-3</v>
      </c>
      <c r="L32" s="211">
        <f>K32*39.37</f>
        <v>0.38372819111461987</v>
      </c>
      <c r="M32" s="71"/>
    </row>
    <row r="33" spans="1:15" x14ac:dyDescent="0.2">
      <c r="B33" s="71"/>
      <c r="C33" s="71"/>
      <c r="D33" s="71"/>
      <c r="G33" s="71"/>
      <c r="H33" s="70"/>
      <c r="I33" s="4"/>
      <c r="J33" s="64"/>
      <c r="K33" s="5"/>
      <c r="L33" s="69"/>
      <c r="M33" s="71"/>
    </row>
    <row r="34" spans="1:15" x14ac:dyDescent="0.2">
      <c r="A34" s="8" t="s">
        <v>222</v>
      </c>
      <c r="E34" s="8"/>
      <c r="K34" s="5"/>
      <c r="L34" s="14"/>
      <c r="M34" s="71"/>
      <c r="N34" s="8"/>
    </row>
    <row r="35" spans="1:15" x14ac:dyDescent="0.2">
      <c r="A35" s="56" t="s">
        <v>220</v>
      </c>
      <c r="B35" s="71">
        <v>12</v>
      </c>
      <c r="C35" s="71">
        <v>50</v>
      </c>
      <c r="D35" s="2">
        <f>B35/42</f>
        <v>0.2857142857142857</v>
      </c>
      <c r="E35" s="2">
        <f>C35/42</f>
        <v>1.1904761904761905</v>
      </c>
      <c r="F35">
        <f>C35/15850</f>
        <v>3.1545741324921135E-3</v>
      </c>
      <c r="G35" s="71">
        <v>105</v>
      </c>
      <c r="H35" s="70">
        <f>6895*G35</f>
        <v>723975</v>
      </c>
      <c r="I35" s="4">
        <f>SQRT(2*H35/1000)</f>
        <v>38.051938189795273</v>
      </c>
      <c r="J35" s="64">
        <f>F35/I35</f>
        <v>8.2901799029467141E-5</v>
      </c>
      <c r="K35" s="5">
        <f>2*(SQRT(J35/PI()))</f>
        <v>1.0273940278880577E-2</v>
      </c>
      <c r="L35" s="211">
        <f>K35*39.37</f>
        <v>0.4044850287795283</v>
      </c>
      <c r="M35" s="71">
        <v>400</v>
      </c>
      <c r="N35" s="8">
        <f>M35-G35</f>
        <v>295</v>
      </c>
    </row>
    <row r="36" spans="1:15" x14ac:dyDescent="0.2">
      <c r="A36" s="191" t="s">
        <v>221</v>
      </c>
      <c r="B36" s="71"/>
      <c r="C36" s="71">
        <v>50</v>
      </c>
      <c r="D36" s="276"/>
      <c r="E36" s="2">
        <f>C36/42</f>
        <v>1.1904761904761905</v>
      </c>
      <c r="F36">
        <f>C36/15850</f>
        <v>3.1545741324921135E-3</v>
      </c>
      <c r="G36" s="71">
        <v>105</v>
      </c>
      <c r="H36" s="70">
        <f>6895*G36</f>
        <v>723975</v>
      </c>
      <c r="I36" s="4">
        <f>SQRT(2*H36/1000)</f>
        <v>38.051938189795273</v>
      </c>
      <c r="J36" s="64">
        <f>F36/I36</f>
        <v>8.2901799029467141E-5</v>
      </c>
      <c r="K36" s="5">
        <f>2*(SQRT(J36/PI()))</f>
        <v>1.0273940278880577E-2</v>
      </c>
      <c r="L36" s="211">
        <f>K36*39.37</f>
        <v>0.4044850287795283</v>
      </c>
      <c r="M36" s="71">
        <v>870</v>
      </c>
      <c r="N36" s="8">
        <f>M36-G36</f>
        <v>765</v>
      </c>
    </row>
    <row r="37" spans="1:15" x14ac:dyDescent="0.2">
      <c r="A37" s="8"/>
      <c r="D37" s="2"/>
      <c r="E37" s="2"/>
      <c r="G37" s="71"/>
      <c r="H37" s="70"/>
      <c r="I37" s="4"/>
      <c r="J37" s="64"/>
      <c r="K37" s="5"/>
      <c r="L37" s="5"/>
      <c r="M37" s="71"/>
    </row>
    <row r="38" spans="1:15" x14ac:dyDescent="0.2">
      <c r="A38" s="8" t="s">
        <v>307</v>
      </c>
      <c r="D38" s="2"/>
      <c r="E38" s="277"/>
      <c r="K38" s="5"/>
      <c r="L38" s="14"/>
      <c r="M38" s="71"/>
      <c r="N38" s="8"/>
    </row>
    <row r="39" spans="1:15" x14ac:dyDescent="0.2">
      <c r="A39" s="56" t="s">
        <v>220</v>
      </c>
      <c r="B39" s="71">
        <v>17</v>
      </c>
      <c r="C39" s="71">
        <v>74</v>
      </c>
      <c r="D39" s="2">
        <f>B39/42</f>
        <v>0.40476190476190477</v>
      </c>
      <c r="E39" s="2">
        <f>C39/42</f>
        <v>1.7619047619047619</v>
      </c>
      <c r="F39">
        <f>C39/15850</f>
        <v>4.6687697160883281E-3</v>
      </c>
      <c r="G39" s="267">
        <v>100</v>
      </c>
      <c r="H39" s="70">
        <f>6895*G39</f>
        <v>689500</v>
      </c>
      <c r="I39" s="4">
        <f>SQRT(2*H39/1000)</f>
        <v>37.134889255254286</v>
      </c>
      <c r="J39" s="64">
        <f>F39/I39</f>
        <v>1.2572461665353519E-4</v>
      </c>
      <c r="K39" s="5">
        <f>2*(SQRT(J39/PI()))</f>
        <v>1.2652175847258447E-2</v>
      </c>
      <c r="L39" s="211">
        <f>K39*39.37</f>
        <v>0.49811616310656504</v>
      </c>
      <c r="M39" s="71">
        <v>640</v>
      </c>
      <c r="N39" s="8">
        <f>M39-G39</f>
        <v>540</v>
      </c>
      <c r="O39" s="267" t="s">
        <v>248</v>
      </c>
    </row>
    <row r="40" spans="1:15" x14ac:dyDescent="0.2">
      <c r="A40" s="191" t="s">
        <v>221</v>
      </c>
      <c r="B40" s="71"/>
      <c r="C40" s="71">
        <v>65</v>
      </c>
      <c r="D40" s="276"/>
      <c r="E40" s="2">
        <f>C40/42</f>
        <v>1.5476190476190477</v>
      </c>
      <c r="F40">
        <f>C40/15850</f>
        <v>4.100946372239748E-3</v>
      </c>
      <c r="G40" s="267">
        <v>100</v>
      </c>
      <c r="H40" s="70">
        <f>6895*G40</f>
        <v>689500</v>
      </c>
      <c r="I40" s="4">
        <f>SQRT(2*H40/1000)</f>
        <v>37.134889255254286</v>
      </c>
      <c r="J40" s="64">
        <f>F40/I40</f>
        <v>1.1043378489837552E-4</v>
      </c>
      <c r="K40" s="5">
        <f>2*(SQRT(J40/PI()))</f>
        <v>1.185785233536784E-2</v>
      </c>
      <c r="L40" s="211">
        <f>K40*39.37</f>
        <v>0.46684364644343179</v>
      </c>
      <c r="M40" s="71">
        <v>1015</v>
      </c>
      <c r="N40" s="8">
        <f>M40-G40</f>
        <v>915</v>
      </c>
      <c r="O40" s="267" t="s">
        <v>248</v>
      </c>
    </row>
    <row r="41" spans="1:15" x14ac:dyDescent="0.2">
      <c r="A41" s="8"/>
      <c r="D41" s="2"/>
      <c r="E41" s="2"/>
      <c r="G41" s="71"/>
      <c r="H41" s="70"/>
      <c r="I41" s="4"/>
      <c r="J41" s="64"/>
      <c r="K41" s="5"/>
      <c r="L41" s="5"/>
      <c r="M41" s="71"/>
      <c r="N41" s="8"/>
    </row>
    <row r="42" spans="1:15" x14ac:dyDescent="0.2">
      <c r="A42" s="8" t="s">
        <v>230</v>
      </c>
      <c r="D42" s="2"/>
      <c r="E42" s="277"/>
      <c r="K42" s="5"/>
      <c r="L42" s="14"/>
      <c r="M42" s="71"/>
      <c r="N42" s="8"/>
    </row>
    <row r="43" spans="1:15" x14ac:dyDescent="0.2">
      <c r="A43" s="191" t="s">
        <v>221</v>
      </c>
      <c r="B43" s="71">
        <v>25</v>
      </c>
      <c r="C43" s="71">
        <v>80</v>
      </c>
      <c r="D43" s="2">
        <f>B43/42</f>
        <v>0.59523809523809523</v>
      </c>
      <c r="E43" s="2">
        <f>C43/42</f>
        <v>1.9047619047619047</v>
      </c>
      <c r="F43">
        <f>C43/15850</f>
        <v>5.0473186119873821E-3</v>
      </c>
      <c r="G43" s="71">
        <v>85</v>
      </c>
      <c r="H43" s="70">
        <f>6895*G43</f>
        <v>586075</v>
      </c>
      <c r="I43" s="4">
        <f>SQRT(2*H43/1000)</f>
        <v>34.236676240546487</v>
      </c>
      <c r="J43" s="64">
        <f>F43/I43</f>
        <v>1.4742431702554829E-4</v>
      </c>
      <c r="K43" s="5">
        <f>2*(SQRT(J43/PI()))</f>
        <v>1.3700601092379174E-2</v>
      </c>
      <c r="L43" s="211">
        <f>K43*39.37</f>
        <v>0.53939266500696803</v>
      </c>
      <c r="M43" s="71">
        <v>725</v>
      </c>
      <c r="N43" s="8">
        <f>M43-G43</f>
        <v>640</v>
      </c>
    </row>
    <row r="44" spans="1:15" x14ac:dyDescent="0.2">
      <c r="A44" s="8"/>
      <c r="D44" s="2"/>
      <c r="E44" s="2"/>
      <c r="G44" s="71"/>
      <c r="H44" s="70"/>
      <c r="I44" s="4"/>
      <c r="J44" s="64"/>
      <c r="K44" s="5"/>
      <c r="L44" s="5"/>
      <c r="M44" s="71"/>
      <c r="N44" s="8"/>
    </row>
    <row r="45" spans="1:15" x14ac:dyDescent="0.2">
      <c r="A45" s="8" t="s">
        <v>225</v>
      </c>
      <c r="B45" s="71"/>
      <c r="C45" s="71"/>
      <c r="D45" s="276"/>
      <c r="E45" s="277"/>
      <c r="G45" s="71"/>
      <c r="H45" s="70"/>
      <c r="K45" s="5"/>
      <c r="L45" s="14"/>
      <c r="M45" s="71"/>
    </row>
    <row r="46" spans="1:15" x14ac:dyDescent="0.2">
      <c r="A46" s="56" t="s">
        <v>119</v>
      </c>
      <c r="B46" s="71">
        <v>25</v>
      </c>
      <c r="C46" s="71">
        <v>120</v>
      </c>
      <c r="D46" s="2">
        <f>B46/42</f>
        <v>0.59523809523809523</v>
      </c>
      <c r="E46" s="2">
        <f>C46/42</f>
        <v>2.8571428571428572</v>
      </c>
      <c r="F46">
        <f>C46/15850</f>
        <v>7.5709779179810727E-3</v>
      </c>
      <c r="G46" s="71">
        <v>245</v>
      </c>
      <c r="H46" s="70">
        <f>6895*G46</f>
        <v>1689275</v>
      </c>
      <c r="I46" s="4">
        <f>SQRT(2*H46/1000)</f>
        <v>58.125295698172586</v>
      </c>
      <c r="J46" s="64">
        <f>F46/I46</f>
        <v>1.3025272090304562E-4</v>
      </c>
      <c r="K46" s="5">
        <f>2*(SQRT(J46/PI()))</f>
        <v>1.2878001206053291E-2</v>
      </c>
      <c r="L46" s="211">
        <f>K46*39.37</f>
        <v>0.50700690748231803</v>
      </c>
      <c r="M46" s="71">
        <v>800</v>
      </c>
      <c r="N46" s="8">
        <f>M46-G46</f>
        <v>555</v>
      </c>
    </row>
    <row r="47" spans="1:15" x14ac:dyDescent="0.2">
      <c r="A47" s="72" t="s">
        <v>128</v>
      </c>
      <c r="B47" s="71"/>
      <c r="C47" s="71">
        <v>85</v>
      </c>
      <c r="D47" s="276"/>
      <c r="E47" s="2">
        <f>C47/42</f>
        <v>2.0238095238095237</v>
      </c>
      <c r="F47">
        <f>C47/15850</f>
        <v>5.3627760252365929E-3</v>
      </c>
      <c r="G47" s="71">
        <v>160</v>
      </c>
      <c r="H47" s="70">
        <f>6895*G47</f>
        <v>1103200</v>
      </c>
      <c r="I47" s="4">
        <f>SQRT(2*H47/1000)</f>
        <v>46.972332281886963</v>
      </c>
      <c r="J47" s="64">
        <f>F47/I47</f>
        <v>1.141688258750681E-4</v>
      </c>
      <c r="K47" s="5">
        <f>2*(SQRT(J47/PI()))</f>
        <v>1.2056710325794502E-2</v>
      </c>
      <c r="L47" s="211">
        <f>K47*39.37</f>
        <v>0.47467268552652953</v>
      </c>
      <c r="M47" s="71">
        <v>460</v>
      </c>
      <c r="N47" s="8">
        <f>M47-G47</f>
        <v>300</v>
      </c>
    </row>
    <row r="48" spans="1:15" x14ac:dyDescent="0.2">
      <c r="A48" s="191" t="s">
        <v>221</v>
      </c>
      <c r="B48" s="71">
        <v>25</v>
      </c>
      <c r="C48" s="71">
        <v>120</v>
      </c>
      <c r="D48" s="2">
        <f>B48/42</f>
        <v>0.59523809523809523</v>
      </c>
      <c r="E48" s="2">
        <f>C48/42</f>
        <v>2.8571428571428572</v>
      </c>
      <c r="F48">
        <f>C48/15850</f>
        <v>7.5709779179810727E-3</v>
      </c>
      <c r="G48" s="71">
        <v>116</v>
      </c>
      <c r="H48" s="70">
        <f>6895*G48</f>
        <v>799820</v>
      </c>
      <c r="I48" s="4">
        <f>SQRT(2*H48/1000)</f>
        <v>39.995499746846519</v>
      </c>
      <c r="J48" s="64">
        <f>F48/I48</f>
        <v>1.892957449188521E-4</v>
      </c>
      <c r="K48" s="5">
        <f>2*(SQRT(J48/PI()))</f>
        <v>1.5524781096066467E-2</v>
      </c>
      <c r="L48" s="386">
        <f>K48*39.37</f>
        <v>0.61121063175213675</v>
      </c>
      <c r="M48" s="71">
        <v>1160</v>
      </c>
      <c r="N48" s="8">
        <f>M48-G48</f>
        <v>1044</v>
      </c>
    </row>
    <row r="49" spans="1:14" x14ac:dyDescent="0.2">
      <c r="A49" s="191"/>
      <c r="B49" s="71"/>
      <c r="C49" s="71"/>
      <c r="D49" s="2"/>
      <c r="E49" s="2"/>
      <c r="G49" s="71"/>
      <c r="H49" s="70"/>
      <c r="I49" s="4"/>
      <c r="J49" s="64"/>
      <c r="K49" s="5"/>
      <c r="L49" s="386"/>
      <c r="M49" s="71"/>
      <c r="N49" s="8"/>
    </row>
    <row r="50" spans="1:14" x14ac:dyDescent="0.2">
      <c r="A50" s="73" t="s">
        <v>481</v>
      </c>
      <c r="B50" s="71">
        <v>80</v>
      </c>
      <c r="C50" s="71">
        <v>170</v>
      </c>
      <c r="D50" s="2">
        <f t="shared" ref="D50:E52" si="0">B50/42</f>
        <v>1.9047619047619047</v>
      </c>
      <c r="E50" s="2">
        <f t="shared" si="0"/>
        <v>4.0476190476190474</v>
      </c>
      <c r="F50">
        <f>C50/15850</f>
        <v>1.0725552050473186E-2</v>
      </c>
      <c r="G50">
        <v>50</v>
      </c>
      <c r="H50" s="70">
        <f>6895*G50</f>
        <v>344750</v>
      </c>
      <c r="I50" s="4">
        <f>SQRT(2*H50/1000)</f>
        <v>26.258332011001766</v>
      </c>
      <c r="J50" s="64">
        <f>F50/I50</f>
        <v>4.0846280890878268E-4</v>
      </c>
      <c r="K50" s="5">
        <f>2*(SQRT(J50/PI()))</f>
        <v>2.2805065245604193E-2</v>
      </c>
      <c r="L50" s="211">
        <f>K50*39.37</f>
        <v>0.89783541871943695</v>
      </c>
      <c r="M50" s="71"/>
      <c r="N50" s="8">
        <v>1000</v>
      </c>
    </row>
    <row r="51" spans="1:14" x14ac:dyDescent="0.2">
      <c r="A51" s="73" t="s">
        <v>486</v>
      </c>
      <c r="B51" s="71">
        <v>80</v>
      </c>
      <c r="C51" s="71">
        <v>180</v>
      </c>
      <c r="D51" s="2">
        <f t="shared" si="0"/>
        <v>1.9047619047619047</v>
      </c>
      <c r="E51" s="2">
        <f t="shared" si="0"/>
        <v>4.2857142857142856</v>
      </c>
      <c r="F51">
        <f>C51/15850</f>
        <v>1.1356466876971609E-2</v>
      </c>
      <c r="G51" s="71">
        <v>305</v>
      </c>
      <c r="H51" s="70">
        <f>6895*G51</f>
        <v>2102975</v>
      </c>
      <c r="I51" s="4">
        <f>SQRT(2*H51/1000)</f>
        <v>64.853295984090124</v>
      </c>
      <c r="J51" s="64">
        <f>F51/I51</f>
        <v>1.7511009586556077E-4</v>
      </c>
      <c r="K51" s="5">
        <f>2*(SQRT(J51/PI()))</f>
        <v>1.4931748013491163E-2</v>
      </c>
      <c r="L51" s="446">
        <f>K51*39.37</f>
        <v>0.58786291929114709</v>
      </c>
      <c r="M51" s="71">
        <v>1525</v>
      </c>
      <c r="N51" s="8">
        <f>M51-G51</f>
        <v>1220</v>
      </c>
    </row>
    <row r="52" spans="1:14" x14ac:dyDescent="0.2">
      <c r="A52" s="73" t="s">
        <v>484</v>
      </c>
      <c r="B52" s="71">
        <v>80</v>
      </c>
      <c r="C52" s="71">
        <v>120</v>
      </c>
      <c r="D52" s="2">
        <f t="shared" si="0"/>
        <v>1.9047619047619047</v>
      </c>
      <c r="E52" s="2">
        <f t="shared" si="0"/>
        <v>2.8571428571428572</v>
      </c>
      <c r="F52">
        <f>C52/15850</f>
        <v>7.5709779179810727E-3</v>
      </c>
      <c r="G52" s="71">
        <v>318</v>
      </c>
      <c r="H52" s="70">
        <f>6895*G52</f>
        <v>2192610</v>
      </c>
      <c r="I52" s="4">
        <f>SQRT(2*H52/1000)</f>
        <v>66.220993650050289</v>
      </c>
      <c r="J52" s="64">
        <f>F52/I52</f>
        <v>1.1432896881599908E-4</v>
      </c>
      <c r="K52" s="5">
        <f>2*(SQRT(J52/PI()))</f>
        <v>1.2065163248183727E-2</v>
      </c>
      <c r="L52" s="211">
        <f>K52*39.37</f>
        <v>0.47500547708099333</v>
      </c>
      <c r="M52" s="71">
        <v>1600</v>
      </c>
      <c r="N52" s="8">
        <f>M52-G52</f>
        <v>1282</v>
      </c>
    </row>
    <row r="53" spans="1:14" x14ac:dyDescent="0.2">
      <c r="A53" s="73"/>
      <c r="B53" s="71"/>
      <c r="C53" s="71"/>
      <c r="D53" s="2"/>
      <c r="E53" s="2"/>
      <c r="H53" s="70"/>
      <c r="I53" s="4"/>
      <c r="J53" s="64"/>
      <c r="K53" s="5"/>
      <c r="L53" s="446"/>
      <c r="M53" s="71"/>
      <c r="N53" s="8"/>
    </row>
    <row r="54" spans="1:14" x14ac:dyDescent="0.2">
      <c r="A54" s="73"/>
      <c r="B54" s="71"/>
      <c r="C54" s="71"/>
      <c r="D54" s="2"/>
      <c r="E54" s="2"/>
      <c r="H54" s="70"/>
      <c r="I54" s="4"/>
      <c r="J54" s="64"/>
      <c r="K54" s="5"/>
      <c r="L54" s="446"/>
      <c r="M54" s="71"/>
      <c r="N54" s="8"/>
    </row>
    <row r="55" spans="1:14" x14ac:dyDescent="0.2">
      <c r="A55" s="73" t="s">
        <v>482</v>
      </c>
      <c r="B55" s="71"/>
      <c r="C55" s="71"/>
      <c r="D55" s="2"/>
      <c r="E55" s="2"/>
      <c r="H55" s="70"/>
      <c r="I55" s="4"/>
      <c r="J55" s="64"/>
      <c r="K55" s="5"/>
      <c r="L55" s="446"/>
      <c r="M55" s="71"/>
      <c r="N55" s="8"/>
    </row>
    <row r="56" spans="1:14" x14ac:dyDescent="0.2">
      <c r="A56" s="334" t="s">
        <v>483</v>
      </c>
      <c r="B56" s="71">
        <v>105</v>
      </c>
      <c r="C56" s="71">
        <v>315</v>
      </c>
      <c r="D56" s="2">
        <f>B56/42</f>
        <v>2.5</v>
      </c>
      <c r="E56" s="2">
        <f>C56/42</f>
        <v>7.5</v>
      </c>
      <c r="F56">
        <f>C56/15850</f>
        <v>1.9873817034700314E-2</v>
      </c>
      <c r="G56" s="393">
        <v>175</v>
      </c>
      <c r="H56" s="70">
        <f>6895*G56</f>
        <v>1206625</v>
      </c>
      <c r="I56" s="4">
        <f>SQRT(2*H56/1000)</f>
        <v>49.124840966663697</v>
      </c>
      <c r="J56" s="64">
        <f>F56/I56</f>
        <v>4.0455738163481814E-4</v>
      </c>
      <c r="K56" s="5">
        <f>2*(SQRT(J56/PI()))</f>
        <v>2.2695780586090564E-2</v>
      </c>
      <c r="L56" s="211">
        <f>K56*39.37</f>
        <v>0.89353288167438538</v>
      </c>
      <c r="M56" s="71">
        <v>725</v>
      </c>
      <c r="N56" s="8">
        <f>M56-G56</f>
        <v>550</v>
      </c>
    </row>
    <row r="57" spans="1:14" x14ac:dyDescent="0.2">
      <c r="A57" s="191" t="s">
        <v>221</v>
      </c>
      <c r="B57" s="71">
        <v>105</v>
      </c>
      <c r="C57" s="71">
        <v>315</v>
      </c>
      <c r="D57" s="2">
        <f>B57/42</f>
        <v>2.5</v>
      </c>
      <c r="E57" s="2">
        <f>C57/42</f>
        <v>7.5</v>
      </c>
      <c r="F57">
        <f>C57/15850</f>
        <v>1.9873817034700314E-2</v>
      </c>
      <c r="G57" s="393">
        <v>305</v>
      </c>
      <c r="H57" s="70">
        <f>6895*G57</f>
        <v>2102975</v>
      </c>
      <c r="I57" s="4">
        <f>SQRT(2*H57/1000)</f>
        <v>64.853295984090124</v>
      </c>
      <c r="J57" s="64">
        <f>F57/I57</f>
        <v>3.0644266776473135E-4</v>
      </c>
      <c r="K57" s="5">
        <f>2*(SQRT(J57/PI()))</f>
        <v>1.9752845941590172E-2</v>
      </c>
      <c r="L57" s="211">
        <f>K57*39.37</f>
        <v>0.77766954472040506</v>
      </c>
      <c r="M57" s="71">
        <v>2065</v>
      </c>
      <c r="N57" s="8">
        <f>M57-G57</f>
        <v>1760</v>
      </c>
    </row>
    <row r="58" spans="1:14" x14ac:dyDescent="0.2">
      <c r="A58" s="73" t="s">
        <v>485</v>
      </c>
      <c r="B58" s="71"/>
      <c r="C58" s="71"/>
      <c r="D58" s="2"/>
      <c r="E58" s="2"/>
      <c r="G58" s="393"/>
      <c r="H58" s="70"/>
      <c r="I58" s="4"/>
      <c r="J58" s="64"/>
      <c r="K58" s="5"/>
      <c r="L58" s="446"/>
      <c r="M58" s="71"/>
      <c r="N58" s="8"/>
    </row>
    <row r="59" spans="1:14" x14ac:dyDescent="0.2">
      <c r="A59" s="334" t="s">
        <v>483</v>
      </c>
      <c r="B59" s="71">
        <v>265</v>
      </c>
      <c r="C59" s="71">
        <v>660</v>
      </c>
      <c r="D59" s="2">
        <f>B59/42</f>
        <v>6.3095238095238093</v>
      </c>
      <c r="E59" s="2">
        <f>C59/42</f>
        <v>15.714285714285714</v>
      </c>
      <c r="F59">
        <f>C59/15850</f>
        <v>4.16403785488959E-2</v>
      </c>
      <c r="G59" s="393">
        <v>220</v>
      </c>
      <c r="H59" s="70">
        <f>6895*G59</f>
        <v>1516900</v>
      </c>
      <c r="I59" s="4">
        <f>SQRT(2*H59/1000)</f>
        <v>55.079941902656365</v>
      </c>
      <c r="J59" s="64">
        <f>F59/I59</f>
        <v>7.5599895552699717E-4</v>
      </c>
      <c r="K59" s="5">
        <f>2*(SQRT(J59/PI()))</f>
        <v>3.102527624301599E-2</v>
      </c>
      <c r="L59" s="211">
        <f>K59*39.37</f>
        <v>1.2214651256875395</v>
      </c>
      <c r="M59" s="71">
        <v>460</v>
      </c>
      <c r="N59" s="8">
        <f>M59-G59</f>
        <v>240</v>
      </c>
    </row>
    <row r="60" spans="1:14" x14ac:dyDescent="0.2">
      <c r="A60" s="334" t="s">
        <v>487</v>
      </c>
      <c r="B60" s="71">
        <v>265</v>
      </c>
      <c r="C60" s="71">
        <v>660</v>
      </c>
      <c r="D60" s="2">
        <f>B60/42</f>
        <v>6.3095238095238093</v>
      </c>
      <c r="E60" s="2">
        <f>C60/42</f>
        <v>15.714285714285714</v>
      </c>
      <c r="F60">
        <f>C60/15850</f>
        <v>4.16403785488959E-2</v>
      </c>
      <c r="G60" s="393">
        <v>348</v>
      </c>
      <c r="H60" s="70">
        <f>6895*G60</f>
        <v>2399460</v>
      </c>
      <c r="I60" s="4">
        <f>SQRT(2*H60/1000)</f>
        <v>69.274237635646344</v>
      </c>
      <c r="J60" s="64">
        <f>F60/I60</f>
        <v>6.0109472106942491E-4</v>
      </c>
      <c r="K60" s="5">
        <f>2*(SQRT(J60/PI()))</f>
        <v>2.7664735115253577E-2</v>
      </c>
      <c r="L60" s="211">
        <f>K60*39.37</f>
        <v>1.0891606214875333</v>
      </c>
      <c r="M60" s="71">
        <v>1305</v>
      </c>
      <c r="N60" s="8">
        <f>M60-G60</f>
        <v>957</v>
      </c>
    </row>
    <row r="61" spans="1:14" x14ac:dyDescent="0.2">
      <c r="A61" s="73"/>
      <c r="B61" s="71"/>
      <c r="C61" s="71"/>
      <c r="D61" s="2"/>
      <c r="E61" s="2"/>
      <c r="G61" s="393"/>
      <c r="H61" s="70"/>
      <c r="I61" s="4"/>
      <c r="J61" s="64"/>
      <c r="K61" s="5"/>
      <c r="L61" s="446"/>
      <c r="M61" s="71"/>
      <c r="N61" s="8"/>
    </row>
    <row r="62" spans="1:14" x14ac:dyDescent="0.2">
      <c r="A62" s="73"/>
      <c r="B62" s="71"/>
      <c r="C62" s="71"/>
      <c r="D62" s="2"/>
      <c r="E62" s="2"/>
      <c r="G62" s="393"/>
      <c r="H62" s="70"/>
      <c r="I62" s="4"/>
      <c r="J62" s="64"/>
      <c r="K62" s="5"/>
      <c r="L62" s="446"/>
      <c r="M62" s="71"/>
      <c r="N62" s="8"/>
    </row>
    <row r="63" spans="1:14" x14ac:dyDescent="0.2">
      <c r="A63" s="73"/>
      <c r="B63" s="71"/>
      <c r="C63" s="71"/>
      <c r="D63" s="2"/>
      <c r="E63" s="2"/>
      <c r="H63" s="70"/>
      <c r="I63" s="4"/>
      <c r="J63" s="64"/>
      <c r="K63" s="5"/>
      <c r="L63" s="446"/>
      <c r="M63" s="71"/>
      <c r="N63" s="8"/>
    </row>
    <row r="64" spans="1:14" x14ac:dyDescent="0.2">
      <c r="A64" s="73"/>
      <c r="B64" s="71"/>
      <c r="C64" s="71"/>
      <c r="D64" s="2"/>
      <c r="E64" s="2"/>
      <c r="H64" s="70"/>
      <c r="I64" s="4"/>
      <c r="J64" s="64"/>
      <c r="K64" s="5"/>
      <c r="L64" s="287"/>
      <c r="M64" s="71"/>
      <c r="N64" s="8"/>
    </row>
    <row r="65" spans="1:14" x14ac:dyDescent="0.2">
      <c r="A65" s="8" t="s">
        <v>254</v>
      </c>
      <c r="B65" s="71"/>
      <c r="C65" s="71"/>
      <c r="D65" s="276"/>
      <c r="E65" s="277"/>
      <c r="G65" s="71"/>
      <c r="H65" s="70"/>
      <c r="K65" s="5"/>
      <c r="L65" s="14"/>
      <c r="M65" s="71"/>
      <c r="N65" s="8"/>
    </row>
    <row r="66" spans="1:14" x14ac:dyDescent="0.2">
      <c r="A66" s="56" t="s">
        <v>255</v>
      </c>
      <c r="B66" s="71">
        <v>25</v>
      </c>
      <c r="C66" s="71">
        <v>120</v>
      </c>
      <c r="D66" s="2">
        <f>B66/42</f>
        <v>0.59523809523809523</v>
      </c>
      <c r="E66" s="2">
        <f>C66/42</f>
        <v>2.8571428571428572</v>
      </c>
      <c r="F66">
        <f>C66/15850</f>
        <v>7.5709779179810727E-3</v>
      </c>
      <c r="G66" s="71">
        <f>G46+600</f>
        <v>845</v>
      </c>
      <c r="H66" s="70">
        <f>6895*G66</f>
        <v>5826275</v>
      </c>
      <c r="I66" s="4">
        <f>SQRT(2*H66/1000)</f>
        <v>107.94697772517765</v>
      </c>
      <c r="J66" s="64">
        <f>F66/I66</f>
        <v>7.013608048625535E-5</v>
      </c>
      <c r="K66" s="5">
        <f>2*(SQRT(J66/PI()))</f>
        <v>9.4498693741145705E-3</v>
      </c>
      <c r="L66" s="211">
        <f>K66*39.37</f>
        <v>0.37204135725889059</v>
      </c>
      <c r="M66" s="71"/>
      <c r="N66" s="8"/>
    </row>
    <row r="67" spans="1:14" x14ac:dyDescent="0.2">
      <c r="A67" s="72" t="s">
        <v>256</v>
      </c>
      <c r="B67" s="71"/>
      <c r="C67" s="71">
        <v>85</v>
      </c>
      <c r="D67" s="276"/>
      <c r="E67" s="2">
        <f>C67/42</f>
        <v>2.0238095238095237</v>
      </c>
      <c r="F67">
        <f>C67/15850</f>
        <v>5.3627760252365929E-3</v>
      </c>
      <c r="G67" s="71">
        <f>G47+600</f>
        <v>760</v>
      </c>
      <c r="H67" s="70">
        <f>6895*G67</f>
        <v>5240200</v>
      </c>
      <c r="I67" s="4">
        <f>SQRT(2*H67/1000)</f>
        <v>102.37382477957928</v>
      </c>
      <c r="J67" s="64">
        <f>F67/I67</f>
        <v>5.2384249946538258E-5</v>
      </c>
      <c r="K67" s="5">
        <f>2*(SQRT(J67/PI()))</f>
        <v>8.1668658953862674E-3</v>
      </c>
      <c r="L67" s="211">
        <f>K67*39.37</f>
        <v>0.32152951030135735</v>
      </c>
      <c r="M67" s="71"/>
      <c r="N67" s="8"/>
    </row>
    <row r="68" spans="1:14" x14ac:dyDescent="0.2">
      <c r="A68" s="191" t="s">
        <v>257</v>
      </c>
      <c r="B68" s="71">
        <v>25</v>
      </c>
      <c r="C68" s="71">
        <v>120</v>
      </c>
      <c r="D68" s="2">
        <f>B68/42</f>
        <v>0.59523809523809523</v>
      </c>
      <c r="E68" s="2">
        <f>C68/42</f>
        <v>2.8571428571428572</v>
      </c>
      <c r="F68">
        <f>C68/15850</f>
        <v>7.5709779179810727E-3</v>
      </c>
      <c r="G68" s="71">
        <f>G48+600</f>
        <v>716</v>
      </c>
      <c r="H68" s="70">
        <f>6895*G68</f>
        <v>4936820</v>
      </c>
      <c r="I68" s="4">
        <f>SQRT(2*H68/1000)</f>
        <v>99.366191433505179</v>
      </c>
      <c r="J68" s="64">
        <f>F68/I68</f>
        <v>7.6192695007813526E-5</v>
      </c>
      <c r="K68" s="5">
        <f>2*(SQRT(J68/PI()))</f>
        <v>9.8494442637081618E-3</v>
      </c>
      <c r="L68" s="211">
        <f>K68*39.37</f>
        <v>0.38777262066219031</v>
      </c>
      <c r="M68" s="71"/>
      <c r="N68" s="8"/>
    </row>
    <row r="69" spans="1:14" x14ac:dyDescent="0.2">
      <c r="M69" s="71"/>
      <c r="N69" s="8"/>
    </row>
    <row r="70" spans="1:14" x14ac:dyDescent="0.2">
      <c r="A70" s="8" t="s">
        <v>113</v>
      </c>
      <c r="B70" s="71"/>
      <c r="C70" s="71"/>
      <c r="D70" s="276"/>
      <c r="E70" s="277"/>
      <c r="G70" s="71"/>
      <c r="H70" s="70"/>
      <c r="I70" s="4"/>
      <c r="J70" s="64"/>
      <c r="K70" s="5"/>
      <c r="L70" s="69"/>
      <c r="M70" s="71"/>
    </row>
    <row r="71" spans="1:14" x14ac:dyDescent="0.2">
      <c r="B71" s="71"/>
      <c r="C71" s="71">
        <v>100</v>
      </c>
      <c r="D71" s="276"/>
      <c r="E71" s="2">
        <f>C71/42</f>
        <v>2.3809523809523809</v>
      </c>
      <c r="F71">
        <f>C71/15850</f>
        <v>6.3091482649842269E-3</v>
      </c>
      <c r="G71" s="71">
        <v>525</v>
      </c>
      <c r="H71" s="70">
        <f>6895*G71</f>
        <v>3619875</v>
      </c>
      <c r="I71" s="4">
        <f>SQRT(2*H71/1000)</f>
        <v>85.086720468002525</v>
      </c>
      <c r="J71" s="64">
        <f>F71/I71</f>
        <v>7.4149623234765849E-5</v>
      </c>
      <c r="K71" s="5">
        <f>2*(SQRT(J71/PI()))</f>
        <v>9.7164928101510541E-3</v>
      </c>
      <c r="L71" s="211">
        <f>K71*39.37</f>
        <v>0.38253832193564696</v>
      </c>
      <c r="M71" s="71"/>
    </row>
    <row r="72" spans="1:14" x14ac:dyDescent="0.2">
      <c r="B72" s="71"/>
      <c r="C72" s="71"/>
      <c r="D72" s="276"/>
      <c r="E72" s="2"/>
      <c r="G72" s="71"/>
      <c r="H72" s="70"/>
      <c r="I72" s="4"/>
      <c r="J72" s="64"/>
      <c r="K72" s="5"/>
      <c r="L72" s="69"/>
      <c r="M72" s="71"/>
    </row>
    <row r="73" spans="1:14" x14ac:dyDescent="0.2">
      <c r="A73" s="8" t="s">
        <v>114</v>
      </c>
      <c r="B73" s="71"/>
      <c r="C73" s="71"/>
      <c r="D73" s="276"/>
      <c r="E73" s="277"/>
      <c r="G73" s="71"/>
      <c r="H73" s="70"/>
      <c r="I73" s="4"/>
      <c r="J73" s="64"/>
      <c r="K73" s="5"/>
      <c r="L73" s="69"/>
      <c r="M73" s="71"/>
    </row>
    <row r="74" spans="1:14" x14ac:dyDescent="0.2">
      <c r="B74" s="71"/>
      <c r="C74" s="71">
        <v>100</v>
      </c>
      <c r="D74" s="276"/>
      <c r="E74" s="2">
        <f>C74/42</f>
        <v>2.3809523809523809</v>
      </c>
      <c r="F74">
        <f>C74/15850</f>
        <v>6.3091482649842269E-3</v>
      </c>
      <c r="G74" s="71">
        <v>383</v>
      </c>
      <c r="H74" s="70">
        <f>6895*G74</f>
        <v>2640785</v>
      </c>
      <c r="I74" s="4">
        <f>SQRT(2*H74/1000)</f>
        <v>72.674410902325178</v>
      </c>
      <c r="J74" s="64">
        <f>F74/I74</f>
        <v>8.6813889327066684E-5</v>
      </c>
      <c r="K74" s="5">
        <f>2*(SQRT(J74/PI()))</f>
        <v>1.0513556816010612E-2</v>
      </c>
      <c r="L74" s="447">
        <f>K74*39.37</f>
        <v>0.41391873184633776</v>
      </c>
      <c r="M74" s="71"/>
    </row>
    <row r="75" spans="1:14" x14ac:dyDescent="0.2">
      <c r="B75" s="71"/>
      <c r="C75" s="71"/>
      <c r="D75" s="276"/>
      <c r="E75" s="2"/>
      <c r="G75" s="71"/>
      <c r="H75" s="70"/>
      <c r="I75" s="4"/>
      <c r="J75" s="64"/>
      <c r="K75" s="5"/>
      <c r="L75" s="287"/>
      <c r="M75" s="71"/>
    </row>
    <row r="76" spans="1:14" x14ac:dyDescent="0.2">
      <c r="B76" s="71"/>
      <c r="C76" s="71"/>
      <c r="D76" s="276"/>
      <c r="E76" s="2"/>
      <c r="G76" s="71"/>
      <c r="H76" s="70"/>
      <c r="I76" s="4"/>
      <c r="J76" s="64"/>
      <c r="K76" s="5"/>
      <c r="L76" s="287"/>
      <c r="M76" s="71"/>
    </row>
    <row r="77" spans="1:14" x14ac:dyDescent="0.2">
      <c r="A77" t="s">
        <v>383</v>
      </c>
      <c r="B77" s="333" t="s">
        <v>380</v>
      </c>
      <c r="C77" s="71" t="s">
        <v>104</v>
      </c>
      <c r="D77" s="276" t="s">
        <v>382</v>
      </c>
      <c r="E77" s="2"/>
      <c r="G77" s="71"/>
      <c r="H77" s="70"/>
      <c r="I77" s="4"/>
      <c r="J77" s="64"/>
      <c r="K77" s="5"/>
      <c r="L77" s="287"/>
      <c r="M77" s="71"/>
    </row>
    <row r="78" spans="1:14" x14ac:dyDescent="0.2">
      <c r="A78" s="334" t="s">
        <v>378</v>
      </c>
      <c r="B78" s="71">
        <v>4</v>
      </c>
      <c r="C78" s="71">
        <v>35</v>
      </c>
      <c r="D78" s="276">
        <v>0.7</v>
      </c>
      <c r="E78" s="2">
        <f>C78/42</f>
        <v>0.83333333333333337</v>
      </c>
      <c r="F78">
        <f>C78/15850</f>
        <v>2.2082018927444794E-3</v>
      </c>
      <c r="G78" s="71">
        <v>275</v>
      </c>
      <c r="H78" s="70">
        <f>6895*G78</f>
        <v>1896125</v>
      </c>
      <c r="I78" s="4">
        <f>SQRT(2*H78/1000)</f>
        <v>61.581247145539365</v>
      </c>
      <c r="J78" s="64">
        <f>F78/I78</f>
        <v>3.5858349661637706E-5</v>
      </c>
      <c r="K78" s="5">
        <f>2*(SQRT(J78/PI()))</f>
        <v>6.7569422668939437E-3</v>
      </c>
      <c r="L78" s="448">
        <f>K78*39.37</f>
        <v>0.26602081704761454</v>
      </c>
      <c r="M78" s="71"/>
    </row>
    <row r="79" spans="1:14" x14ac:dyDescent="0.2">
      <c r="A79" s="334" t="s">
        <v>377</v>
      </c>
      <c r="B79" s="71">
        <v>4</v>
      </c>
      <c r="C79" s="71">
        <v>35</v>
      </c>
      <c r="D79" s="276">
        <v>0.6</v>
      </c>
      <c r="E79" s="2">
        <f>C79/42</f>
        <v>0.83333333333333337</v>
      </c>
      <c r="F79">
        <f>C79/15850</f>
        <v>2.2082018927444794E-3</v>
      </c>
      <c r="G79" s="71">
        <v>73</v>
      </c>
      <c r="H79" s="70">
        <f>6895*G79</f>
        <v>503335</v>
      </c>
      <c r="I79" s="4">
        <f>SQRT(2*H79/1000)</f>
        <v>31.728063287884435</v>
      </c>
      <c r="J79" s="64">
        <f>F79/I79</f>
        <v>6.9597752396935477E-5</v>
      </c>
      <c r="K79" s="5">
        <f>2*(SQRT(J79/PI()))</f>
        <v>9.4135333736310028E-3</v>
      </c>
      <c r="L79" s="448">
        <f>K79*39.37</f>
        <v>0.37061080891985254</v>
      </c>
      <c r="M79" s="71"/>
    </row>
    <row r="80" spans="1:14" x14ac:dyDescent="0.2">
      <c r="A80" s="334"/>
      <c r="B80" s="71"/>
      <c r="C80" s="71"/>
      <c r="D80" s="276"/>
      <c r="E80" s="2"/>
      <c r="G80" s="71"/>
      <c r="H80" s="70"/>
      <c r="I80" s="4"/>
      <c r="J80" s="64"/>
      <c r="K80" s="5"/>
      <c r="L80" s="446"/>
      <c r="M80" s="71"/>
    </row>
    <row r="81" spans="1:26" x14ac:dyDescent="0.2">
      <c r="A81" s="334" t="s">
        <v>384</v>
      </c>
      <c r="B81" s="333" t="s">
        <v>380</v>
      </c>
      <c r="C81" s="333" t="s">
        <v>381</v>
      </c>
      <c r="D81" s="333" t="s">
        <v>382</v>
      </c>
      <c r="H81" s="4"/>
      <c r="Q81" s="451" t="s">
        <v>224</v>
      </c>
      <c r="R81" s="452"/>
      <c r="S81" s="382"/>
      <c r="T81" s="463" t="s">
        <v>229</v>
      </c>
      <c r="U81" s="452"/>
      <c r="V81" s="382"/>
      <c r="W81" s="451" t="s">
        <v>235</v>
      </c>
      <c r="X81" s="452"/>
      <c r="Y81" s="382"/>
    </row>
    <row r="82" spans="1:26" x14ac:dyDescent="0.2">
      <c r="A82" s="11" t="s">
        <v>385</v>
      </c>
      <c r="B82" s="333">
        <v>7</v>
      </c>
      <c r="C82">
        <v>0.5</v>
      </c>
      <c r="D82">
        <v>0.6</v>
      </c>
      <c r="L82" s="274">
        <f>SQRT(B82*D82)*C82</f>
        <v>1.0246950765959599</v>
      </c>
      <c r="Q82" s="453" t="s">
        <v>7</v>
      </c>
      <c r="R82" s="292"/>
      <c r="S82" s="383"/>
      <c r="T82" s="464" t="s">
        <v>2</v>
      </c>
      <c r="U82" s="292"/>
      <c r="V82" s="383"/>
      <c r="W82" s="464" t="s">
        <v>78</v>
      </c>
      <c r="X82" s="292"/>
      <c r="Y82" s="383"/>
    </row>
    <row r="83" spans="1:26" x14ac:dyDescent="0.2">
      <c r="A83" s="11" t="s">
        <v>386</v>
      </c>
      <c r="B83" s="333">
        <v>7</v>
      </c>
      <c r="C83">
        <v>0.375</v>
      </c>
      <c r="D83">
        <v>0.7</v>
      </c>
      <c r="L83" s="274">
        <f>SQRT(B83*D83)*C83</f>
        <v>0.83009788579419963</v>
      </c>
      <c r="P83" s="17" t="s">
        <v>258</v>
      </c>
      <c r="Q83" s="454">
        <v>1.69</v>
      </c>
      <c r="R83" s="455">
        <v>2.12</v>
      </c>
      <c r="S83" s="456">
        <v>2.88</v>
      </c>
      <c r="T83" s="454">
        <v>1.69</v>
      </c>
      <c r="U83" s="455">
        <v>2.12</v>
      </c>
      <c r="V83" s="456">
        <v>2.88</v>
      </c>
      <c r="W83" s="454">
        <v>1.69</v>
      </c>
      <c r="X83" s="455">
        <v>2.12</v>
      </c>
      <c r="Y83" s="456">
        <v>2.88</v>
      </c>
      <c r="Z83" t="s">
        <v>419</v>
      </c>
    </row>
    <row r="84" spans="1:26" x14ac:dyDescent="0.2">
      <c r="A84">
        <v>1.69</v>
      </c>
      <c r="P84" s="388" t="s">
        <v>387</v>
      </c>
      <c r="Q84" s="457">
        <f>L35</f>
        <v>0.4044850287795283</v>
      </c>
      <c r="R84" s="458">
        <f>L39</f>
        <v>0.49811616310656504</v>
      </c>
      <c r="S84" s="459">
        <f>L46</f>
        <v>0.50700690748231803</v>
      </c>
      <c r="T84" s="464">
        <f>N35</f>
        <v>295</v>
      </c>
      <c r="U84" s="293">
        <f>N39</f>
        <v>540</v>
      </c>
      <c r="V84" s="465">
        <f>N46</f>
        <v>555</v>
      </c>
      <c r="W84" s="457">
        <f>E35</f>
        <v>1.1904761904761905</v>
      </c>
      <c r="X84" s="458">
        <f>E39</f>
        <v>1.7619047619047619</v>
      </c>
      <c r="Y84" s="459">
        <f>E46</f>
        <v>2.8571428571428572</v>
      </c>
      <c r="Z84">
        <v>1</v>
      </c>
    </row>
    <row r="85" spans="1:26" x14ac:dyDescent="0.2">
      <c r="P85" s="11" t="s">
        <v>388</v>
      </c>
      <c r="Q85" s="460">
        <f>L36</f>
        <v>0.4044850287795283</v>
      </c>
      <c r="R85" s="461">
        <f>L40</f>
        <v>0.46684364644343179</v>
      </c>
      <c r="S85" s="462">
        <v>0.9</v>
      </c>
      <c r="T85" s="466">
        <f>N36</f>
        <v>765</v>
      </c>
      <c r="U85" s="467">
        <f>N40</f>
        <v>915</v>
      </c>
      <c r="V85" s="468">
        <f>N48</f>
        <v>1044</v>
      </c>
      <c r="W85" s="460">
        <f>E36</f>
        <v>1.1904761904761905</v>
      </c>
      <c r="X85" s="461">
        <f>E40</f>
        <v>1.5476190476190477</v>
      </c>
      <c r="Y85" s="462">
        <f>E48</f>
        <v>2.8571428571428572</v>
      </c>
      <c r="Z85">
        <v>1</v>
      </c>
    </row>
    <row r="86" spans="1:26" x14ac:dyDescent="0.2">
      <c r="P86" s="388" t="s">
        <v>416</v>
      </c>
      <c r="Q86" s="489">
        <v>0.55339859052946638</v>
      </c>
      <c r="R86" s="489">
        <v>0.83009788579419963</v>
      </c>
      <c r="S86" s="488">
        <v>1.0246950765959599</v>
      </c>
      <c r="T86" s="492">
        <v>0</v>
      </c>
      <c r="U86" s="492">
        <v>0</v>
      </c>
      <c r="V86" s="492">
        <v>0</v>
      </c>
      <c r="W86" s="460">
        <v>2</v>
      </c>
      <c r="X86" s="461">
        <v>2.5</v>
      </c>
      <c r="Y86" s="462">
        <v>4</v>
      </c>
      <c r="Z86">
        <v>0</v>
      </c>
    </row>
    <row r="87" spans="1:26" x14ac:dyDescent="0.2">
      <c r="P87" s="388" t="s">
        <v>417</v>
      </c>
      <c r="Q87" s="489">
        <v>0.36081588102521212</v>
      </c>
      <c r="R87" s="489">
        <v>0.40508776826756937</v>
      </c>
      <c r="S87" s="488">
        <v>0.48365607615329304</v>
      </c>
      <c r="T87" s="492">
        <v>0</v>
      </c>
      <c r="U87" s="492">
        <v>0</v>
      </c>
      <c r="V87" s="492">
        <v>0</v>
      </c>
      <c r="W87" s="460">
        <v>2</v>
      </c>
      <c r="X87" s="461">
        <v>2.5</v>
      </c>
      <c r="Y87" s="462">
        <v>4</v>
      </c>
      <c r="Z87">
        <v>0</v>
      </c>
    </row>
    <row r="88" spans="1:26" x14ac:dyDescent="0.2">
      <c r="P88" s="388" t="s">
        <v>418</v>
      </c>
      <c r="Q88" s="491">
        <v>0.27275116865010862</v>
      </c>
      <c r="R88" s="491">
        <v>0.30621756971147163</v>
      </c>
      <c r="S88" s="490">
        <v>0.36560962788198015</v>
      </c>
      <c r="T88" s="492">
        <v>0</v>
      </c>
      <c r="U88" s="492">
        <v>0</v>
      </c>
      <c r="V88" s="492">
        <v>0</v>
      </c>
      <c r="W88" s="460">
        <v>2</v>
      </c>
      <c r="X88" s="461">
        <v>2.5</v>
      </c>
      <c r="Y88" s="462">
        <v>4</v>
      </c>
      <c r="Z88">
        <v>0</v>
      </c>
    </row>
    <row r="89" spans="1:26" x14ac:dyDescent="0.2">
      <c r="P89" s="11"/>
    </row>
    <row r="90" spans="1:26" x14ac:dyDescent="0.2">
      <c r="P90" s="445"/>
      <c r="Q90" s="11"/>
      <c r="T90" s="11"/>
      <c r="W90" s="11"/>
    </row>
    <row r="91" spans="1:26" x14ac:dyDescent="0.2">
      <c r="P91" s="17"/>
      <c r="T91" s="182"/>
      <c r="W91" s="69"/>
    </row>
  </sheetData>
  <mergeCells count="3">
    <mergeCell ref="G3:H3"/>
    <mergeCell ref="K3:L3"/>
    <mergeCell ref="B3:F3"/>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D29" sqref="D29"/>
    </sheetView>
  </sheetViews>
  <sheetFormatPr defaultRowHeight="12.75" x14ac:dyDescent="0.2"/>
  <cols>
    <col min="3" max="3" width="10.42578125" customWidth="1"/>
    <col min="4" max="4" width="13" customWidth="1"/>
  </cols>
  <sheetData>
    <row r="1" spans="1:10" x14ac:dyDescent="0.2">
      <c r="A1" s="8" t="s">
        <v>334</v>
      </c>
      <c r="C1" s="333" t="s">
        <v>54</v>
      </c>
      <c r="D1" s="393">
        <v>300</v>
      </c>
      <c r="E1" s="333" t="s">
        <v>85</v>
      </c>
      <c r="F1" s="334" t="s">
        <v>341</v>
      </c>
      <c r="G1" t="s">
        <v>340</v>
      </c>
    </row>
    <row r="2" spans="1:10" x14ac:dyDescent="0.2">
      <c r="C2" s="333" t="s">
        <v>339</v>
      </c>
      <c r="D2" s="393">
        <v>62.4</v>
      </c>
      <c r="E2" s="333" t="s">
        <v>338</v>
      </c>
      <c r="G2" s="398" t="s">
        <v>344</v>
      </c>
    </row>
    <row r="3" spans="1:10" x14ac:dyDescent="0.2">
      <c r="C3" s="333" t="s">
        <v>16</v>
      </c>
      <c r="D3" s="403">
        <v>101000</v>
      </c>
      <c r="E3" s="333" t="s">
        <v>345</v>
      </c>
    </row>
    <row r="5" spans="1:10" x14ac:dyDescent="0.2">
      <c r="D5" s="334" t="s">
        <v>48</v>
      </c>
      <c r="E5" s="394">
        <f t="shared" ref="E5:J5" si="0">(E6-32)*5/9</f>
        <v>10</v>
      </c>
      <c r="F5" s="394">
        <f t="shared" si="0"/>
        <v>37.777777777777779</v>
      </c>
      <c r="G5" s="394">
        <f t="shared" si="0"/>
        <v>65.555555555555557</v>
      </c>
      <c r="H5" s="394">
        <f t="shared" si="0"/>
        <v>93.333333333333329</v>
      </c>
      <c r="I5" s="394">
        <f t="shared" si="0"/>
        <v>121.11111111111111</v>
      </c>
      <c r="J5" s="394">
        <f t="shared" si="0"/>
        <v>148.88888888888889</v>
      </c>
    </row>
    <row r="6" spans="1:10" x14ac:dyDescent="0.2">
      <c r="B6" s="57" t="s">
        <v>351</v>
      </c>
      <c r="D6" s="334" t="s">
        <v>85</v>
      </c>
      <c r="E6" s="59">
        <v>50</v>
      </c>
      <c r="F6" s="59">
        <v>100</v>
      </c>
      <c r="G6" s="59">
        <v>150</v>
      </c>
      <c r="H6" s="59">
        <v>200</v>
      </c>
      <c r="I6" s="59">
        <v>250</v>
      </c>
      <c r="J6" s="59">
        <v>300</v>
      </c>
    </row>
    <row r="7" spans="1:10" s="59" customFormat="1" x14ac:dyDescent="0.2">
      <c r="B7" s="340" t="s">
        <v>343</v>
      </c>
      <c r="C7" s="59" t="s">
        <v>335</v>
      </c>
      <c r="D7" s="59" t="s">
        <v>336</v>
      </c>
      <c r="E7" s="59" t="s">
        <v>284</v>
      </c>
    </row>
    <row r="8" spans="1:10" s="59" customFormat="1" x14ac:dyDescent="0.2">
      <c r="B8" s="59" t="s">
        <v>342</v>
      </c>
      <c r="E8" s="59" t="s">
        <v>338</v>
      </c>
    </row>
    <row r="9" spans="1:10" x14ac:dyDescent="0.2">
      <c r="B9" s="399">
        <v>0</v>
      </c>
      <c r="C9">
        <v>0.05</v>
      </c>
      <c r="D9">
        <v>72</v>
      </c>
      <c r="E9" s="3">
        <f t="shared" ref="E9:J9" si="1">(-0.002516*(E5)^2-0.1853*(E5)+1002)*(1+$D$3/1000000*(0.00000002*(E5)^2-0.00000224*(E5)+0.000508))*2.205/3.281^3</f>
        <v>62.426050664954019</v>
      </c>
      <c r="F9" s="3">
        <f t="shared" si="1"/>
        <v>61.89600239219277</v>
      </c>
      <c r="G9" s="3">
        <f t="shared" si="1"/>
        <v>61.123742231531281</v>
      </c>
      <c r="H9" s="3">
        <f t="shared" si="1"/>
        <v>60.109263315143451</v>
      </c>
      <c r="I9" s="3">
        <f t="shared" si="1"/>
        <v>58.852554241499277</v>
      </c>
      <c r="J9" s="3">
        <f t="shared" si="1"/>
        <v>57.353599075364947</v>
      </c>
    </row>
    <row r="10" spans="1:10" x14ac:dyDescent="0.2">
      <c r="B10" s="400">
        <v>0.05</v>
      </c>
      <c r="C10">
        <v>4.2999999999999997E-2</v>
      </c>
      <c r="D10">
        <v>72.599999999999994</v>
      </c>
      <c r="E10">
        <f t="shared" ref="E10:J10" si="2">$D10-E$6*$C10</f>
        <v>70.449999999999989</v>
      </c>
      <c r="F10">
        <f t="shared" si="2"/>
        <v>68.3</v>
      </c>
      <c r="G10">
        <f t="shared" si="2"/>
        <v>66.149999999999991</v>
      </c>
      <c r="H10">
        <f t="shared" si="2"/>
        <v>63.999999999999993</v>
      </c>
      <c r="I10">
        <f t="shared" si="2"/>
        <v>61.849999999999994</v>
      </c>
      <c r="J10">
        <f t="shared" si="2"/>
        <v>59.699999999999996</v>
      </c>
    </row>
    <row r="11" spans="1:10" x14ac:dyDescent="0.2">
      <c r="B11" s="400">
        <v>0.1</v>
      </c>
      <c r="C11">
        <v>3.9E-2</v>
      </c>
      <c r="D11">
        <v>73.72</v>
      </c>
      <c r="E11">
        <f t="shared" ref="E11:J14" si="3">$D11-E$6*$C11</f>
        <v>71.77</v>
      </c>
      <c r="F11">
        <f t="shared" si="3"/>
        <v>69.819999999999993</v>
      </c>
      <c r="G11">
        <f t="shared" si="3"/>
        <v>67.87</v>
      </c>
      <c r="H11">
        <f t="shared" si="3"/>
        <v>65.92</v>
      </c>
      <c r="I11">
        <f t="shared" si="3"/>
        <v>63.97</v>
      </c>
      <c r="J11">
        <f t="shared" si="3"/>
        <v>62.019999999999996</v>
      </c>
    </row>
    <row r="12" spans="1:10" x14ac:dyDescent="0.2">
      <c r="B12" s="400">
        <v>0.15</v>
      </c>
      <c r="C12">
        <v>3.5000000000000003E-2</v>
      </c>
      <c r="D12">
        <v>74.86</v>
      </c>
      <c r="E12">
        <f t="shared" si="3"/>
        <v>73.11</v>
      </c>
      <c r="F12">
        <f t="shared" si="3"/>
        <v>71.36</v>
      </c>
      <c r="G12">
        <f t="shared" si="3"/>
        <v>69.61</v>
      </c>
      <c r="H12">
        <f t="shared" si="3"/>
        <v>67.86</v>
      </c>
      <c r="I12">
        <f t="shared" si="3"/>
        <v>66.11</v>
      </c>
      <c r="J12">
        <f t="shared" si="3"/>
        <v>64.36</v>
      </c>
    </row>
    <row r="13" spans="1:10" x14ac:dyDescent="0.2">
      <c r="B13" s="400">
        <v>0.2</v>
      </c>
      <c r="C13">
        <v>3.2000000000000001E-2</v>
      </c>
      <c r="D13">
        <v>76.209999999999994</v>
      </c>
      <c r="E13">
        <f t="shared" si="3"/>
        <v>74.61</v>
      </c>
      <c r="F13">
        <f t="shared" si="3"/>
        <v>73.009999999999991</v>
      </c>
      <c r="G13">
        <f t="shared" si="3"/>
        <v>71.41</v>
      </c>
      <c r="H13">
        <f t="shared" si="3"/>
        <v>69.809999999999988</v>
      </c>
      <c r="I13">
        <f t="shared" si="3"/>
        <v>68.209999999999994</v>
      </c>
      <c r="J13">
        <f t="shared" si="3"/>
        <v>66.61</v>
      </c>
    </row>
    <row r="14" spans="1:10" x14ac:dyDescent="0.2">
      <c r="B14" s="401">
        <v>0.25</v>
      </c>
      <c r="C14" s="1">
        <v>0.03</v>
      </c>
      <c r="D14">
        <v>77.849999999999994</v>
      </c>
      <c r="E14">
        <f t="shared" si="3"/>
        <v>76.349999999999994</v>
      </c>
      <c r="F14">
        <f t="shared" si="3"/>
        <v>74.849999999999994</v>
      </c>
      <c r="G14">
        <f t="shared" si="3"/>
        <v>73.349999999999994</v>
      </c>
      <c r="H14">
        <f t="shared" si="3"/>
        <v>71.849999999999994</v>
      </c>
      <c r="I14">
        <f t="shared" si="3"/>
        <v>70.349999999999994</v>
      </c>
      <c r="J14">
        <f t="shared" si="3"/>
        <v>68.849999999999994</v>
      </c>
    </row>
    <row r="16" spans="1:10" x14ac:dyDescent="0.2">
      <c r="B16" s="57" t="s">
        <v>352</v>
      </c>
      <c r="E16" s="59" t="s">
        <v>337</v>
      </c>
    </row>
    <row r="17" spans="1:10" x14ac:dyDescent="0.2">
      <c r="B17" s="402">
        <f t="shared" ref="B17:B22" si="4">B9</f>
        <v>0</v>
      </c>
      <c r="D17">
        <v>0</v>
      </c>
      <c r="E17" s="1">
        <f t="shared" ref="E17:J17" si="5">E9/$D$2</f>
        <v>1.0004174786050324</v>
      </c>
      <c r="F17" s="1">
        <f t="shared" si="5"/>
        <v>0.9919231152594995</v>
      </c>
      <c r="G17" s="1">
        <f t="shared" si="5"/>
        <v>0.97954715114633462</v>
      </c>
      <c r="H17" s="1">
        <f t="shared" si="5"/>
        <v>0.96328947620422201</v>
      </c>
      <c r="I17" s="1">
        <f t="shared" si="5"/>
        <v>0.94314990771633456</v>
      </c>
      <c r="J17" s="1">
        <f t="shared" si="5"/>
        <v>0.91912819031033566</v>
      </c>
    </row>
    <row r="18" spans="1:10" x14ac:dyDescent="0.2">
      <c r="B18" s="402">
        <f t="shared" si="4"/>
        <v>0.05</v>
      </c>
      <c r="D18">
        <v>5</v>
      </c>
      <c r="E18" s="1">
        <f t="shared" ref="E18:J18" si="6">E10/$D$2</f>
        <v>1.1290064102564101</v>
      </c>
      <c r="F18" s="1">
        <f t="shared" si="6"/>
        <v>1.0945512820512819</v>
      </c>
      <c r="G18" s="1">
        <f t="shared" si="6"/>
        <v>1.0600961538461537</v>
      </c>
      <c r="H18" s="1">
        <f t="shared" si="6"/>
        <v>1.0256410256410255</v>
      </c>
      <c r="I18" s="1">
        <f t="shared" si="6"/>
        <v>0.99118589743589736</v>
      </c>
      <c r="J18" s="1">
        <f t="shared" si="6"/>
        <v>0.95673076923076916</v>
      </c>
    </row>
    <row r="19" spans="1:10" x14ac:dyDescent="0.2">
      <c r="B19" s="402">
        <f t="shared" si="4"/>
        <v>0.1</v>
      </c>
      <c r="D19">
        <v>10</v>
      </c>
      <c r="E19" s="1">
        <f t="shared" ref="E19:J19" si="7">E11/$D$2</f>
        <v>1.1501602564102564</v>
      </c>
      <c r="F19" s="1">
        <f t="shared" si="7"/>
        <v>1.1189102564102564</v>
      </c>
      <c r="G19" s="1">
        <f t="shared" si="7"/>
        <v>1.0876602564102564</v>
      </c>
      <c r="H19" s="1">
        <f t="shared" si="7"/>
        <v>1.0564102564102564</v>
      </c>
      <c r="I19" s="1">
        <f t="shared" si="7"/>
        <v>1.0251602564102564</v>
      </c>
      <c r="J19" s="1">
        <f t="shared" si="7"/>
        <v>0.99391025641025632</v>
      </c>
    </row>
    <row r="20" spans="1:10" x14ac:dyDescent="0.2">
      <c r="B20" s="402">
        <f t="shared" si="4"/>
        <v>0.15</v>
      </c>
      <c r="D20">
        <v>15</v>
      </c>
      <c r="E20" s="1">
        <f t="shared" ref="E20:J20" si="8">E12/$D$2</f>
        <v>1.1716346153846153</v>
      </c>
      <c r="F20" s="1">
        <f t="shared" si="8"/>
        <v>1.1435897435897435</v>
      </c>
      <c r="G20" s="1">
        <f t="shared" si="8"/>
        <v>1.1155448717948717</v>
      </c>
      <c r="H20" s="1">
        <f t="shared" si="8"/>
        <v>1.0874999999999999</v>
      </c>
      <c r="I20" s="1">
        <f t="shared" si="8"/>
        <v>1.0594551282051283</v>
      </c>
      <c r="J20" s="1">
        <f t="shared" si="8"/>
        <v>1.0314102564102565</v>
      </c>
    </row>
    <row r="21" spans="1:10" x14ac:dyDescent="0.2">
      <c r="B21" s="402">
        <f t="shared" si="4"/>
        <v>0.2</v>
      </c>
      <c r="D21">
        <v>20</v>
      </c>
      <c r="E21" s="1">
        <f t="shared" ref="E21:J21" si="9">E13/$D$2</f>
        <v>1.195673076923077</v>
      </c>
      <c r="F21" s="1">
        <f t="shared" si="9"/>
        <v>1.1700320512820512</v>
      </c>
      <c r="G21" s="1">
        <f t="shared" si="9"/>
        <v>1.1443910256410257</v>
      </c>
      <c r="H21" s="1">
        <f t="shared" si="9"/>
        <v>1.1187499999999999</v>
      </c>
      <c r="I21" s="1">
        <f t="shared" si="9"/>
        <v>1.0931089743589744</v>
      </c>
      <c r="J21" s="1">
        <f t="shared" si="9"/>
        <v>1.0674679487179488</v>
      </c>
    </row>
    <row r="22" spans="1:10" x14ac:dyDescent="0.2">
      <c r="B22" s="402">
        <f t="shared" si="4"/>
        <v>0.25</v>
      </c>
      <c r="D22">
        <v>25</v>
      </c>
      <c r="E22" s="1">
        <f t="shared" ref="E22:J22" si="10">E14/$D$2</f>
        <v>1.2235576923076923</v>
      </c>
      <c r="F22" s="1">
        <f t="shared" si="10"/>
        <v>1.1995192307692306</v>
      </c>
      <c r="G22" s="1">
        <f t="shared" si="10"/>
        <v>1.1754807692307692</v>
      </c>
      <c r="H22" s="1">
        <f t="shared" si="10"/>
        <v>1.1514423076923077</v>
      </c>
      <c r="I22" s="1">
        <f t="shared" si="10"/>
        <v>1.127403846153846</v>
      </c>
      <c r="J22" s="1">
        <f t="shared" si="10"/>
        <v>1.1033653846153846</v>
      </c>
    </row>
    <row r="24" spans="1:10" x14ac:dyDescent="0.2">
      <c r="A24" s="404" t="s">
        <v>354</v>
      </c>
      <c r="B24" s="404"/>
    </row>
    <row r="25" spans="1:10" x14ac:dyDescent="0.2">
      <c r="A25" s="404"/>
      <c r="B25" s="404" t="s">
        <v>353</v>
      </c>
    </row>
  </sheetData>
  <hyperlinks>
    <hyperlink ref="G2"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C10" sqref="C10"/>
    </sheetView>
  </sheetViews>
  <sheetFormatPr defaultRowHeight="12.75" x14ac:dyDescent="0.2"/>
  <cols>
    <col min="1" max="1" width="32.42578125" customWidth="1"/>
    <col min="5" max="5" width="9.5703125" bestFit="1" customWidth="1"/>
  </cols>
  <sheetData>
    <row r="1" spans="1:8" ht="18" x14ac:dyDescent="0.25">
      <c r="A1" s="89" t="s">
        <v>420</v>
      </c>
      <c r="B1" s="32"/>
      <c r="C1" s="32"/>
      <c r="D1" s="51"/>
      <c r="E1" s="37"/>
      <c r="F1" s="428"/>
      <c r="G1" s="107"/>
      <c r="H1" s="33"/>
    </row>
    <row r="2" spans="1:8" x14ac:dyDescent="0.2">
      <c r="A2" s="32"/>
      <c r="B2" s="32"/>
      <c r="C2" s="93"/>
      <c r="D2" s="51"/>
      <c r="E2" s="37"/>
      <c r="F2" s="30"/>
      <c r="G2" s="107"/>
      <c r="H2" s="104"/>
    </row>
    <row r="3" spans="1:8" x14ac:dyDescent="0.2">
      <c r="A3" s="93" t="s">
        <v>422</v>
      </c>
      <c r="B3" s="30"/>
      <c r="C3" s="30"/>
      <c r="D3" s="51"/>
      <c r="E3" s="533"/>
      <c r="F3" s="533"/>
      <c r="G3" s="533"/>
      <c r="H3" s="533"/>
    </row>
    <row r="4" spans="1:8" x14ac:dyDescent="0.2">
      <c r="A4" s="93"/>
      <c r="B4" s="30"/>
      <c r="C4" s="30"/>
      <c r="D4" s="51"/>
      <c r="E4" s="494"/>
      <c r="F4" s="494"/>
      <c r="G4" s="494"/>
      <c r="H4" s="494"/>
    </row>
    <row r="5" spans="1:8" ht="15" x14ac:dyDescent="0.2">
      <c r="A5" s="495" t="s">
        <v>423</v>
      </c>
      <c r="B5" s="499" t="s">
        <v>421</v>
      </c>
      <c r="C5" s="30">
        <v>199955000000</v>
      </c>
      <c r="D5" t="s">
        <v>3</v>
      </c>
      <c r="F5" s="494"/>
      <c r="G5" s="494"/>
      <c r="H5" s="494"/>
    </row>
    <row r="6" spans="1:8" ht="15" x14ac:dyDescent="0.2">
      <c r="A6" s="495" t="s">
        <v>284</v>
      </c>
      <c r="B6" s="500" t="s">
        <v>424</v>
      </c>
      <c r="C6" s="30">
        <v>7850</v>
      </c>
      <c r="D6" s="498" t="s">
        <v>12</v>
      </c>
      <c r="E6" s="494"/>
      <c r="F6" s="494"/>
      <c r="G6" s="494"/>
      <c r="H6" s="494"/>
    </row>
    <row r="7" spans="1:8" ht="15" x14ac:dyDescent="0.2">
      <c r="A7" s="495" t="s">
        <v>435</v>
      </c>
      <c r="B7" s="500" t="s">
        <v>436</v>
      </c>
      <c r="C7" s="30">
        <v>0.24</v>
      </c>
      <c r="D7" s="498"/>
      <c r="E7" s="494"/>
      <c r="F7" s="494"/>
      <c r="G7" s="494"/>
      <c r="H7" s="494"/>
    </row>
    <row r="8" spans="1:8" ht="15" x14ac:dyDescent="0.2">
      <c r="A8" s="495" t="s">
        <v>440</v>
      </c>
      <c r="B8" s="500" t="s">
        <v>441</v>
      </c>
      <c r="C8" s="30">
        <v>1</v>
      </c>
      <c r="D8" s="498"/>
      <c r="E8" s="494"/>
      <c r="F8" s="494"/>
      <c r="G8" s="494"/>
      <c r="H8" s="494"/>
    </row>
    <row r="9" spans="1:8" ht="15" x14ac:dyDescent="0.2">
      <c r="A9" s="495" t="s">
        <v>490</v>
      </c>
      <c r="B9" s="500" t="s">
        <v>491</v>
      </c>
      <c r="C9" s="515">
        <v>0.7</v>
      </c>
      <c r="D9" s="498"/>
      <c r="E9" s="494"/>
      <c r="F9" s="494"/>
      <c r="G9" s="494"/>
      <c r="H9" s="494"/>
    </row>
    <row r="10" spans="1:8" ht="15" x14ac:dyDescent="0.2">
      <c r="A10" s="501" t="s">
        <v>425</v>
      </c>
      <c r="B10" s="500" t="s">
        <v>426</v>
      </c>
      <c r="C10" s="503">
        <f>PI()/64*(dto^4-dti^4)</f>
        <v>1.9500493669743697E-7</v>
      </c>
      <c r="D10" s="333" t="s">
        <v>428</v>
      </c>
      <c r="E10" s="502" t="s">
        <v>427</v>
      </c>
      <c r="F10" s="91"/>
      <c r="G10" s="175"/>
      <c r="H10" s="168"/>
    </row>
    <row r="11" spans="1:8" ht="15" x14ac:dyDescent="0.2">
      <c r="A11" s="501" t="s">
        <v>431</v>
      </c>
      <c r="B11" s="500" t="s">
        <v>432</v>
      </c>
      <c r="C11" s="503">
        <f>0.25*PI()*(dto^2-dti^2)</f>
        <v>7.3937226951594198E-4</v>
      </c>
      <c r="D11" s="333" t="s">
        <v>5</v>
      </c>
      <c r="E11" s="502"/>
      <c r="F11" s="91"/>
      <c r="G11" s="175"/>
      <c r="H11" s="168"/>
    </row>
    <row r="12" spans="1:8" ht="15" x14ac:dyDescent="0.2">
      <c r="A12" s="501" t="s">
        <v>429</v>
      </c>
      <c r="B12" s="500" t="s">
        <v>430</v>
      </c>
      <c r="C12" s="505">
        <f>g*C11*(C6-rhowa)</f>
        <v>49.671704159701179</v>
      </c>
      <c r="D12" s="333" t="s">
        <v>72</v>
      </c>
      <c r="E12" s="502"/>
      <c r="F12" s="91"/>
      <c r="G12" s="175"/>
      <c r="H12" s="168"/>
    </row>
    <row r="13" spans="1:8" ht="15" x14ac:dyDescent="0.2">
      <c r="A13" s="501"/>
      <c r="B13" s="500"/>
      <c r="C13" s="503"/>
      <c r="D13" s="333"/>
      <c r="E13" s="502"/>
      <c r="F13" s="91"/>
      <c r="G13" s="175"/>
      <c r="H13" s="168"/>
    </row>
    <row r="14" spans="1:8" ht="15" x14ac:dyDescent="0.2">
      <c r="A14" s="501"/>
      <c r="B14" s="500"/>
      <c r="C14" s="503"/>
      <c r="D14" s="333"/>
      <c r="E14" s="502"/>
      <c r="F14" s="91"/>
      <c r="G14" s="175"/>
      <c r="H14" s="168"/>
    </row>
    <row r="15" spans="1:8" ht="15" x14ac:dyDescent="0.2">
      <c r="A15" s="501" t="s">
        <v>433</v>
      </c>
      <c r="C15" s="504">
        <f>2*SQRT(2*C5*C10*We/(0.5*(dhor-dto)))</f>
        <v>21376.201535491906</v>
      </c>
      <c r="D15" s="333" t="s">
        <v>390</v>
      </c>
      <c r="E15" s="4">
        <f>C15/4.448</f>
        <v>4805.8007049217413</v>
      </c>
      <c r="F15" s="337" t="s">
        <v>391</v>
      </c>
      <c r="G15" s="496" t="s">
        <v>443</v>
      </c>
      <c r="H15" s="503"/>
    </row>
    <row r="16" spans="1:8" ht="15" x14ac:dyDescent="0.2">
      <c r="A16" s="501" t="s">
        <v>434</v>
      </c>
      <c r="B16" s="149"/>
      <c r="C16" s="504">
        <f>C8*C15</f>
        <v>21376.201535491906</v>
      </c>
      <c r="D16" s="497" t="s">
        <v>390</v>
      </c>
      <c r="E16" s="4">
        <f>C16/4.448</f>
        <v>4805.8007049217413</v>
      </c>
      <c r="F16" s="337" t="s">
        <v>391</v>
      </c>
      <c r="G16" s="333"/>
    </row>
    <row r="17" spans="1:8" ht="15" x14ac:dyDescent="0.2">
      <c r="A17" s="501" t="s">
        <v>437</v>
      </c>
      <c r="B17" s="149"/>
      <c r="C17" s="504">
        <f>500*4.448</f>
        <v>2224</v>
      </c>
      <c r="D17" s="497" t="s">
        <v>390</v>
      </c>
      <c r="E17">
        <f>C17/4.448</f>
        <v>499.99999999999994</v>
      </c>
      <c r="F17" s="333" t="s">
        <v>391</v>
      </c>
    </row>
    <row r="18" spans="1:8" x14ac:dyDescent="0.2">
      <c r="A18" s="501" t="s">
        <v>444</v>
      </c>
      <c r="C18" s="4">
        <f>(C16-C17)/We/murock</f>
        <v>1606.5653691817356</v>
      </c>
      <c r="D18" s="333" t="s">
        <v>6</v>
      </c>
      <c r="E18" s="4">
        <f>3.28*C18</f>
        <v>5269.5344109160924</v>
      </c>
      <c r="F18" s="333" t="s">
        <v>29</v>
      </c>
    </row>
    <row r="19" spans="1:8" x14ac:dyDescent="0.2">
      <c r="A19" s="501" t="s">
        <v>446</v>
      </c>
      <c r="C19" s="4">
        <f>C18+TVD</f>
        <v>4987.8515624155061</v>
      </c>
      <c r="D19" s="333"/>
      <c r="E19" s="4">
        <f>3.28*C19</f>
        <v>16360.15312472286</v>
      </c>
      <c r="F19" s="333" t="s">
        <v>29</v>
      </c>
    </row>
    <row r="20" spans="1:8" x14ac:dyDescent="0.2">
      <c r="A20" s="501" t="s">
        <v>438</v>
      </c>
      <c r="C20" s="4">
        <f>'Circ Model'!E35</f>
        <v>5666.3419336124352</v>
      </c>
      <c r="D20" s="333" t="s">
        <v>390</v>
      </c>
      <c r="E20" s="4">
        <f>C20/4.448</f>
        <v>1273.9078088157453</v>
      </c>
      <c r="F20" s="333" t="s">
        <v>391</v>
      </c>
    </row>
    <row r="21" spans="1:8" x14ac:dyDescent="0.2">
      <c r="A21" s="501" t="s">
        <v>439</v>
      </c>
      <c r="C21" s="4">
        <f>C16-C17+C20</f>
        <v>24818.543469104341</v>
      </c>
      <c r="D21" s="333" t="s">
        <v>390</v>
      </c>
      <c r="E21" s="4">
        <f>C21/4.448</f>
        <v>5579.7085137374861</v>
      </c>
      <c r="F21" s="333" t="s">
        <v>391</v>
      </c>
    </row>
    <row r="22" spans="1:8" x14ac:dyDescent="0.2">
      <c r="A22" s="501" t="s">
        <v>489</v>
      </c>
      <c r="C22" s="4"/>
      <c r="D22" s="333"/>
      <c r="E22" s="4"/>
      <c r="F22" s="333"/>
    </row>
    <row r="23" spans="1:8" x14ac:dyDescent="0.2">
      <c r="A23" s="501" t="s">
        <v>445</v>
      </c>
      <c r="C23" s="4">
        <f>C21/We/murock/C9</f>
        <v>2974.1163084794816</v>
      </c>
      <c r="D23" s="333" t="s">
        <v>6</v>
      </c>
      <c r="E23" s="4">
        <f>3.28*C23</f>
        <v>9755.1014918126984</v>
      </c>
      <c r="F23" s="333" t="s">
        <v>29</v>
      </c>
      <c r="G23" s="480">
        <f>E23/E18-1</f>
        <v>0.85122645211397407</v>
      </c>
      <c r="H23" s="333" t="s">
        <v>442</v>
      </c>
    </row>
    <row r="24" spans="1:8" x14ac:dyDescent="0.2">
      <c r="A24" s="501" t="s">
        <v>447</v>
      </c>
      <c r="C24" s="4">
        <f>C23+TVD</f>
        <v>6355.4025017132517</v>
      </c>
      <c r="D24" s="333" t="s">
        <v>6</v>
      </c>
      <c r="E24" s="4">
        <f>3.28*C24</f>
        <v>20845.720205619466</v>
      </c>
      <c r="F24" s="333" t="s">
        <v>29</v>
      </c>
    </row>
    <row r="28" spans="1:8" x14ac:dyDescent="0.2">
      <c r="A28" s="511" t="s">
        <v>453</v>
      </c>
      <c r="B28" s="509" t="s">
        <v>457</v>
      </c>
      <c r="C28" s="509" t="s">
        <v>458</v>
      </c>
    </row>
    <row r="29" spans="1:8" x14ac:dyDescent="0.2">
      <c r="A29" s="511" t="s">
        <v>451</v>
      </c>
      <c r="B29" s="510">
        <f>E19</f>
        <v>16360.15312472286</v>
      </c>
      <c r="C29" s="509">
        <v>500</v>
      </c>
    </row>
    <row r="30" spans="1:8" x14ac:dyDescent="0.2">
      <c r="A30" s="511" t="s">
        <v>452</v>
      </c>
      <c r="B30" s="510">
        <f>E24</f>
        <v>20845.720205619466</v>
      </c>
      <c r="C30" s="509">
        <v>500</v>
      </c>
    </row>
  </sheetData>
  <mergeCells count="2">
    <mergeCell ref="E3:F3"/>
    <mergeCell ref="G3:H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33" sqref="A33"/>
    </sheetView>
  </sheetViews>
  <sheetFormatPr defaultColWidth="137.140625" defaultRowHeight="15" x14ac:dyDescent="0.2"/>
  <cols>
    <col min="1" max="1" width="145.140625" style="514" customWidth="1"/>
    <col min="2" max="16384" width="137.140625" style="514"/>
  </cols>
  <sheetData>
    <row r="1" spans="1:1" ht="30" x14ac:dyDescent="0.2">
      <c r="A1" s="513" t="s">
        <v>467</v>
      </c>
    </row>
    <row r="2" spans="1:1" ht="30" x14ac:dyDescent="0.2">
      <c r="A2" s="513" t="s">
        <v>469</v>
      </c>
    </row>
    <row r="3" spans="1:1" x14ac:dyDescent="0.2">
      <c r="A3" s="513" t="s">
        <v>470</v>
      </c>
    </row>
    <row r="4" spans="1:1" x14ac:dyDescent="0.2">
      <c r="A4" s="513" t="s">
        <v>471</v>
      </c>
    </row>
    <row r="5" spans="1:1" x14ac:dyDescent="0.2">
      <c r="A5" s="513" t="s">
        <v>472</v>
      </c>
    </row>
    <row r="6" spans="1:1" x14ac:dyDescent="0.2">
      <c r="A6" s="513" t="s">
        <v>473</v>
      </c>
    </row>
    <row r="7" spans="1:1" x14ac:dyDescent="0.2">
      <c r="A7" s="513" t="s">
        <v>474</v>
      </c>
    </row>
    <row r="8" spans="1:1" ht="30" x14ac:dyDescent="0.2">
      <c r="A8" s="513" t="s">
        <v>468</v>
      </c>
    </row>
    <row r="9" spans="1:1" x14ac:dyDescent="0.2">
      <c r="A9" s="513" t="s">
        <v>475</v>
      </c>
    </row>
    <row r="10" spans="1:1" ht="30" x14ac:dyDescent="0.2">
      <c r="A10" s="513" t="s">
        <v>476</v>
      </c>
    </row>
    <row r="11" spans="1:1" ht="30" x14ac:dyDescent="0.2">
      <c r="A11" s="513" t="s">
        <v>477</v>
      </c>
    </row>
    <row r="12" spans="1:1" ht="30" x14ac:dyDescent="0.2">
      <c r="A12" s="513" t="s">
        <v>478</v>
      </c>
    </row>
    <row r="13" spans="1:1" ht="30" x14ac:dyDescent="0.2">
      <c r="A13" s="513" t="s">
        <v>479</v>
      </c>
    </row>
    <row r="14" spans="1:1" ht="45" x14ac:dyDescent="0.2">
      <c r="A14" s="513" t="s">
        <v>480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105</vt:i4>
      </vt:variant>
    </vt:vector>
  </HeadingPairs>
  <TitlesOfParts>
    <vt:vector size="114" baseType="lpstr">
      <vt:lpstr>JR Data</vt:lpstr>
      <vt:lpstr>Circ Model</vt:lpstr>
      <vt:lpstr>Calculations</vt:lpstr>
      <vt:lpstr>Circulation</vt:lpstr>
      <vt:lpstr>HP Data</vt:lpstr>
      <vt:lpstr>Motor Data</vt:lpstr>
      <vt:lpstr>Brine</vt:lpstr>
      <vt:lpstr>Buckling</vt:lpstr>
      <vt:lpstr>Instructions</vt:lpstr>
      <vt:lpstr>Aa</vt:lpstr>
      <vt:lpstr>Ab</vt:lpstr>
      <vt:lpstr>Ahp</vt:lpstr>
      <vt:lpstr>Am</vt:lpstr>
      <vt:lpstr>Av</vt:lpstr>
      <vt:lpstr>BB</vt:lpstr>
      <vt:lpstr>BrineList</vt:lpstr>
      <vt:lpstr>BrineTable</vt:lpstr>
      <vt:lpstr>Cbrine</vt:lpstr>
      <vt:lpstr>CCC</vt:lpstr>
      <vt:lpstr>Cdb</vt:lpstr>
      <vt:lpstr>Cdw</vt:lpstr>
      <vt:lpstr>cp</vt:lpstr>
      <vt:lpstr>cpw</vt:lpstr>
      <vt:lpstr>D</vt:lpstr>
      <vt:lpstr>dbit</vt:lpstr>
      <vt:lpstr>dcase</vt:lpstr>
      <vt:lpstr>dci</vt:lpstr>
      <vt:lpstr>DD</vt:lpstr>
      <vt:lpstr>Dh</vt:lpstr>
      <vt:lpstr>dhor</vt:lpstr>
      <vt:lpstr>dmo</vt:lpstr>
      <vt:lpstr>DP</vt:lpstr>
      <vt:lpstr>dPb</vt:lpstr>
      <vt:lpstr>dPbha</vt:lpstr>
      <vt:lpstr>dPhp</vt:lpstr>
      <vt:lpstr>dPm</vt:lpstr>
      <vt:lpstr>dPm0</vt:lpstr>
      <vt:lpstr>dPv</vt:lpstr>
      <vt:lpstr>dT</vt:lpstr>
      <vt:lpstr>dti</vt:lpstr>
      <vt:lpstr>dto</vt:lpstr>
      <vt:lpstr>dv</vt:lpstr>
      <vt:lpstr>E</vt:lpstr>
      <vt:lpstr>fc</vt:lpstr>
      <vt:lpstr>flost</vt:lpstr>
      <vt:lpstr>g</vt:lpstr>
      <vt:lpstr>GSList</vt:lpstr>
      <vt:lpstr>HeadList</vt:lpstr>
      <vt:lpstr>HPadv</vt:lpstr>
      <vt:lpstr>HPeqOrifice</vt:lpstr>
      <vt:lpstr>HPList</vt:lpstr>
      <vt:lpstr>i</vt:lpstr>
      <vt:lpstr>Ifactor</vt:lpstr>
      <vt:lpstr>impactlist</vt:lpstr>
      <vt:lpstr>k</vt:lpstr>
      <vt:lpstr>Kfr</vt:lpstr>
      <vt:lpstr>khs</vt:lpstr>
      <vt:lpstr>Kw</vt:lpstr>
      <vt:lpstr>L</vt:lpstr>
      <vt:lpstr>lt</vt:lpstr>
      <vt:lpstr>mc</vt:lpstr>
      <vt:lpstr>MD</vt:lpstr>
      <vt:lpstr>ml</vt:lpstr>
      <vt:lpstr>MotorList</vt:lpstr>
      <vt:lpstr>murock</vt:lpstr>
      <vt:lpstr>muw</vt:lpstr>
      <vt:lpstr>mw</vt:lpstr>
      <vt:lpstr>mwt</vt:lpstr>
      <vt:lpstr>N</vt:lpstr>
      <vt:lpstr>nn</vt:lpstr>
      <vt:lpstr>ONOFFlist</vt:lpstr>
      <vt:lpstr>OrificeList</vt:lpstr>
      <vt:lpstr>Pa</vt:lpstr>
      <vt:lpstr>Pb</vt:lpstr>
      <vt:lpstr>Pchoke</vt:lpstr>
      <vt:lpstr>Pcrit</vt:lpstr>
      <vt:lpstr>Pfactor</vt:lpstr>
      <vt:lpstr>Pi</vt:lpstr>
      <vt:lpstr>Pm</vt:lpstr>
      <vt:lpstr>Pp</vt:lpstr>
      <vt:lpstr>Ppm</vt:lpstr>
      <vt:lpstr>'Circ Model'!Print_Area</vt:lpstr>
      <vt:lpstr>Ps</vt:lpstr>
      <vt:lpstr>Pstd</vt:lpstr>
      <vt:lpstr>Pv</vt:lpstr>
      <vt:lpstr>qmax</vt:lpstr>
      <vt:lpstr>qmjr</vt:lpstr>
      <vt:lpstr>Qo</vt:lpstr>
      <vt:lpstr>Qw</vt:lpstr>
      <vt:lpstr>Rgas</vt:lpstr>
      <vt:lpstr>rhorock</vt:lpstr>
      <vt:lpstr>rhow</vt:lpstr>
      <vt:lpstr>rhowa</vt:lpstr>
      <vt:lpstr>rhowb</vt:lpstr>
      <vt:lpstr>rhowc</vt:lpstr>
      <vt:lpstr>rhowm</vt:lpstr>
      <vt:lpstr>rhowo</vt:lpstr>
      <vt:lpstr>rhowp</vt:lpstr>
      <vt:lpstr>rhows</vt:lpstr>
      <vt:lpstr>rhwo</vt:lpstr>
      <vt:lpstr>Runiv</vt:lpstr>
      <vt:lpstr>sigmaw</vt:lpstr>
      <vt:lpstr>T</vt:lpstr>
      <vt:lpstr>T0</vt:lpstr>
      <vt:lpstr>Tb</vt:lpstr>
      <vt:lpstr>Tcrit</vt:lpstr>
      <vt:lpstr>Tstd</vt:lpstr>
      <vt:lpstr>TVD</vt:lpstr>
      <vt:lpstr>va</vt:lpstr>
      <vt:lpstr>vah</vt:lpstr>
      <vt:lpstr>vm</vt:lpstr>
      <vt:lpstr>We</vt:lpstr>
      <vt:lpstr>xrat</vt:lpstr>
      <vt:lpstr>Z</vt:lpstr>
    </vt:vector>
  </TitlesOfParts>
  <Company>Tempress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KOLLE</dc:creator>
  <cp:lastModifiedBy>Jack Kolle</cp:lastModifiedBy>
  <cp:lastPrinted>2011-07-22T17:14:24Z</cp:lastPrinted>
  <dcterms:created xsi:type="dcterms:W3CDTF">2001-03-14T00:10:52Z</dcterms:created>
  <dcterms:modified xsi:type="dcterms:W3CDTF">2012-06-22T17:19:59Z</dcterms:modified>
</cp:coreProperties>
</file>